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imelineCaches/timelineCache4.xml" ContentType="application/vnd.ms-excel.timelineCache+xml"/>
  <Override PartName="/xl/timelineCaches/timelineCache5.xml" ContentType="application/vnd.ms-excel.timeline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omments2.xml" ContentType="application/vnd.openxmlformats-officedocument.spreadsheetml.comments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comments3.xml" ContentType="application/vnd.openxmlformats-officedocument.spreadsheetml.comments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omments4.xml" ContentType="application/vnd.openxmlformats-officedocument.spreadsheetml.comments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3.xml" ContentType="application/vnd.openxmlformats-officedocument.drawing+xml"/>
  <Override PartName="/xl/timelines/timeline3.xml" ContentType="application/vnd.ms-excel.timeline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drawings/drawing5.xml" ContentType="application/vnd.openxmlformats-officedocument.drawing+xml"/>
  <Override PartName="/xl/timelines/timeline4.xml" ContentType="application/vnd.ms-excel.timeline+xml"/>
  <Override PartName="/xl/comments7.xml" ContentType="application/vnd.openxmlformats-officedocument.spreadsheetml.comments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6.xml" ContentType="application/vnd.openxmlformats-officedocument.drawing+xml"/>
  <Override PartName="/xl/timelines/timeline5.xml" ContentType="application/vnd.ms-excel.timeline+xml"/>
  <Override PartName="/xl/comments8.xml" ContentType="application/vnd.openxmlformats-officedocument.spreadsheetml.comments+xml"/>
  <Override PartName="/xl/threadedComments/threadedComment1.xml" ContentType="application/vnd.ms-excel.threadedcomments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licers/slicer1.xml" ContentType="application/vnd.ms-excel.slicer+xml"/>
  <Override PartName="/xl/slicers/slicer2.xml" ContentType="application/vnd.ms-excel.slicer+xml"/>
  <Override PartName="/xl/drawings/drawing9.xml" ContentType="application/vnd.openxmlformats-officedocument.drawing+xml"/>
  <Override PartName="/xl/tables/table4.xml" ContentType="application/vnd.openxmlformats-officedocument.spreadsheetml.table+xml"/>
  <Override PartName="/xl/comments9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updateLinks="never"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plumaagrobr.sharepoint.com/sites/GP-PCP/Documentos Compartilhados/Corporativo - PCP/1 - PROGRAMAÇÃO DE ALOJAMENTO/"/>
    </mc:Choice>
  </mc:AlternateContent>
  <xr:revisionPtr revIDLastSave="1954" documentId="6_{1D6DCB6E-C436-4F1C-AEE8-69763A023644}" xr6:coauthVersionLast="47" xr6:coauthVersionMax="47" xr10:uidLastSave="{B3FFB120-E06D-4256-BCDA-2309B3D61C4E}"/>
  <workbookProtection workbookAlgorithmName="SHA-512" workbookHashValue="mnk0M5P1ukhvsVbHBilVtLOysi0c9W47OZgTLpJ+Qzejpk8FRTDmo/JWgB832fBHs3xRDgDX96NKZhKecrfXtw==" workbookSaltValue="o5JSX5GcAy5yWLevRslL0g==" workbookSpinCount="100000" lockStructure="1"/>
  <bookViews>
    <workbookView xWindow="28692" yWindow="-96" windowWidth="29016" windowHeight="15696" tabRatio="793" xr2:uid="{00000000-000D-0000-FFFF-FFFF00000000}"/>
  </bookViews>
  <sheets>
    <sheet name="Pluma PR+SC" sheetId="35" r:id="rId1"/>
    <sheet name="Pluma SP" sheetId="36" r:id="rId2"/>
    <sheet name="Pluma CV" sheetId="37" r:id="rId3"/>
    <sheet name="Pluma PR+SC 29-12" sheetId="26" state="hidden" r:id="rId4"/>
    <sheet name="Pluma MI" sheetId="24" r:id="rId5"/>
    <sheet name="Pluma DF" sheetId="28" r:id="rId6"/>
    <sheet name="PLuma G3" sheetId="30" r:id="rId7"/>
    <sheet name="Argentina" sheetId="34" r:id="rId8"/>
    <sheet name="Plusval" sheetId="15" r:id="rId9"/>
    <sheet name="Cassilândia" sheetId="29" r:id="rId10"/>
    <sheet name="PlumaGen" sheetId="27" r:id="rId11"/>
    <sheet name="Encerrados" sheetId="7" r:id="rId12"/>
    <sheet name="Sequencial" sheetId="17" r:id="rId13"/>
    <sheet name="De x Para" sheetId="33" r:id="rId14"/>
    <sheet name="Gjs Novas" sheetId="20" r:id="rId15"/>
  </sheets>
  <externalReferences>
    <externalReference r:id="rId16"/>
    <externalReference r:id="rId17"/>
    <externalReference r:id="rId18"/>
  </externalReferences>
  <definedNames>
    <definedName name="_A193178" localSheetId="5">#REF!</definedName>
    <definedName name="_A193178" localSheetId="0">#REF!</definedName>
    <definedName name="_A193178" localSheetId="3">#REF!</definedName>
    <definedName name="_A193178" localSheetId="1">#REF!</definedName>
    <definedName name="_A193178">#REF!</definedName>
    <definedName name="_xlnm._FilterDatabase" localSheetId="7" hidden="1">Argentina!$A$1:$S$9</definedName>
    <definedName name="_xlnm._FilterDatabase" localSheetId="9" hidden="1">Cassilândia!$A$1:$U$19</definedName>
    <definedName name="_xlnm._FilterDatabase" localSheetId="13" hidden="1">'De x Para'!$B$19:$I$151</definedName>
    <definedName name="_xlnm._FilterDatabase" localSheetId="11" hidden="1">Encerrados!$A$1:$W$121</definedName>
    <definedName name="_xlnm._FilterDatabase" localSheetId="2" hidden="1">'Pluma CV'!$A$1:$W$17</definedName>
    <definedName name="_xlnm._FilterDatabase" localSheetId="5" hidden="1">'Pluma DF'!$A$1:$W$143</definedName>
    <definedName name="_xlnm._FilterDatabase" localSheetId="6" hidden="1">'PLuma G3'!$A$1:$W$51</definedName>
    <definedName name="_xlnm._FilterDatabase" localSheetId="4" hidden="1">'Pluma MI'!$A$1:$W$19</definedName>
    <definedName name="_xlnm._FilterDatabase" localSheetId="0" hidden="1">'Pluma PR+SC'!$A$1:$IV$314</definedName>
    <definedName name="_xlnm._FilterDatabase" localSheetId="3" hidden="1">'Pluma PR+SC 29-12'!$A$1:$W$290</definedName>
    <definedName name="_xlnm._FilterDatabase" localSheetId="1" hidden="1">'Pluma SP'!$A$1:$W$77</definedName>
    <definedName name="_xlnm._FilterDatabase" localSheetId="10" hidden="1">PlumaGen!$A$1:$U$111</definedName>
    <definedName name="_xlnm._FilterDatabase" localSheetId="8" hidden="1">Plusval!$A$1:$W$26</definedName>
    <definedName name="_xlnm._FilterDatabase" localSheetId="12" hidden="1">Sequencial!$M$14:$AD$25</definedName>
    <definedName name="_xlnm.Print_Area" localSheetId="7">Argentina!$A$1:$I$1</definedName>
    <definedName name="_xlnm.Print_Area" localSheetId="9">Cassilândia!$A$1:$H$1</definedName>
    <definedName name="_xlnm.Print_Area" localSheetId="2">'Pluma CV'!$A$1:$M$1</definedName>
    <definedName name="_xlnm.Print_Area" localSheetId="5">'Pluma DF'!$B$1:$W$143</definedName>
    <definedName name="_xlnm.Print_Area" localSheetId="6">'PLuma G3'!$A$1:$M$12</definedName>
    <definedName name="_xlnm.Print_Area" localSheetId="4">'Pluma MI'!$A$1:$M$1</definedName>
    <definedName name="_xlnm.Print_Area" localSheetId="0">'Pluma PR+SC'!$A$1:$U$303</definedName>
    <definedName name="_xlnm.Print_Area" localSheetId="3">'Pluma PR+SC 29-12'!$A$1:$T$290</definedName>
    <definedName name="_xlnm.Print_Area" localSheetId="8">Plusval!$A$1:$M$1</definedName>
    <definedName name="_xlnm.Print_Area" localSheetId="12">Sequencial!$L$29:$Y$46</definedName>
    <definedName name="NativeTimeline_Dt._Aloj.">#N/A</definedName>
    <definedName name="NativeTimeline_Dt._Aloj.1">#N/A</definedName>
    <definedName name="NativeTimeline_Dt._Aloj.2">#N/A</definedName>
    <definedName name="NativeTimeline_Dt._Aloj.31">#N/A</definedName>
    <definedName name="NativeTimeline_Dt._Inic._Sem.2">#N/A</definedName>
    <definedName name="SegmentaçãodeDados_Emp">#N/A</definedName>
    <definedName name="SegmentaçãodeDados_Unidade">#N/A</definedName>
    <definedName name="SegmentaçãodeDados_Unidade1">#N/A</definedName>
    <definedName name="_xlnm.Print_Titles" localSheetId="5">'Pluma DF'!$1:$1</definedName>
    <definedName name="_xlnm.Print_Titles" localSheetId="0">'Pluma PR+SC'!$1:$1</definedName>
    <definedName name="_xlnm.Print_Titles" localSheetId="3">'Pluma PR+SC 29-12'!$1:$1</definedName>
    <definedName name="xxxx" localSheetId="1">#REF!</definedName>
    <definedName name="xxxx">#REF!</definedName>
    <definedName name="Z_EE22E6B1_B273_4913_BA5A_0BA1AC76FDA6_.wvu.Cols" localSheetId="5" hidden="1">'Pluma DF'!#REF!</definedName>
    <definedName name="Z_EE22E6B1_B273_4913_BA5A_0BA1AC76FDA6_.wvu.Cols" localSheetId="0">#REF!</definedName>
    <definedName name="Z_EE22E6B1_B273_4913_BA5A_0BA1AC76FDA6_.wvu.Cols" localSheetId="3">#REF!</definedName>
    <definedName name="Z_EE22E6B1_B273_4913_BA5A_0BA1AC76FDA6_.wvu.FilterData" localSheetId="5" hidden="1">'Pluma DF'!$C$1:$V$1</definedName>
    <definedName name="Z_EE22E6B1_B273_4913_BA5A_0BA1AC76FDA6_.wvu.PrintArea" localSheetId="5" hidden="1">'Pluma DF'!$C$1:$V$1</definedName>
    <definedName name="Z_EE22E6B1_B273_4913_BA5A_0BA1AC76FDA6_.wvu.PrintArea" localSheetId="0">'Pluma PR+SC'!$C$1:$V$1</definedName>
    <definedName name="Z_EE22E6B1_B273_4913_BA5A_0BA1AC76FDA6_.wvu.PrintArea" localSheetId="3">'Pluma PR+SC 29-12'!$D$1:$U$1</definedName>
  </definedNames>
  <calcPr calcId="191028"/>
  <pivotCaches>
    <pivotCache cacheId="0" r:id="rId19"/>
    <pivotCache cacheId="1" r:id="rId20"/>
    <pivotCache cacheId="2" r:id="rId21"/>
    <pivotCache cacheId="3" r:id="rId22"/>
    <pivotCache cacheId="4" r:id="rId23"/>
    <pivotCache cacheId="5" r:id="rId24"/>
    <pivotCache cacheId="6" r:id="rId25"/>
    <pivotCache cacheId="353" r:id="rId26"/>
    <pivotCache cacheId="357" r:id="rId27"/>
    <pivotCache cacheId="361" r:id="rId28"/>
    <pivotCache cacheId="364" r:id="rId29"/>
    <pivotCache cacheId="368" r:id="rId30"/>
  </pivotCaches>
  <fileRecoveryPr repairLoad="1"/>
  <extLst>
    <ext xmlns:x14="http://schemas.microsoft.com/office/spreadsheetml/2009/9/main" uri="{BBE1A952-AA13-448e-AADC-164F8A28A991}">
      <x14:slicerCaches>
        <x14:slicerCache r:id="rId31"/>
        <x14:slicerCache r:id="rId3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33"/>
        <x15:timelineCacheRef r:id="rId34"/>
        <x15:timelineCacheRef r:id="rId35"/>
        <x15:timelineCacheRef r:id="rId36"/>
        <x15:timelineCacheRef r:id="rId37"/>
      </x15:timelineCacheRefs>
    </ext>
    <ext xmlns:x15="http://schemas.microsoft.com/office/spreadsheetml/2010/11/main" uri="{46BE6895-7355-4a93-B00E-2C351335B9C9}">
      <x15:slicerCaches xmlns:x14="http://schemas.microsoft.com/office/spreadsheetml/2009/9/main">
        <x14:slicerCache r:id="rId3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9" i="35" l="1"/>
  <c r="N183" i="35" l="1"/>
  <c r="P183" i="35"/>
  <c r="R183" i="35"/>
  <c r="S183" i="35"/>
  <c r="T183" i="35"/>
  <c r="W183" i="35"/>
  <c r="X183" i="35"/>
  <c r="Y183" i="35"/>
  <c r="AG183" i="35"/>
  <c r="L183" i="35"/>
  <c r="H183" i="35"/>
  <c r="F183" i="35"/>
  <c r="E183" i="35"/>
  <c r="P174" i="35"/>
  <c r="P173" i="35"/>
  <c r="P172" i="35"/>
  <c r="P171" i="35"/>
  <c r="P170" i="35"/>
  <c r="P169" i="35"/>
  <c r="P168" i="35"/>
  <c r="P167" i="35"/>
  <c r="P166" i="35"/>
  <c r="P165" i="35"/>
  <c r="P164" i="35"/>
  <c r="P163" i="35"/>
  <c r="P162" i="35"/>
  <c r="P161" i="35"/>
  <c r="P160" i="35"/>
  <c r="P159" i="35"/>
  <c r="P158" i="35"/>
  <c r="P157" i="35"/>
  <c r="P156" i="35"/>
  <c r="P155" i="35"/>
  <c r="P154" i="35"/>
  <c r="P153" i="35"/>
  <c r="P152" i="35"/>
  <c r="P151" i="35"/>
  <c r="P150" i="35"/>
  <c r="P149" i="35"/>
  <c r="P148" i="35"/>
  <c r="P147" i="35"/>
  <c r="P146" i="35"/>
  <c r="R161" i="35" l="1"/>
  <c r="R152" i="35"/>
  <c r="S79" i="20" l="1"/>
  <c r="R79" i="20"/>
  <c r="P79" i="20"/>
  <c r="L79" i="20"/>
  <c r="H79" i="20"/>
  <c r="F79" i="20"/>
  <c r="C79" i="20"/>
  <c r="N79" i="20" s="1"/>
  <c r="V78" i="20" s="1"/>
  <c r="B79" i="20"/>
  <c r="V77" i="20"/>
  <c r="T75" i="20"/>
  <c r="W75" i="20" s="1"/>
  <c r="S75" i="20"/>
  <c r="R75" i="20"/>
  <c r="P75" i="20"/>
  <c r="N75" i="20"/>
  <c r="V74" i="20" s="1"/>
  <c r="L75" i="20"/>
  <c r="H75" i="20"/>
  <c r="E75" i="20"/>
  <c r="C75" i="20"/>
  <c r="B75" i="20"/>
  <c r="V73" i="20"/>
  <c r="C71" i="20"/>
  <c r="T71" i="20" s="1"/>
  <c r="W71" i="20" s="1"/>
  <c r="B71" i="20"/>
  <c r="V69" i="20"/>
  <c r="V68" i="20"/>
  <c r="C66" i="20"/>
  <c r="T66" i="20" s="1"/>
  <c r="W66" i="20" s="1"/>
  <c r="B66" i="20"/>
  <c r="V64" i="20"/>
  <c r="T62" i="20"/>
  <c r="W62" i="20" s="1"/>
  <c r="N62" i="20"/>
  <c r="V61" i="20" s="1"/>
  <c r="C62" i="20"/>
  <c r="B62" i="20"/>
  <c r="V60" i="20"/>
  <c r="C58" i="20"/>
  <c r="N58" i="20" s="1"/>
  <c r="V57" i="20" s="1"/>
  <c r="W57" i="20" s="1"/>
  <c r="B58" i="20"/>
  <c r="V56" i="20"/>
  <c r="T58" i="20" l="1"/>
  <c r="W58" i="20" s="1"/>
  <c r="N66" i="20"/>
  <c r="V65" i="20" s="1"/>
  <c r="T79" i="20"/>
  <c r="W79" i="20" s="1"/>
  <c r="N71" i="20"/>
  <c r="V70" i="20" s="1"/>
  <c r="E79" i="20"/>
  <c r="R176" i="35" l="1"/>
  <c r="P176" i="35"/>
  <c r="N176" i="35"/>
  <c r="AE176" i="35" s="1"/>
  <c r="E176" i="35"/>
  <c r="F176" i="35"/>
  <c r="H176" i="35"/>
  <c r="L176" i="35"/>
  <c r="AH176" i="35" s="1"/>
  <c r="T176" i="35"/>
  <c r="AF176" i="35" s="1"/>
  <c r="X176" i="35"/>
  <c r="Y176" i="35"/>
  <c r="AC176" i="35"/>
  <c r="AD176" i="35"/>
  <c r="AG176" i="35"/>
  <c r="R175" i="35"/>
  <c r="P175" i="35"/>
  <c r="N175" i="35"/>
  <c r="R174" i="35"/>
  <c r="N174" i="35"/>
  <c r="R171" i="35"/>
  <c r="N171" i="35"/>
  <c r="W176" i="35" l="1"/>
  <c r="C87" i="27" l="1"/>
  <c r="D87" i="27"/>
  <c r="M87" i="27" s="1"/>
  <c r="Q87" i="27"/>
  <c r="N87" i="27" l="1"/>
  <c r="K86" i="27" l="1"/>
  <c r="K80" i="27"/>
  <c r="K79" i="27"/>
  <c r="K49" i="27"/>
  <c r="T100" i="27"/>
  <c r="K100" i="27" s="1"/>
  <c r="T99" i="27"/>
  <c r="K99" i="27" s="1"/>
  <c r="T89" i="27"/>
  <c r="K89" i="27" s="1"/>
  <c r="T88" i="27"/>
  <c r="K88" i="27" s="1"/>
  <c r="T86" i="27"/>
  <c r="T85" i="27"/>
  <c r="K85" i="27" s="1"/>
  <c r="T76" i="27"/>
  <c r="K76" i="27" s="1"/>
  <c r="T56" i="27"/>
  <c r="K56" i="27" s="1"/>
  <c r="T55" i="27"/>
  <c r="K55" i="27" s="1"/>
  <c r="T54" i="27"/>
  <c r="K54" i="27" s="1"/>
  <c r="T50" i="27"/>
  <c r="K50" i="27" s="1"/>
  <c r="T43" i="27"/>
  <c r="K43" i="27" s="1"/>
  <c r="T42" i="27"/>
  <c r="K42" i="27" s="1"/>
  <c r="T41" i="27"/>
  <c r="T40" i="27"/>
  <c r="T25" i="27"/>
  <c r="T24" i="27"/>
  <c r="D153" i="27" l="1"/>
  <c r="D152" i="27"/>
  <c r="D144" i="27"/>
  <c r="R144" i="27" s="1"/>
  <c r="D145" i="27"/>
  <c r="D150" i="27"/>
  <c r="M150" i="27" s="1"/>
  <c r="D151" i="27"/>
  <c r="R151" i="27" s="1"/>
  <c r="C142" i="27"/>
  <c r="D142" i="27"/>
  <c r="Q142" i="27"/>
  <c r="C143" i="27"/>
  <c r="D143" i="27"/>
  <c r="Q143" i="27"/>
  <c r="D146" i="27"/>
  <c r="D147" i="27"/>
  <c r="R147" i="27" s="1"/>
  <c r="D148" i="27"/>
  <c r="D149" i="27"/>
  <c r="C150" i="27"/>
  <c r="Q150" i="27"/>
  <c r="C151" i="27"/>
  <c r="M151" i="27"/>
  <c r="N151" i="27"/>
  <c r="Q151" i="27"/>
  <c r="F151" i="27"/>
  <c r="C144" i="27"/>
  <c r="M144" i="27"/>
  <c r="Q144" i="27"/>
  <c r="C145" i="27"/>
  <c r="Q145" i="27"/>
  <c r="C152" i="27"/>
  <c r="Q152" i="27"/>
  <c r="C153" i="27"/>
  <c r="Q153" i="27"/>
  <c r="Q140" i="27"/>
  <c r="C140" i="27"/>
  <c r="D140" i="27"/>
  <c r="R140" i="27" s="1"/>
  <c r="Q139" i="27"/>
  <c r="C139" i="27"/>
  <c r="D139" i="27"/>
  <c r="R139" i="27" s="1"/>
  <c r="D141" i="27"/>
  <c r="D134" i="27"/>
  <c r="D135" i="27"/>
  <c r="D136" i="27"/>
  <c r="D137" i="27"/>
  <c r="D133" i="27"/>
  <c r="D138" i="27"/>
  <c r="C141" i="27"/>
  <c r="Q141" i="27"/>
  <c r="C146" i="27"/>
  <c r="Q146" i="27"/>
  <c r="C147" i="27"/>
  <c r="Q147" i="27"/>
  <c r="C148" i="27"/>
  <c r="Q148" i="27"/>
  <c r="C149" i="27"/>
  <c r="Q149" i="27"/>
  <c r="C135" i="27"/>
  <c r="Q135" i="27"/>
  <c r="C136" i="27"/>
  <c r="Q136" i="27"/>
  <c r="C137" i="27"/>
  <c r="Q137" i="27"/>
  <c r="D130" i="27"/>
  <c r="D131" i="27"/>
  <c r="D132" i="27"/>
  <c r="Q129" i="27"/>
  <c r="C129" i="27"/>
  <c r="D129" i="27"/>
  <c r="D127" i="27"/>
  <c r="D128" i="27"/>
  <c r="R128" i="27" s="1"/>
  <c r="D122" i="27"/>
  <c r="R122" i="27" s="1"/>
  <c r="C131" i="27"/>
  <c r="Q131" i="27"/>
  <c r="C132" i="27"/>
  <c r="Q132" i="27"/>
  <c r="C133" i="27"/>
  <c r="Q133" i="27"/>
  <c r="C138" i="27"/>
  <c r="Q138" i="27"/>
  <c r="C134" i="27"/>
  <c r="Q134" i="27"/>
  <c r="N144" i="27" l="1"/>
  <c r="N150" i="27"/>
  <c r="F144" i="27"/>
  <c r="N153" i="27"/>
  <c r="R153" i="27"/>
  <c r="F153" i="27" s="1"/>
  <c r="R130" i="27"/>
  <c r="N133" i="27"/>
  <c r="R133" i="27"/>
  <c r="F133" i="27" s="1"/>
  <c r="R143" i="27"/>
  <c r="F143" i="27" s="1"/>
  <c r="M136" i="27"/>
  <c r="R136" i="27"/>
  <c r="F136" i="27" s="1"/>
  <c r="R135" i="27"/>
  <c r="F135" i="27" s="1"/>
  <c r="M134" i="27"/>
  <c r="R134" i="27"/>
  <c r="M142" i="27"/>
  <c r="R142" i="27"/>
  <c r="F142" i="27" s="1"/>
  <c r="R141" i="27"/>
  <c r="F141" i="27" s="1"/>
  <c r="K72" i="27"/>
  <c r="R127" i="27"/>
  <c r="N141" i="27"/>
  <c r="T101" i="27" s="1"/>
  <c r="M149" i="27"/>
  <c r="R149" i="27"/>
  <c r="F149" i="27" s="1"/>
  <c r="M145" i="27"/>
  <c r="R145" i="27"/>
  <c r="F145" i="27" s="1"/>
  <c r="N131" i="27"/>
  <c r="R131" i="27"/>
  <c r="F131" i="27" s="1"/>
  <c r="R138" i="27"/>
  <c r="F138" i="27" s="1"/>
  <c r="R146" i="27"/>
  <c r="F146" i="27" s="1"/>
  <c r="M137" i="27"/>
  <c r="R137" i="27"/>
  <c r="F137" i="27" s="1"/>
  <c r="N146" i="27"/>
  <c r="M146" i="27"/>
  <c r="N135" i="27"/>
  <c r="M135" i="27"/>
  <c r="F87" i="27" s="1"/>
  <c r="M141" i="27"/>
  <c r="M148" i="27"/>
  <c r="R148" i="27"/>
  <c r="F148" i="27" s="1"/>
  <c r="N129" i="27"/>
  <c r="R129" i="27"/>
  <c r="R150" i="27"/>
  <c r="F150" i="27" s="1"/>
  <c r="M132" i="27"/>
  <c r="T84" i="27" s="1"/>
  <c r="R132" i="27"/>
  <c r="F132" i="27" s="1"/>
  <c r="M152" i="27"/>
  <c r="R152" i="27"/>
  <c r="M153" i="27"/>
  <c r="F152" i="27"/>
  <c r="N152" i="27"/>
  <c r="M143" i="27"/>
  <c r="N148" i="27"/>
  <c r="N145" i="27"/>
  <c r="F134" i="27"/>
  <c r="N147" i="27"/>
  <c r="M147" i="27"/>
  <c r="F147" i="27"/>
  <c r="N134" i="27"/>
  <c r="N149" i="27"/>
  <c r="N143" i="27"/>
  <c r="N142" i="27"/>
  <c r="N139" i="27"/>
  <c r="M139" i="27"/>
  <c r="F139" i="27"/>
  <c r="F140" i="27"/>
  <c r="N140" i="27"/>
  <c r="M140" i="27"/>
  <c r="M133" i="27"/>
  <c r="N138" i="27"/>
  <c r="M138" i="27"/>
  <c r="N137" i="27"/>
  <c r="N136" i="27"/>
  <c r="M131" i="27"/>
  <c r="N132" i="27"/>
  <c r="M129" i="27"/>
  <c r="F129" i="27"/>
  <c r="T97" i="27" l="1"/>
  <c r="T96" i="27"/>
  <c r="T98" i="27"/>
  <c r="D123" i="27"/>
  <c r="D124" i="27"/>
  <c r="D125" i="27"/>
  <c r="D126" i="27"/>
  <c r="R126" i="27" s="1"/>
  <c r="D121" i="27"/>
  <c r="C122" i="27"/>
  <c r="M122" i="27"/>
  <c r="N122" i="27"/>
  <c r="Q122" i="27"/>
  <c r="F122" i="27"/>
  <c r="C127" i="27"/>
  <c r="M127" i="27"/>
  <c r="N127" i="27"/>
  <c r="Q127" i="27"/>
  <c r="F127" i="27"/>
  <c r="C128" i="27"/>
  <c r="M128" i="27"/>
  <c r="T75" i="27" s="1"/>
  <c r="N128" i="27"/>
  <c r="Q128" i="27"/>
  <c r="F128" i="27"/>
  <c r="C130" i="27"/>
  <c r="M130" i="27"/>
  <c r="N130" i="27"/>
  <c r="Q130" i="27"/>
  <c r="F130" i="27"/>
  <c r="D118" i="27"/>
  <c r="D119" i="27"/>
  <c r="D120" i="27"/>
  <c r="D113" i="27"/>
  <c r="R113" i="27" s="1"/>
  <c r="D114" i="27"/>
  <c r="D115" i="27"/>
  <c r="R115" i="27" s="1"/>
  <c r="D116" i="27"/>
  <c r="D117" i="27"/>
  <c r="D111" i="27"/>
  <c r="R111" i="27" s="1"/>
  <c r="D112" i="27"/>
  <c r="C112" i="27"/>
  <c r="Q112" i="27"/>
  <c r="C114" i="27"/>
  <c r="Q114" i="27"/>
  <c r="C115" i="27"/>
  <c r="Q115" i="27"/>
  <c r="C116" i="27"/>
  <c r="Q116" i="27"/>
  <c r="C117" i="27"/>
  <c r="Q117" i="27"/>
  <c r="C113" i="27"/>
  <c r="Q113" i="27"/>
  <c r="C118" i="27"/>
  <c r="Q118" i="27"/>
  <c r="C119" i="27"/>
  <c r="Q119" i="27"/>
  <c r="C120" i="27"/>
  <c r="Q120" i="27"/>
  <c r="C121" i="27"/>
  <c r="Q121" i="27"/>
  <c r="C123" i="27"/>
  <c r="Q123" i="27"/>
  <c r="C124" i="27"/>
  <c r="Q124" i="27"/>
  <c r="C125" i="27"/>
  <c r="Q125" i="27"/>
  <c r="C126" i="27"/>
  <c r="Q126" i="27"/>
  <c r="D109" i="27"/>
  <c r="R109" i="27" s="1"/>
  <c r="T109" i="27" s="1"/>
  <c r="K109" i="27" s="1"/>
  <c r="D110" i="27"/>
  <c r="R110" i="27" s="1"/>
  <c r="T110" i="27" s="1"/>
  <c r="K110" i="27" s="1"/>
  <c r="D108" i="27"/>
  <c r="D107" i="27"/>
  <c r="M114" i="27" l="1"/>
  <c r="R114" i="27"/>
  <c r="M121" i="27"/>
  <c r="R121" i="27"/>
  <c r="F121" i="27" s="1"/>
  <c r="R118" i="27"/>
  <c r="N124" i="27"/>
  <c r="R124" i="27"/>
  <c r="F124" i="27" s="1"/>
  <c r="T83" i="27"/>
  <c r="K130" i="27"/>
  <c r="K131" i="27" s="1"/>
  <c r="K132" i="27" s="1"/>
  <c r="N117" i="27"/>
  <c r="R117" i="27"/>
  <c r="F117" i="27" s="1"/>
  <c r="R116" i="27"/>
  <c r="F116" i="27" s="1"/>
  <c r="R108" i="27"/>
  <c r="T108" i="27" s="1"/>
  <c r="N120" i="27"/>
  <c r="R120" i="27"/>
  <c r="M119" i="27"/>
  <c r="T61" i="27" s="1"/>
  <c r="R119" i="27"/>
  <c r="F119" i="27" s="1"/>
  <c r="N125" i="27"/>
  <c r="R125" i="27"/>
  <c r="F125" i="27" s="1"/>
  <c r="M123" i="27"/>
  <c r="R123" i="27"/>
  <c r="F123" i="27" s="1"/>
  <c r="R107" i="27"/>
  <c r="T107" i="27" s="1"/>
  <c r="T74" i="27"/>
  <c r="T73" i="27"/>
  <c r="M112" i="27"/>
  <c r="R112" i="27"/>
  <c r="F112" i="27" s="1"/>
  <c r="M125" i="27"/>
  <c r="T70" i="27" s="1"/>
  <c r="N113" i="27"/>
  <c r="N121" i="27"/>
  <c r="M120" i="27"/>
  <c r="T62" i="27" s="1"/>
  <c r="N126" i="27"/>
  <c r="M126" i="27"/>
  <c r="T71" i="27" s="1"/>
  <c r="N123" i="27"/>
  <c r="F118" i="27"/>
  <c r="N116" i="27"/>
  <c r="M116" i="27"/>
  <c r="F115" i="27"/>
  <c r="F113" i="27"/>
  <c r="M113" i="27"/>
  <c r="N119" i="27"/>
  <c r="F126" i="27"/>
  <c r="M124" i="27"/>
  <c r="M117" i="27"/>
  <c r="F120" i="27"/>
  <c r="N118" i="27"/>
  <c r="N112" i="27"/>
  <c r="M118" i="27"/>
  <c r="N115" i="27"/>
  <c r="M115" i="27"/>
  <c r="F114" i="27"/>
  <c r="N114" i="27"/>
  <c r="T59" i="27" l="1"/>
  <c r="K117" i="27"/>
  <c r="T60" i="27"/>
  <c r="K118" i="27"/>
  <c r="K119" i="27" s="1"/>
  <c r="K120" i="27" s="1"/>
  <c r="T58" i="27"/>
  <c r="K116" i="27"/>
  <c r="T63" i="27"/>
  <c r="T69" i="27"/>
  <c r="K123" i="27"/>
  <c r="K124" i="27" s="1"/>
  <c r="K125" i="27" s="1"/>
  <c r="T57" i="27"/>
  <c r="K114" i="27"/>
  <c r="K115" i="27" s="1"/>
  <c r="Q91" i="27"/>
  <c r="R91" i="27"/>
  <c r="M91" i="27"/>
  <c r="N91" i="27"/>
  <c r="C91" i="27"/>
  <c r="T32" i="27" l="1"/>
  <c r="K91" i="27"/>
  <c r="K95" i="27" s="1"/>
  <c r="F91" i="27"/>
  <c r="T91" i="27"/>
  <c r="Q95" i="27"/>
  <c r="C95" i="27"/>
  <c r="R95" i="27"/>
  <c r="T95" i="27" s="1"/>
  <c r="F95" i="27" l="1"/>
  <c r="N95" i="27"/>
  <c r="M95" i="27"/>
  <c r="C97" i="27"/>
  <c r="M97" i="27"/>
  <c r="N97" i="27"/>
  <c r="Q97" i="27"/>
  <c r="F97" i="27"/>
  <c r="C98" i="27"/>
  <c r="M98" i="27"/>
  <c r="K98" i="27" s="1"/>
  <c r="N98" i="27"/>
  <c r="Q98" i="27"/>
  <c r="F98" i="27"/>
  <c r="T39" i="27" l="1"/>
  <c r="K97" i="27"/>
  <c r="E41" i="36"/>
  <c r="E42" i="36"/>
  <c r="E43" i="36"/>
  <c r="E44" i="36"/>
  <c r="E45" i="36"/>
  <c r="E46" i="36"/>
  <c r="R160" i="35"/>
  <c r="R155" i="35"/>
  <c r="R154" i="35"/>
  <c r="R150" i="35"/>
  <c r="R151" i="35"/>
  <c r="R153" i="35"/>
  <c r="E151" i="35"/>
  <c r="F151" i="35"/>
  <c r="H151" i="35"/>
  <c r="L151" i="35"/>
  <c r="AH151" i="35" s="1"/>
  <c r="N151" i="35"/>
  <c r="AE151" i="35" s="1"/>
  <c r="T151" i="35"/>
  <c r="AF151" i="35" s="1"/>
  <c r="X151" i="35"/>
  <c r="Y151" i="35"/>
  <c r="AC151" i="35"/>
  <c r="AD151" i="35"/>
  <c r="AG151" i="35"/>
  <c r="C181" i="35" l="1"/>
  <c r="E181" i="35" s="1"/>
  <c r="C184" i="35"/>
  <c r="C218" i="35"/>
  <c r="C209" i="35"/>
  <c r="C198" i="35"/>
  <c r="E66" i="36"/>
  <c r="E62" i="36"/>
  <c r="E58" i="36"/>
  <c r="E53" i="36"/>
  <c r="E189" i="35"/>
  <c r="E188" i="35"/>
  <c r="E187" i="35"/>
  <c r="E186" i="35"/>
  <c r="E185" i="35"/>
  <c r="E182" i="35"/>
  <c r="E180" i="35"/>
  <c r="F8" i="37" l="1"/>
  <c r="AC175" i="35" l="1"/>
  <c r="AD175" i="35"/>
  <c r="AC177" i="35"/>
  <c r="AD177" i="35"/>
  <c r="AC178" i="35"/>
  <c r="AD178" i="35"/>
  <c r="AC179" i="35"/>
  <c r="AD179" i="35"/>
  <c r="AC180" i="35"/>
  <c r="AC181" i="35"/>
  <c r="AC182" i="35"/>
  <c r="AC184" i="35"/>
  <c r="AC185" i="35"/>
  <c r="AC198" i="35"/>
  <c r="AC186" i="35"/>
  <c r="AC187" i="35"/>
  <c r="AC188" i="35"/>
  <c r="AC189" i="35"/>
  <c r="AC190" i="35"/>
  <c r="AC193" i="35"/>
  <c r="AC194" i="35"/>
  <c r="AC191" i="35"/>
  <c r="AC192" i="35"/>
  <c r="AC195" i="35"/>
  <c r="AC196" i="35"/>
  <c r="AC197" i="35"/>
  <c r="AC199" i="35"/>
  <c r="AC200" i="35"/>
  <c r="AC201" i="35"/>
  <c r="AC202" i="35"/>
  <c r="AC203" i="35"/>
  <c r="AC204" i="35"/>
  <c r="AC205" i="35"/>
  <c r="AC206" i="35"/>
  <c r="AC207" i="35"/>
  <c r="AC208" i="35"/>
  <c r="AC209" i="35"/>
  <c r="AC210" i="35"/>
  <c r="AC211" i="35"/>
  <c r="AC212" i="35"/>
  <c r="AC213" i="35"/>
  <c r="AC214" i="35"/>
  <c r="AC215" i="35"/>
  <c r="AC216" i="35"/>
  <c r="AC217" i="35"/>
  <c r="AC218" i="35"/>
  <c r="AC219" i="35"/>
  <c r="AC220" i="35"/>
  <c r="AC221" i="35"/>
  <c r="AC222" i="35"/>
  <c r="AC223" i="35"/>
  <c r="AC224" i="35"/>
  <c r="AC225" i="35"/>
  <c r="AC226" i="35"/>
  <c r="AC227" i="35"/>
  <c r="AC228" i="35"/>
  <c r="AC231" i="35"/>
  <c r="AC235" i="35"/>
  <c r="AC229" i="35"/>
  <c r="AC230" i="35"/>
  <c r="AC236" i="35"/>
  <c r="AC232" i="35"/>
  <c r="AC233" i="35"/>
  <c r="AC237" i="35"/>
  <c r="AC238" i="35"/>
  <c r="AC239" i="35"/>
  <c r="AC240" i="35"/>
  <c r="AC241" i="35"/>
  <c r="AC242" i="35"/>
  <c r="AC243" i="35"/>
  <c r="AC244" i="35"/>
  <c r="AC234" i="35"/>
  <c r="AC245" i="35"/>
  <c r="AC246" i="35"/>
  <c r="AC247" i="35"/>
  <c r="AC252" i="35"/>
  <c r="AC248" i="35"/>
  <c r="AC249" i="35"/>
  <c r="AC250" i="35"/>
  <c r="AC251" i="35"/>
  <c r="AC253" i="35"/>
  <c r="AC254" i="35"/>
  <c r="AC256" i="35"/>
  <c r="AC257" i="35"/>
  <c r="AC258" i="35"/>
  <c r="AC259" i="35"/>
  <c r="AC255" i="35"/>
  <c r="AC260" i="35"/>
  <c r="AC266" i="35"/>
  <c r="AC267" i="35"/>
  <c r="AC261" i="35"/>
  <c r="AC262" i="35"/>
  <c r="AC263" i="35"/>
  <c r="AC264" i="35"/>
  <c r="AC265" i="35"/>
  <c r="AC270" i="35"/>
  <c r="AC271" i="35"/>
  <c r="AC272" i="35"/>
  <c r="AC268" i="35"/>
  <c r="AC269" i="35"/>
  <c r="AC273" i="35"/>
  <c r="AC274" i="35"/>
  <c r="AC275" i="35"/>
  <c r="AC276" i="35"/>
  <c r="AC277" i="35"/>
  <c r="AC278" i="35"/>
  <c r="AC279" i="35"/>
  <c r="AC280" i="35"/>
  <c r="AC287" i="35"/>
  <c r="AC281" i="35"/>
  <c r="AC282" i="35"/>
  <c r="AC283" i="35"/>
  <c r="AC285" i="35"/>
  <c r="AC286" i="35"/>
  <c r="AC288" i="35"/>
  <c r="AC284" i="35"/>
  <c r="AC289" i="35"/>
  <c r="AC290" i="35"/>
  <c r="AC291" i="35"/>
  <c r="AC292" i="35"/>
  <c r="AC293" i="35"/>
  <c r="AC294" i="35"/>
  <c r="AC295" i="35"/>
  <c r="AC296" i="35"/>
  <c r="AC297" i="35"/>
  <c r="AC298" i="35"/>
  <c r="AC299" i="35"/>
  <c r="AC305" i="35"/>
  <c r="AC300" i="35"/>
  <c r="AC302" i="35"/>
  <c r="AC303" i="35"/>
  <c r="AC306" i="35"/>
  <c r="AC307" i="35"/>
  <c r="AC308" i="35"/>
  <c r="AC309" i="35"/>
  <c r="AC310" i="35"/>
  <c r="AC311" i="35"/>
  <c r="AC301" i="35"/>
  <c r="AC304" i="35"/>
  <c r="AC312" i="35"/>
  <c r="AC313" i="35"/>
  <c r="AC314" i="35"/>
  <c r="AD174" i="35"/>
  <c r="AC174" i="35"/>
  <c r="AH231" i="35"/>
  <c r="AH242" i="35"/>
  <c r="AH263" i="35"/>
  <c r="AH289" i="35"/>
  <c r="AG79" i="35"/>
  <c r="AG80" i="35"/>
  <c r="AG81" i="35"/>
  <c r="AG82" i="35"/>
  <c r="AG83" i="35"/>
  <c r="AG84" i="35"/>
  <c r="AG85" i="35"/>
  <c r="AG86" i="35"/>
  <c r="AG87" i="35"/>
  <c r="AG88" i="35"/>
  <c r="AG89" i="35"/>
  <c r="AG90" i="35"/>
  <c r="AG91" i="35"/>
  <c r="AG92" i="35"/>
  <c r="AG93" i="35"/>
  <c r="AG94" i="35"/>
  <c r="AG95" i="35"/>
  <c r="AG96" i="35"/>
  <c r="AG97" i="35"/>
  <c r="AG98" i="35"/>
  <c r="AG99" i="35"/>
  <c r="AG100" i="35"/>
  <c r="AG101" i="35"/>
  <c r="AG102" i="35"/>
  <c r="AG103" i="35"/>
  <c r="AG104" i="35"/>
  <c r="AG105" i="35"/>
  <c r="AG106" i="35"/>
  <c r="AG107" i="35"/>
  <c r="AG108" i="35"/>
  <c r="AG109" i="35"/>
  <c r="AG110" i="35"/>
  <c r="AG111" i="35"/>
  <c r="AG112" i="35"/>
  <c r="AG113" i="35"/>
  <c r="AG114" i="35"/>
  <c r="AG115" i="35"/>
  <c r="AG116" i="35"/>
  <c r="AG117" i="35"/>
  <c r="AG118" i="35"/>
  <c r="AG119" i="35"/>
  <c r="AG120" i="35"/>
  <c r="AG121" i="35"/>
  <c r="AG122" i="35"/>
  <c r="AG123" i="35"/>
  <c r="AG124" i="35"/>
  <c r="AG125" i="35"/>
  <c r="AG126" i="35"/>
  <c r="AG127" i="35"/>
  <c r="AG128" i="35"/>
  <c r="AG129" i="35"/>
  <c r="AG130" i="35"/>
  <c r="AG131" i="35"/>
  <c r="AG132" i="35"/>
  <c r="AG133" i="35"/>
  <c r="AG134" i="35"/>
  <c r="AG135" i="35"/>
  <c r="AG136" i="35"/>
  <c r="AG137" i="35"/>
  <c r="AG138" i="35"/>
  <c r="AG139" i="35"/>
  <c r="AG140" i="35"/>
  <c r="AG141" i="35"/>
  <c r="AG142" i="35"/>
  <c r="AG143" i="35"/>
  <c r="AG144" i="35"/>
  <c r="AG145" i="35"/>
  <c r="AG146" i="35"/>
  <c r="AG147" i="35"/>
  <c r="AG148" i="35"/>
  <c r="AG149" i="35"/>
  <c r="AG150" i="35"/>
  <c r="AG152" i="35"/>
  <c r="AG153" i="35"/>
  <c r="AG154" i="35"/>
  <c r="AG156" i="35"/>
  <c r="AG157" i="35"/>
  <c r="AG155" i="35"/>
  <c r="AG159" i="35"/>
  <c r="AG158" i="35"/>
  <c r="AG164" i="35"/>
  <c r="AG165" i="35"/>
  <c r="AG166" i="35"/>
  <c r="AG160" i="35"/>
  <c r="AG161" i="35"/>
  <c r="AG162" i="35"/>
  <c r="AG163" i="35"/>
  <c r="AG167" i="35"/>
  <c r="AG168" i="35"/>
  <c r="AG169" i="35"/>
  <c r="AG170" i="35"/>
  <c r="AG171" i="35"/>
  <c r="AG172" i="35"/>
  <c r="AG173" i="35"/>
  <c r="AG174" i="35"/>
  <c r="AG175" i="35"/>
  <c r="AG177" i="35"/>
  <c r="AG178" i="35"/>
  <c r="AG179" i="35"/>
  <c r="AG180" i="35"/>
  <c r="AG181" i="35"/>
  <c r="AG182" i="35"/>
  <c r="AG184" i="35"/>
  <c r="AG185" i="35"/>
  <c r="AG198" i="35"/>
  <c r="AG186" i="35"/>
  <c r="AG187" i="35"/>
  <c r="AG188" i="35"/>
  <c r="AG189" i="35"/>
  <c r="AG190" i="35"/>
  <c r="AG193" i="35"/>
  <c r="AG194" i="35"/>
  <c r="AG191" i="35"/>
  <c r="AG192" i="35"/>
  <c r="AG195" i="35"/>
  <c r="AG196" i="35"/>
  <c r="AG197" i="35"/>
  <c r="AG199" i="35"/>
  <c r="AG200" i="35"/>
  <c r="AG201" i="35"/>
  <c r="AG202" i="35"/>
  <c r="AG203" i="35"/>
  <c r="AG204" i="35"/>
  <c r="AG205" i="35"/>
  <c r="AG206" i="35"/>
  <c r="AG207" i="35"/>
  <c r="AG208" i="35"/>
  <c r="AG209" i="35"/>
  <c r="AG210" i="35"/>
  <c r="AG211" i="35"/>
  <c r="AG212" i="35"/>
  <c r="AG213" i="35"/>
  <c r="AG214" i="35"/>
  <c r="AG215" i="35"/>
  <c r="AG216" i="35"/>
  <c r="AG217" i="35"/>
  <c r="AG218" i="35"/>
  <c r="AG219" i="35"/>
  <c r="AG220" i="35"/>
  <c r="AG221" i="35"/>
  <c r="AG222" i="35"/>
  <c r="AG223" i="35"/>
  <c r="AG224" i="35"/>
  <c r="AG225" i="35"/>
  <c r="AG226" i="35"/>
  <c r="AG227" i="35"/>
  <c r="AG228" i="35"/>
  <c r="AG231" i="35"/>
  <c r="AG235" i="35"/>
  <c r="AG229" i="35"/>
  <c r="AG230" i="35"/>
  <c r="AG236" i="35"/>
  <c r="AG232" i="35"/>
  <c r="AG233" i="35"/>
  <c r="AG237" i="35"/>
  <c r="AG238" i="35"/>
  <c r="AG239" i="35"/>
  <c r="AG240" i="35"/>
  <c r="AG241" i="35"/>
  <c r="AG242" i="35"/>
  <c r="AG243" i="35"/>
  <c r="AG244" i="35"/>
  <c r="AG234" i="35"/>
  <c r="AG245" i="35"/>
  <c r="AG246" i="35"/>
  <c r="AG247" i="35"/>
  <c r="AG252" i="35"/>
  <c r="AG248" i="35"/>
  <c r="AG249" i="35"/>
  <c r="AG250" i="35"/>
  <c r="AG251" i="35"/>
  <c r="AG253" i="35"/>
  <c r="AG254" i="35"/>
  <c r="AG256" i="35"/>
  <c r="AG257" i="35"/>
  <c r="AG258" i="35"/>
  <c r="AG259" i="35"/>
  <c r="AG255" i="35"/>
  <c r="AG260" i="35"/>
  <c r="AG266" i="35"/>
  <c r="AG267" i="35"/>
  <c r="AG261" i="35"/>
  <c r="AG262" i="35"/>
  <c r="AG263" i="35"/>
  <c r="AG264" i="35"/>
  <c r="AG265" i="35"/>
  <c r="AG270" i="35"/>
  <c r="AG271" i="35"/>
  <c r="AG272" i="35"/>
  <c r="AG268" i="35"/>
  <c r="AG269" i="35"/>
  <c r="AG273" i="35"/>
  <c r="AG274" i="35"/>
  <c r="AG275" i="35"/>
  <c r="AG276" i="35"/>
  <c r="AG277" i="35"/>
  <c r="AG278" i="35"/>
  <c r="AG279" i="35"/>
  <c r="AG280" i="35"/>
  <c r="AG287" i="35"/>
  <c r="AG281" i="35"/>
  <c r="AG282" i="35"/>
  <c r="AG283" i="35"/>
  <c r="AG285" i="35"/>
  <c r="AG286" i="35"/>
  <c r="AG288" i="35"/>
  <c r="AG284" i="35"/>
  <c r="AG289" i="35"/>
  <c r="AG290" i="35"/>
  <c r="AG291" i="35"/>
  <c r="AG292" i="35"/>
  <c r="AG293" i="35"/>
  <c r="AG294" i="35"/>
  <c r="AG295" i="35"/>
  <c r="AG296" i="35"/>
  <c r="AG297" i="35"/>
  <c r="AG298" i="35"/>
  <c r="AG299" i="35"/>
  <c r="AG305" i="35"/>
  <c r="AG300" i="35"/>
  <c r="AG302" i="35"/>
  <c r="AG303" i="35"/>
  <c r="AG306" i="35"/>
  <c r="AG307" i="35"/>
  <c r="AG308" i="35"/>
  <c r="AG309" i="35"/>
  <c r="AG310" i="35"/>
  <c r="AG311" i="35"/>
  <c r="AG301" i="35"/>
  <c r="AG304" i="35"/>
  <c r="AG312" i="35"/>
  <c r="AG313" i="35"/>
  <c r="AG314" i="35"/>
  <c r="AG78" i="35"/>
  <c r="AE113" i="35"/>
  <c r="AD172" i="35"/>
  <c r="AD171" i="35"/>
  <c r="AD170" i="35"/>
  <c r="AD169" i="35"/>
  <c r="AD168" i="35"/>
  <c r="AD167" i="35"/>
  <c r="AD163" i="35"/>
  <c r="AD162" i="35"/>
  <c r="AD161" i="35"/>
  <c r="AD160" i="35"/>
  <c r="AD166" i="35"/>
  <c r="AD165" i="35"/>
  <c r="AD164" i="35"/>
  <c r="AD158" i="35"/>
  <c r="AD159" i="35"/>
  <c r="AD155" i="35"/>
  <c r="AD157" i="35"/>
  <c r="AD156" i="35"/>
  <c r="AD154" i="35"/>
  <c r="AD153" i="35"/>
  <c r="AD152" i="35"/>
  <c r="AD150" i="35"/>
  <c r="AD149" i="35"/>
  <c r="AD148" i="35"/>
  <c r="AD147" i="35"/>
  <c r="AD146" i="35"/>
  <c r="AD145" i="35"/>
  <c r="AD144" i="35"/>
  <c r="AD143" i="35"/>
  <c r="AD142" i="35"/>
  <c r="AD141" i="35"/>
  <c r="AD140" i="35"/>
  <c r="AD139" i="35"/>
  <c r="AD138" i="35"/>
  <c r="AD137" i="35"/>
  <c r="AD136" i="35"/>
  <c r="AD135" i="35"/>
  <c r="AD134" i="35"/>
  <c r="AD133" i="35"/>
  <c r="AD132" i="35"/>
  <c r="AD131" i="35"/>
  <c r="AD130" i="35"/>
  <c r="AD129" i="35"/>
  <c r="AD128" i="35"/>
  <c r="AD127" i="35"/>
  <c r="AD126" i="35"/>
  <c r="AD125" i="35"/>
  <c r="AD124" i="35"/>
  <c r="AD123" i="35"/>
  <c r="AD122" i="35"/>
  <c r="AD121" i="35"/>
  <c r="AD120" i="35"/>
  <c r="AD119" i="35"/>
  <c r="AD118" i="35"/>
  <c r="AD117" i="35"/>
  <c r="AD116" i="35"/>
  <c r="AD115" i="35"/>
  <c r="AD114" i="35"/>
  <c r="AD113" i="35"/>
  <c r="AD112" i="35"/>
  <c r="AD111" i="35"/>
  <c r="AD110" i="35"/>
  <c r="AD109" i="35"/>
  <c r="AD108" i="35"/>
  <c r="AD107" i="35"/>
  <c r="AD106" i="35"/>
  <c r="AD105" i="35"/>
  <c r="AD104" i="35"/>
  <c r="AD103" i="35"/>
  <c r="AD102" i="35"/>
  <c r="AD101" i="35"/>
  <c r="AD100" i="35"/>
  <c r="AD99" i="35"/>
  <c r="AD98" i="35"/>
  <c r="AD97" i="35"/>
  <c r="AD96" i="35"/>
  <c r="AD95" i="35"/>
  <c r="AD94" i="35"/>
  <c r="AD93" i="35"/>
  <c r="AD92" i="35"/>
  <c r="AD91" i="35"/>
  <c r="AD90" i="35"/>
  <c r="AD89" i="35"/>
  <c r="AD88" i="35"/>
  <c r="AD87" i="35"/>
  <c r="AD86" i="35"/>
  <c r="AD85" i="35"/>
  <c r="AD84" i="35"/>
  <c r="AD83" i="35"/>
  <c r="AD82" i="35"/>
  <c r="AD81" i="35"/>
  <c r="AD80" i="35"/>
  <c r="AD79" i="35"/>
  <c r="AD78" i="35"/>
  <c r="AD173" i="35"/>
  <c r="AC116" i="35"/>
  <c r="AC115" i="35"/>
  <c r="AC114" i="35"/>
  <c r="AC113" i="35"/>
  <c r="AC112" i="35"/>
  <c r="AC111" i="35"/>
  <c r="AC110" i="35"/>
  <c r="AC109" i="35"/>
  <c r="AC108" i="35"/>
  <c r="AC107" i="35"/>
  <c r="AC106" i="35"/>
  <c r="AC105" i="35"/>
  <c r="AC104" i="35"/>
  <c r="AC103" i="35"/>
  <c r="AC102" i="35"/>
  <c r="AC101" i="35"/>
  <c r="AC100" i="35"/>
  <c r="AC99" i="35"/>
  <c r="AC98" i="35"/>
  <c r="AC97" i="35"/>
  <c r="AC96" i="35"/>
  <c r="AC95" i="35"/>
  <c r="AC94" i="35"/>
  <c r="AC93" i="35"/>
  <c r="AC92" i="35"/>
  <c r="AC91" i="35"/>
  <c r="AC90" i="35"/>
  <c r="AC89" i="35"/>
  <c r="AC88" i="35"/>
  <c r="AC87" i="35"/>
  <c r="AC86" i="35"/>
  <c r="AC85" i="35"/>
  <c r="AC84" i="35"/>
  <c r="AC83" i="35"/>
  <c r="AC82" i="35"/>
  <c r="AC81" i="35"/>
  <c r="AC80" i="35"/>
  <c r="AC79" i="35"/>
  <c r="AC78" i="35"/>
  <c r="AC172" i="35"/>
  <c r="AC171" i="35"/>
  <c r="AC170" i="35"/>
  <c r="AC169" i="35"/>
  <c r="AC168" i="35"/>
  <c r="AC167" i="35"/>
  <c r="AC163" i="35"/>
  <c r="AC162" i="35"/>
  <c r="AC161" i="35"/>
  <c r="AC160" i="35"/>
  <c r="AC166" i="35"/>
  <c r="AC165" i="35"/>
  <c r="AC164" i="35"/>
  <c r="AC158" i="35"/>
  <c r="AC159" i="35"/>
  <c r="AC155" i="35"/>
  <c r="AC157" i="35"/>
  <c r="AC156" i="35"/>
  <c r="AC154" i="35"/>
  <c r="AC153" i="35"/>
  <c r="AC152" i="35"/>
  <c r="AC150" i="35"/>
  <c r="AC149" i="35"/>
  <c r="AC148" i="35"/>
  <c r="AC147" i="35"/>
  <c r="AC146" i="35"/>
  <c r="AC145" i="35"/>
  <c r="AC144" i="35"/>
  <c r="AC143" i="35"/>
  <c r="AC142" i="35"/>
  <c r="AC141" i="35"/>
  <c r="AC140" i="35"/>
  <c r="AC139" i="35"/>
  <c r="AC138" i="35"/>
  <c r="AC137" i="35"/>
  <c r="AC136" i="35"/>
  <c r="AC135" i="35"/>
  <c r="AC134" i="35"/>
  <c r="AC133" i="35"/>
  <c r="AC132" i="35"/>
  <c r="AC131" i="35"/>
  <c r="AC130" i="35"/>
  <c r="AC129" i="35"/>
  <c r="AC128" i="35"/>
  <c r="AC127" i="35"/>
  <c r="AC126" i="35"/>
  <c r="AC125" i="35"/>
  <c r="AC124" i="35"/>
  <c r="AC123" i="35"/>
  <c r="AC122" i="35"/>
  <c r="AC121" i="35"/>
  <c r="AC120" i="35"/>
  <c r="AC119" i="35"/>
  <c r="AC118" i="35"/>
  <c r="AC117" i="35"/>
  <c r="AC173" i="35"/>
  <c r="P275" i="35" l="1"/>
  <c r="R275" i="35"/>
  <c r="R278" i="35"/>
  <c r="P278" i="35"/>
  <c r="F251" i="35"/>
  <c r="H251" i="35"/>
  <c r="L251" i="35"/>
  <c r="AH251" i="35" s="1"/>
  <c r="P251" i="35"/>
  <c r="R251" i="35"/>
  <c r="X251" i="35"/>
  <c r="Y251" i="35"/>
  <c r="S261" i="35"/>
  <c r="R254" i="35"/>
  <c r="R253" i="35"/>
  <c r="F254" i="35"/>
  <c r="H254" i="35"/>
  <c r="L254" i="35"/>
  <c r="AH254" i="35" s="1"/>
  <c r="P254" i="35"/>
  <c r="X254" i="35"/>
  <c r="Y254" i="35"/>
  <c r="F247" i="35"/>
  <c r="H247" i="35"/>
  <c r="L247" i="35"/>
  <c r="AH247" i="35" s="1"/>
  <c r="P247" i="35"/>
  <c r="R247" i="35"/>
  <c r="X247" i="35"/>
  <c r="Y247" i="35"/>
  <c r="T161" i="35"/>
  <c r="AF161" i="35" s="1"/>
  <c r="N161" i="35"/>
  <c r="T160" i="35"/>
  <c r="N160" i="35"/>
  <c r="AE160" i="35" s="1"/>
  <c r="R156" i="35"/>
  <c r="H152" i="35"/>
  <c r="H153" i="35"/>
  <c r="H154" i="35"/>
  <c r="T42" i="35"/>
  <c r="AE161" i="35" l="1"/>
  <c r="W160" i="35"/>
  <c r="AF160" i="35"/>
  <c r="R147" i="35" l="1"/>
  <c r="N147" i="35"/>
  <c r="AE147" i="35" s="1"/>
  <c r="E148" i="35"/>
  <c r="F148" i="35"/>
  <c r="H148" i="35"/>
  <c r="L148" i="35"/>
  <c r="AH148" i="35" s="1"/>
  <c r="N148" i="35"/>
  <c r="AE148" i="35" s="1"/>
  <c r="R148" i="35"/>
  <c r="T148" i="35"/>
  <c r="AF148" i="35" s="1"/>
  <c r="X148" i="35"/>
  <c r="Y148" i="35"/>
  <c r="L38" i="36"/>
  <c r="N138" i="35"/>
  <c r="AE138" i="35" s="1"/>
  <c r="P138" i="35"/>
  <c r="R138" i="35"/>
  <c r="T138" i="35"/>
  <c r="AF138" i="35" s="1"/>
  <c r="R149" i="35"/>
  <c r="R145" i="35"/>
  <c r="P145" i="35"/>
  <c r="R144" i="35"/>
  <c r="P144" i="35"/>
  <c r="R143" i="35"/>
  <c r="P143" i="35"/>
  <c r="P136" i="35"/>
  <c r="R136" i="35"/>
  <c r="R137" i="35"/>
  <c r="P137" i="35"/>
  <c r="P139" i="35"/>
  <c r="P140" i="35"/>
  <c r="E140" i="35"/>
  <c r="F140" i="35"/>
  <c r="H140" i="35"/>
  <c r="L140" i="35"/>
  <c r="AH140" i="35" s="1"/>
  <c r="N140" i="35"/>
  <c r="AE140" i="35" s="1"/>
  <c r="R140" i="35"/>
  <c r="T140" i="35"/>
  <c r="AF140" i="35" s="1"/>
  <c r="X140" i="35"/>
  <c r="Y140" i="35"/>
  <c r="W138" i="35" l="1"/>
  <c r="R244" i="35" l="1"/>
  <c r="P244" i="35"/>
  <c r="F244" i="35"/>
  <c r="H244" i="35"/>
  <c r="L244" i="35"/>
  <c r="AH244" i="35" s="1"/>
  <c r="X244" i="35"/>
  <c r="Y244" i="35"/>
  <c r="F240" i="35"/>
  <c r="H240" i="35"/>
  <c r="L240" i="35"/>
  <c r="AH240" i="35" s="1"/>
  <c r="P240" i="35"/>
  <c r="R240" i="35"/>
  <c r="X240" i="35"/>
  <c r="Y240" i="35"/>
  <c r="F230" i="35"/>
  <c r="H230" i="35"/>
  <c r="L230" i="35"/>
  <c r="AH230" i="35" s="1"/>
  <c r="P230" i="35"/>
  <c r="R230" i="35"/>
  <c r="X230" i="35"/>
  <c r="Y230" i="35"/>
  <c r="R223" i="35"/>
  <c r="P223" i="35"/>
  <c r="F221" i="35"/>
  <c r="H221" i="35"/>
  <c r="L221" i="35"/>
  <c r="AH221" i="35" s="1"/>
  <c r="P221" i="35"/>
  <c r="R221" i="35"/>
  <c r="X221" i="35"/>
  <c r="Y221" i="35"/>
  <c r="R225" i="35" l="1"/>
  <c r="P226" i="35"/>
  <c r="P225" i="35"/>
  <c r="T113" i="35"/>
  <c r="AF113" i="35" s="1"/>
  <c r="F223" i="35"/>
  <c r="H223" i="35"/>
  <c r="L223" i="35"/>
  <c r="AH223" i="35" s="1"/>
  <c r="X223" i="35"/>
  <c r="Y223" i="35"/>
  <c r="F228" i="35"/>
  <c r="H228" i="35"/>
  <c r="L228" i="35"/>
  <c r="AH228" i="35" s="1"/>
  <c r="P228" i="35"/>
  <c r="R228" i="35"/>
  <c r="X228" i="35"/>
  <c r="Y228" i="35"/>
  <c r="Y227" i="35"/>
  <c r="X227" i="35"/>
  <c r="R227" i="35"/>
  <c r="P227" i="35"/>
  <c r="L227" i="35"/>
  <c r="AH227" i="35" s="1"/>
  <c r="H227" i="35"/>
  <c r="F227" i="35"/>
  <c r="P224" i="35"/>
  <c r="R224" i="35"/>
  <c r="U68" i="33" l="1"/>
  <c r="U70" i="33"/>
  <c r="U71" i="33"/>
  <c r="U73" i="33"/>
  <c r="U96" i="33"/>
  <c r="U136" i="33"/>
  <c r="U137" i="33"/>
  <c r="U138" i="33"/>
  <c r="U139" i="33"/>
  <c r="U140" i="33"/>
  <c r="U141" i="33"/>
  <c r="U142" i="33"/>
  <c r="U143" i="33"/>
  <c r="U144" i="33"/>
  <c r="U145" i="33"/>
  <c r="U146" i="33"/>
  <c r="U147" i="33"/>
  <c r="U148" i="33"/>
  <c r="U149" i="33"/>
  <c r="U150" i="33"/>
  <c r="U151" i="33"/>
  <c r="U152" i="33"/>
  <c r="U153" i="33"/>
  <c r="U154" i="33"/>
  <c r="U155" i="33"/>
  <c r="U156" i="33"/>
  <c r="U159" i="33"/>
  <c r="F279" i="35" l="1"/>
  <c r="H279" i="35"/>
  <c r="L279" i="35"/>
  <c r="AH279" i="35" s="1"/>
  <c r="P279" i="35"/>
  <c r="R279" i="35"/>
  <c r="X279" i="35"/>
  <c r="Y279" i="35"/>
  <c r="F275" i="35"/>
  <c r="H275" i="35"/>
  <c r="L275" i="35"/>
  <c r="AH275" i="35" s="1"/>
  <c r="X275" i="35"/>
  <c r="Y275" i="35"/>
  <c r="F267" i="35"/>
  <c r="H267" i="35"/>
  <c r="L267" i="35"/>
  <c r="AH267" i="35" s="1"/>
  <c r="P267" i="35"/>
  <c r="R267" i="35"/>
  <c r="X267" i="35"/>
  <c r="Y267" i="35"/>
  <c r="R259" i="35"/>
  <c r="P259" i="35"/>
  <c r="F259" i="35"/>
  <c r="H259" i="35"/>
  <c r="L259" i="35"/>
  <c r="AH259" i="35" s="1"/>
  <c r="X259" i="35"/>
  <c r="Y259" i="35"/>
  <c r="F257" i="35"/>
  <c r="H257" i="35"/>
  <c r="L257" i="35"/>
  <c r="AH257" i="35" s="1"/>
  <c r="P257" i="35"/>
  <c r="R257" i="35"/>
  <c r="X257" i="35"/>
  <c r="Y257" i="35"/>
  <c r="P245" i="35"/>
  <c r="R245" i="35"/>
  <c r="S245" i="35"/>
  <c r="S314" i="35"/>
  <c r="S313" i="35"/>
  <c r="S312" i="35"/>
  <c r="S304" i="35"/>
  <c r="S301" i="35"/>
  <c r="S311" i="35"/>
  <c r="S310" i="35"/>
  <c r="S309" i="35"/>
  <c r="S308" i="35"/>
  <c r="S307" i="35"/>
  <c r="S306" i="35"/>
  <c r="S303" i="35"/>
  <c r="S302" i="35"/>
  <c r="S300" i="35"/>
  <c r="S305" i="35"/>
  <c r="S299" i="35"/>
  <c r="S298" i="35"/>
  <c r="S297" i="35"/>
  <c r="S296" i="35"/>
  <c r="S295" i="35"/>
  <c r="S294" i="35"/>
  <c r="S293" i="35"/>
  <c r="S292" i="35"/>
  <c r="S291" i="35"/>
  <c r="S290" i="35"/>
  <c r="S289" i="35"/>
  <c r="S284" i="35"/>
  <c r="S288" i="35"/>
  <c r="S286" i="35"/>
  <c r="S285" i="35"/>
  <c r="S283" i="35"/>
  <c r="S282" i="35"/>
  <c r="S281" i="35"/>
  <c r="S287" i="35"/>
  <c r="S280" i="35"/>
  <c r="S277" i="35"/>
  <c r="S276" i="35"/>
  <c r="S271" i="35"/>
  <c r="S273" i="35"/>
  <c r="S265" i="35"/>
  <c r="S270" i="35"/>
  <c r="S269" i="35"/>
  <c r="S268" i="35"/>
  <c r="S262" i="35"/>
  <c r="S260" i="35"/>
  <c r="S255" i="35"/>
  <c r="S249" i="35"/>
  <c r="S252" i="35"/>
  <c r="S242" i="35"/>
  <c r="S241" i="35"/>
  <c r="S238" i="35"/>
  <c r="S233" i="35"/>
  <c r="S232" i="35"/>
  <c r="P222" i="35"/>
  <c r="R222" i="35"/>
  <c r="P141" i="28"/>
  <c r="P143" i="28"/>
  <c r="P140" i="28"/>
  <c r="J141" i="28"/>
  <c r="J143" i="28"/>
  <c r="P142" i="28"/>
  <c r="S138" i="28"/>
  <c r="N138" i="28"/>
  <c r="L138" i="28" s="1"/>
  <c r="K138" i="28"/>
  <c r="F138" i="28"/>
  <c r="D138" i="28"/>
  <c r="B138" i="28"/>
  <c r="S137" i="28"/>
  <c r="N137" i="28"/>
  <c r="L137" i="28" s="1"/>
  <c r="K137" i="28"/>
  <c r="F137" i="28"/>
  <c r="D137" i="28"/>
  <c r="B137" i="28"/>
  <c r="S136" i="28"/>
  <c r="N136" i="28"/>
  <c r="L136" i="28" s="1"/>
  <c r="K136" i="28"/>
  <c r="F136" i="28"/>
  <c r="D136" i="28"/>
  <c r="B136" i="28"/>
  <c r="S135" i="28"/>
  <c r="N135" i="28"/>
  <c r="L135" i="28" s="1"/>
  <c r="K135" i="28"/>
  <c r="F135" i="28"/>
  <c r="D135" i="28"/>
  <c r="B135" i="28"/>
  <c r="S134" i="28"/>
  <c r="N134" i="28"/>
  <c r="L134" i="28" s="1"/>
  <c r="K134" i="28"/>
  <c r="F134" i="28"/>
  <c r="D134" i="28"/>
  <c r="B134" i="28"/>
  <c r="S133" i="28"/>
  <c r="N133" i="28"/>
  <c r="K133" i="28"/>
  <c r="F133" i="28"/>
  <c r="D133" i="28"/>
  <c r="B133" i="28"/>
  <c r="S132" i="28"/>
  <c r="N132" i="28"/>
  <c r="K132" i="28"/>
  <c r="F132" i="28"/>
  <c r="D132" i="28"/>
  <c r="B132" i="28"/>
  <c r="S131" i="28"/>
  <c r="N131" i="28"/>
  <c r="L131" i="28" s="1"/>
  <c r="K131" i="28"/>
  <c r="F131" i="28"/>
  <c r="D131" i="28"/>
  <c r="B131" i="28"/>
  <c r="S130" i="28"/>
  <c r="N130" i="28"/>
  <c r="L130" i="28" s="1"/>
  <c r="K130" i="28"/>
  <c r="F130" i="28"/>
  <c r="D130" i="28"/>
  <c r="B130" i="28"/>
  <c r="S129" i="28"/>
  <c r="N129" i="28"/>
  <c r="K129" i="28"/>
  <c r="F129" i="28"/>
  <c r="D129" i="28"/>
  <c r="B129" i="28"/>
  <c r="S128" i="28"/>
  <c r="N128" i="28"/>
  <c r="K128" i="28"/>
  <c r="F128" i="28"/>
  <c r="D128" i="28"/>
  <c r="B128" i="28"/>
  <c r="S127" i="28"/>
  <c r="N127" i="28"/>
  <c r="L127" i="28" s="1"/>
  <c r="K127" i="28"/>
  <c r="F127" i="28"/>
  <c r="D127" i="28"/>
  <c r="B127" i="28"/>
  <c r="S126" i="28"/>
  <c r="N126" i="28"/>
  <c r="L126" i="28"/>
  <c r="K126" i="28"/>
  <c r="F126" i="28"/>
  <c r="D126" i="28"/>
  <c r="B126" i="28"/>
  <c r="S125" i="28"/>
  <c r="N125" i="28"/>
  <c r="K125" i="28"/>
  <c r="F125" i="28"/>
  <c r="D125" i="28"/>
  <c r="B125" i="28"/>
  <c r="S124" i="28"/>
  <c r="N124" i="28"/>
  <c r="K124" i="28"/>
  <c r="F124" i="28"/>
  <c r="D124" i="28"/>
  <c r="B124" i="28"/>
  <c r="S123" i="28"/>
  <c r="N123" i="28"/>
  <c r="K123" i="28"/>
  <c r="F123" i="28"/>
  <c r="D123" i="28"/>
  <c r="B123" i="28"/>
  <c r="S122" i="28"/>
  <c r="N122" i="28"/>
  <c r="L122" i="28" s="1"/>
  <c r="K122" i="28"/>
  <c r="F122" i="28"/>
  <c r="D122" i="28"/>
  <c r="B122" i="28"/>
  <c r="S121" i="28"/>
  <c r="N121" i="28"/>
  <c r="L121" i="28" s="1"/>
  <c r="K121" i="28"/>
  <c r="F121" i="28"/>
  <c r="D121" i="28"/>
  <c r="B121" i="28"/>
  <c r="S120" i="28"/>
  <c r="N120" i="28"/>
  <c r="L120" i="28" s="1"/>
  <c r="K120" i="28"/>
  <c r="F120" i="28"/>
  <c r="D120" i="28"/>
  <c r="B120" i="28"/>
  <c r="S119" i="28"/>
  <c r="N119" i="28"/>
  <c r="L119" i="28" s="1"/>
  <c r="K119" i="28"/>
  <c r="F119" i="28"/>
  <c r="D119" i="28"/>
  <c r="B119" i="28"/>
  <c r="S118" i="28"/>
  <c r="N118" i="28"/>
  <c r="L118" i="28" s="1"/>
  <c r="K118" i="28"/>
  <c r="F118" i="28"/>
  <c r="D118" i="28"/>
  <c r="B118" i="28"/>
  <c r="S117" i="28"/>
  <c r="N117" i="28"/>
  <c r="L117" i="28" s="1"/>
  <c r="K117" i="28"/>
  <c r="F117" i="28"/>
  <c r="D117" i="28"/>
  <c r="B117" i="28"/>
  <c r="S116" i="28"/>
  <c r="N116" i="28"/>
  <c r="L116" i="28" s="1"/>
  <c r="K116" i="28"/>
  <c r="F116" i="28"/>
  <c r="D116" i="28"/>
  <c r="B116" i="28"/>
  <c r="S115" i="28"/>
  <c r="N115" i="28"/>
  <c r="L115" i="28" s="1"/>
  <c r="K115" i="28"/>
  <c r="F115" i="28"/>
  <c r="D115" i="28"/>
  <c r="B115" i="28"/>
  <c r="S114" i="28"/>
  <c r="N114" i="28"/>
  <c r="L114" i="28" s="1"/>
  <c r="K114" i="28"/>
  <c r="F114" i="28"/>
  <c r="D114" i="28"/>
  <c r="B114" i="28"/>
  <c r="S113" i="28"/>
  <c r="N113" i="28"/>
  <c r="L113" i="28" s="1"/>
  <c r="K113" i="28"/>
  <c r="F113" i="28"/>
  <c r="D113" i="28"/>
  <c r="B113" i="28"/>
  <c r="S112" i="28"/>
  <c r="N112" i="28"/>
  <c r="L112" i="28" s="1"/>
  <c r="K112" i="28"/>
  <c r="F112" i="28"/>
  <c r="D112" i="28"/>
  <c r="B112" i="28"/>
  <c r="S111" i="28"/>
  <c r="N111" i="28"/>
  <c r="L111" i="28" s="1"/>
  <c r="K111" i="28"/>
  <c r="F111" i="28"/>
  <c r="D111" i="28"/>
  <c r="B111" i="28"/>
  <c r="S110" i="28"/>
  <c r="N110" i="28"/>
  <c r="L110" i="28" s="1"/>
  <c r="K110" i="28"/>
  <c r="F110" i="28"/>
  <c r="D110" i="28"/>
  <c r="B110" i="28"/>
  <c r="S109" i="28"/>
  <c r="N109" i="28"/>
  <c r="L109" i="28" s="1"/>
  <c r="K109" i="28"/>
  <c r="F109" i="28"/>
  <c r="D109" i="28"/>
  <c r="B109" i="28"/>
  <c r="S108" i="28"/>
  <c r="N108" i="28"/>
  <c r="L108" i="28" s="1"/>
  <c r="K108" i="28"/>
  <c r="F108" i="28"/>
  <c r="D108" i="28"/>
  <c r="B108" i="28"/>
  <c r="S107" i="28"/>
  <c r="N107" i="28"/>
  <c r="L107" i="28"/>
  <c r="K107" i="28"/>
  <c r="F107" i="28"/>
  <c r="D107" i="28"/>
  <c r="B107" i="28"/>
  <c r="S106" i="28"/>
  <c r="N106" i="28"/>
  <c r="L106" i="28" s="1"/>
  <c r="K106" i="28"/>
  <c r="F106" i="28"/>
  <c r="D106" i="28"/>
  <c r="B106" i="28"/>
  <c r="S105" i="28"/>
  <c r="N105" i="28"/>
  <c r="L105" i="28" s="1"/>
  <c r="K105" i="28"/>
  <c r="F105" i="28"/>
  <c r="D105" i="28"/>
  <c r="B105" i="28"/>
  <c r="S104" i="28"/>
  <c r="N104" i="28"/>
  <c r="L104" i="28" s="1"/>
  <c r="K104" i="28"/>
  <c r="F104" i="28"/>
  <c r="D104" i="28"/>
  <c r="B104" i="28"/>
  <c r="S103" i="28"/>
  <c r="N103" i="28"/>
  <c r="L103" i="28" s="1"/>
  <c r="K103" i="28"/>
  <c r="F103" i="28"/>
  <c r="D103" i="28"/>
  <c r="B103" i="28"/>
  <c r="S102" i="28"/>
  <c r="N102" i="28"/>
  <c r="L102" i="28" s="1"/>
  <c r="K102" i="28"/>
  <c r="F102" i="28"/>
  <c r="D102" i="28"/>
  <c r="B102" i="28"/>
  <c r="S101" i="28"/>
  <c r="N101" i="28"/>
  <c r="L101" i="28" s="1"/>
  <c r="K101" i="28"/>
  <c r="F101" i="28"/>
  <c r="D101" i="28"/>
  <c r="B101" i="28"/>
  <c r="S100" i="28"/>
  <c r="N100" i="28"/>
  <c r="L100" i="28" s="1"/>
  <c r="K100" i="28"/>
  <c r="F100" i="28"/>
  <c r="D100" i="28"/>
  <c r="B100" i="28"/>
  <c r="S99" i="28"/>
  <c r="N99" i="28"/>
  <c r="L99" i="28" s="1"/>
  <c r="K99" i="28"/>
  <c r="F99" i="28"/>
  <c r="D99" i="28"/>
  <c r="B99" i="28"/>
  <c r="S98" i="28"/>
  <c r="N98" i="28"/>
  <c r="L98" i="28" s="1"/>
  <c r="K98" i="28"/>
  <c r="F98" i="28"/>
  <c r="D98" i="28"/>
  <c r="B98" i="28"/>
  <c r="S97" i="28"/>
  <c r="N97" i="28"/>
  <c r="L97" i="28" s="1"/>
  <c r="K97" i="28"/>
  <c r="F97" i="28"/>
  <c r="D97" i="28"/>
  <c r="B97" i="28"/>
  <c r="S96" i="28"/>
  <c r="N96" i="28"/>
  <c r="L96" i="28" s="1"/>
  <c r="K96" i="28"/>
  <c r="F96" i="28"/>
  <c r="D96" i="28"/>
  <c r="B96" i="28"/>
  <c r="S95" i="28"/>
  <c r="N95" i="28"/>
  <c r="L95" i="28" s="1"/>
  <c r="K95" i="28"/>
  <c r="F95" i="28"/>
  <c r="D95" i="28"/>
  <c r="B95" i="28"/>
  <c r="S94" i="28"/>
  <c r="N94" i="28"/>
  <c r="L94" i="28" s="1"/>
  <c r="K94" i="28"/>
  <c r="F94" i="28"/>
  <c r="D94" i="28"/>
  <c r="B94" i="28"/>
  <c r="S93" i="28"/>
  <c r="N93" i="28"/>
  <c r="L93" i="28" s="1"/>
  <c r="K93" i="28"/>
  <c r="F93" i="28"/>
  <c r="D93" i="28"/>
  <c r="B93" i="28"/>
  <c r="S92" i="28"/>
  <c r="N92" i="28"/>
  <c r="L92" i="28" s="1"/>
  <c r="K92" i="28"/>
  <c r="F92" i="28"/>
  <c r="D92" i="28"/>
  <c r="B92" i="28"/>
  <c r="S91" i="28"/>
  <c r="N91" i="28"/>
  <c r="L91" i="28" s="1"/>
  <c r="K91" i="28"/>
  <c r="F91" i="28"/>
  <c r="D91" i="28"/>
  <c r="B91" i="28"/>
  <c r="S90" i="28"/>
  <c r="N90" i="28"/>
  <c r="L90" i="28" s="1"/>
  <c r="K90" i="28"/>
  <c r="F90" i="28"/>
  <c r="D90" i="28"/>
  <c r="B90" i="28"/>
  <c r="S89" i="28"/>
  <c r="N89" i="28"/>
  <c r="L89" i="28" s="1"/>
  <c r="K89" i="28"/>
  <c r="F89" i="28"/>
  <c r="D89" i="28"/>
  <c r="B89" i="28"/>
  <c r="S88" i="28"/>
  <c r="N88" i="28"/>
  <c r="L88" i="28" s="1"/>
  <c r="K88" i="28"/>
  <c r="F88" i="28"/>
  <c r="D88" i="28"/>
  <c r="B88" i="28"/>
  <c r="S87" i="28"/>
  <c r="N87" i="28"/>
  <c r="L87" i="28" s="1"/>
  <c r="K87" i="28"/>
  <c r="F87" i="28"/>
  <c r="D87" i="28"/>
  <c r="B87" i="28"/>
  <c r="S86" i="28"/>
  <c r="N86" i="28"/>
  <c r="L86" i="28" s="1"/>
  <c r="K86" i="28"/>
  <c r="F86" i="28"/>
  <c r="D86" i="28"/>
  <c r="B86" i="28"/>
  <c r="S85" i="28"/>
  <c r="N85" i="28"/>
  <c r="L85" i="28" s="1"/>
  <c r="K85" i="28"/>
  <c r="F85" i="28"/>
  <c r="D85" i="28"/>
  <c r="B85" i="28"/>
  <c r="S84" i="28"/>
  <c r="N84" i="28"/>
  <c r="L84" i="28" s="1"/>
  <c r="K84" i="28"/>
  <c r="F84" i="28"/>
  <c r="D84" i="28"/>
  <c r="B84" i="28"/>
  <c r="S83" i="28"/>
  <c r="N83" i="28"/>
  <c r="L83" i="28" s="1"/>
  <c r="K83" i="28"/>
  <c r="F83" i="28"/>
  <c r="D83" i="28"/>
  <c r="B83" i="28"/>
  <c r="S82" i="28"/>
  <c r="N82" i="28"/>
  <c r="L82" i="28" s="1"/>
  <c r="K82" i="28"/>
  <c r="F82" i="28"/>
  <c r="D82" i="28"/>
  <c r="B82" i="28"/>
  <c r="S81" i="28"/>
  <c r="N81" i="28"/>
  <c r="L81" i="28" s="1"/>
  <c r="K81" i="28"/>
  <c r="F81" i="28"/>
  <c r="D81" i="28"/>
  <c r="B81" i="28"/>
  <c r="S80" i="28"/>
  <c r="N80" i="28"/>
  <c r="L80" i="28" s="1"/>
  <c r="K80" i="28"/>
  <c r="F80" i="28"/>
  <c r="D80" i="28"/>
  <c r="B80" i="28"/>
  <c r="S79" i="28"/>
  <c r="N79" i="28"/>
  <c r="L79" i="28" s="1"/>
  <c r="K79" i="28"/>
  <c r="F79" i="28"/>
  <c r="D79" i="28"/>
  <c r="B79" i="28"/>
  <c r="S78" i="28"/>
  <c r="N78" i="28"/>
  <c r="L78" i="28" s="1"/>
  <c r="K78" i="28"/>
  <c r="F78" i="28"/>
  <c r="D78" i="28"/>
  <c r="B78" i="28"/>
  <c r="N77" i="28"/>
  <c r="L77" i="28" s="1"/>
  <c r="J77" i="28"/>
  <c r="F77" i="28"/>
  <c r="D77" i="28"/>
  <c r="B77" i="28"/>
  <c r="N76" i="28"/>
  <c r="L76" i="28" s="1"/>
  <c r="J76" i="28"/>
  <c r="F76" i="28"/>
  <c r="D76" i="28"/>
  <c r="B76" i="28"/>
  <c r="S75" i="28"/>
  <c r="N75" i="28"/>
  <c r="L75" i="28" s="1"/>
  <c r="K75" i="28"/>
  <c r="F75" i="28"/>
  <c r="D75" i="28"/>
  <c r="B75" i="28"/>
  <c r="S74" i="28"/>
  <c r="N74" i="28"/>
  <c r="L74" i="28" s="1"/>
  <c r="K74" i="28"/>
  <c r="F74" i="28"/>
  <c r="D74" i="28"/>
  <c r="B74" i="28"/>
  <c r="S73" i="28"/>
  <c r="N73" i="28"/>
  <c r="L73" i="28" s="1"/>
  <c r="K73" i="28"/>
  <c r="F73" i="28"/>
  <c r="D73" i="28"/>
  <c r="B73" i="28"/>
  <c r="S72" i="28"/>
  <c r="N72" i="28"/>
  <c r="L72" i="28" s="1"/>
  <c r="K72" i="28"/>
  <c r="F72" i="28"/>
  <c r="D72" i="28"/>
  <c r="B72" i="28"/>
  <c r="S71" i="28"/>
  <c r="N71" i="28"/>
  <c r="L71" i="28" s="1"/>
  <c r="K71" i="28"/>
  <c r="F71" i="28"/>
  <c r="D71" i="28"/>
  <c r="B71" i="28"/>
  <c r="S70" i="28"/>
  <c r="N70" i="28"/>
  <c r="L70" i="28" s="1"/>
  <c r="K70" i="28"/>
  <c r="F70" i="28"/>
  <c r="D70" i="28"/>
  <c r="B70" i="28"/>
  <c r="S69" i="28"/>
  <c r="N69" i="28"/>
  <c r="L69" i="28" s="1"/>
  <c r="K69" i="28"/>
  <c r="F69" i="28"/>
  <c r="D69" i="28"/>
  <c r="B69" i="28"/>
  <c r="S68" i="28"/>
  <c r="N68" i="28"/>
  <c r="L68" i="28" s="1"/>
  <c r="K68" i="28"/>
  <c r="F68" i="28"/>
  <c r="D68" i="28"/>
  <c r="B68" i="28"/>
  <c r="S67" i="28"/>
  <c r="N67" i="28"/>
  <c r="L67" i="28" s="1"/>
  <c r="K67" i="28"/>
  <c r="F67" i="28"/>
  <c r="D67" i="28"/>
  <c r="B67" i="28"/>
  <c r="S66" i="28"/>
  <c r="N66" i="28"/>
  <c r="L66" i="28" s="1"/>
  <c r="K66" i="28"/>
  <c r="F66" i="28"/>
  <c r="D66" i="28"/>
  <c r="B66" i="28"/>
  <c r="S65" i="28"/>
  <c r="N65" i="28"/>
  <c r="L65" i="28" s="1"/>
  <c r="K65" i="28"/>
  <c r="F65" i="28"/>
  <c r="D65" i="28"/>
  <c r="B65" i="28"/>
  <c r="S64" i="28"/>
  <c r="N64" i="28"/>
  <c r="L64" i="28" s="1"/>
  <c r="K64" i="28"/>
  <c r="F64" i="28"/>
  <c r="D64" i="28"/>
  <c r="B64" i="28"/>
  <c r="S63" i="28"/>
  <c r="N63" i="28"/>
  <c r="L63" i="28" s="1"/>
  <c r="K63" i="28"/>
  <c r="F63" i="28"/>
  <c r="D63" i="28"/>
  <c r="B63" i="28"/>
  <c r="S62" i="28"/>
  <c r="N62" i="28"/>
  <c r="L62" i="28" s="1"/>
  <c r="K62" i="28"/>
  <c r="F62" i="28"/>
  <c r="D62" i="28"/>
  <c r="B62" i="28"/>
  <c r="S61" i="28"/>
  <c r="N61" i="28"/>
  <c r="L61" i="28" s="1"/>
  <c r="K61" i="28"/>
  <c r="F61" i="28"/>
  <c r="D61" i="28"/>
  <c r="B61" i="28"/>
  <c r="S60" i="28"/>
  <c r="N60" i="28"/>
  <c r="L60" i="28" s="1"/>
  <c r="K60" i="28"/>
  <c r="F60" i="28"/>
  <c r="D60" i="28"/>
  <c r="B60" i="28"/>
  <c r="S59" i="28"/>
  <c r="N59" i="28"/>
  <c r="L59" i="28" s="1"/>
  <c r="K59" i="28"/>
  <c r="F59" i="28"/>
  <c r="D59" i="28"/>
  <c r="B59" i="28"/>
  <c r="S58" i="28"/>
  <c r="N58" i="28"/>
  <c r="L58" i="28" s="1"/>
  <c r="K58" i="28"/>
  <c r="F58" i="28"/>
  <c r="D58" i="28"/>
  <c r="B58" i="28"/>
  <c r="S57" i="28"/>
  <c r="N57" i="28"/>
  <c r="L57" i="28" s="1"/>
  <c r="K57" i="28"/>
  <c r="F57" i="28"/>
  <c r="D57" i="28"/>
  <c r="B57" i="28"/>
  <c r="S56" i="28"/>
  <c r="N56" i="28"/>
  <c r="L56" i="28" s="1"/>
  <c r="K56" i="28"/>
  <c r="F56" i="28"/>
  <c r="D56" i="28"/>
  <c r="B56" i="28"/>
  <c r="S55" i="28"/>
  <c r="N55" i="28"/>
  <c r="K55" i="28"/>
  <c r="F55" i="28"/>
  <c r="D55" i="28"/>
  <c r="B55" i="28"/>
  <c r="S54" i="28"/>
  <c r="N54" i="28"/>
  <c r="L54" i="28" s="1"/>
  <c r="K54" i="28"/>
  <c r="F54" i="28"/>
  <c r="D54" i="28"/>
  <c r="B54" i="28"/>
  <c r="S53" i="28"/>
  <c r="N53" i="28"/>
  <c r="L53" i="28" s="1"/>
  <c r="K53" i="28"/>
  <c r="F53" i="28"/>
  <c r="D53" i="28"/>
  <c r="B53" i="28"/>
  <c r="S52" i="28"/>
  <c r="N52" i="28"/>
  <c r="L52" i="28" s="1"/>
  <c r="K52" i="28"/>
  <c r="F52" i="28"/>
  <c r="D52" i="28"/>
  <c r="B52" i="28"/>
  <c r="S51" i="28"/>
  <c r="N51" i="28"/>
  <c r="L51" i="28" s="1"/>
  <c r="K51" i="28"/>
  <c r="F51" i="28"/>
  <c r="D51" i="28"/>
  <c r="B51" i="28"/>
  <c r="S50" i="28"/>
  <c r="N50" i="28"/>
  <c r="L50" i="28" s="1"/>
  <c r="K50" i="28"/>
  <c r="F50" i="28"/>
  <c r="D50" i="28"/>
  <c r="B50" i="28"/>
  <c r="S49" i="28"/>
  <c r="N49" i="28"/>
  <c r="L49" i="28" s="1"/>
  <c r="K49" i="28"/>
  <c r="F49" i="28"/>
  <c r="D49" i="28"/>
  <c r="B49" i="28"/>
  <c r="S48" i="28"/>
  <c r="N48" i="28"/>
  <c r="L48" i="28" s="1"/>
  <c r="K48" i="28"/>
  <c r="F48" i="28"/>
  <c r="D48" i="28"/>
  <c r="B48" i="28"/>
  <c r="S47" i="28"/>
  <c r="N47" i="28"/>
  <c r="L47" i="28" s="1"/>
  <c r="K47" i="28"/>
  <c r="F47" i="28"/>
  <c r="D47" i="28"/>
  <c r="B47" i="28"/>
  <c r="S46" i="28"/>
  <c r="N46" i="28"/>
  <c r="L46" i="28" s="1"/>
  <c r="K46" i="28"/>
  <c r="F46" i="28"/>
  <c r="D46" i="28"/>
  <c r="B46" i="28"/>
  <c r="S45" i="28"/>
  <c r="L45" i="28"/>
  <c r="K45" i="28"/>
  <c r="F45" i="28"/>
  <c r="D45" i="28"/>
  <c r="B45" i="28"/>
  <c r="S44" i="28"/>
  <c r="N44" i="28"/>
  <c r="L44" i="28" s="1"/>
  <c r="K44" i="28"/>
  <c r="F44" i="28"/>
  <c r="D44" i="28"/>
  <c r="B44" i="28"/>
  <c r="S43" i="28"/>
  <c r="N43" i="28"/>
  <c r="L43" i="28" s="1"/>
  <c r="K43" i="28"/>
  <c r="F43" i="28"/>
  <c r="D43" i="28"/>
  <c r="B43" i="28"/>
  <c r="S42" i="28"/>
  <c r="N42" i="28"/>
  <c r="L42" i="28" s="1"/>
  <c r="K42" i="28"/>
  <c r="F42" i="28"/>
  <c r="D42" i="28"/>
  <c r="B42" i="28"/>
  <c r="S41" i="28"/>
  <c r="N41" i="28"/>
  <c r="L41" i="28" s="1"/>
  <c r="K41" i="28"/>
  <c r="F41" i="28"/>
  <c r="D41" i="28"/>
  <c r="B41" i="28"/>
  <c r="S40" i="28"/>
  <c r="N40" i="28"/>
  <c r="L40" i="28" s="1"/>
  <c r="K40" i="28"/>
  <c r="F40" i="28"/>
  <c r="D40" i="28"/>
  <c r="B40" i="28"/>
  <c r="S39" i="28"/>
  <c r="N39" i="28"/>
  <c r="L39" i="28" s="1"/>
  <c r="K39" i="28"/>
  <c r="F39" i="28"/>
  <c r="D39" i="28"/>
  <c r="B39" i="28"/>
  <c r="S38" i="28"/>
  <c r="N38" i="28"/>
  <c r="L38" i="28" s="1"/>
  <c r="K38" i="28"/>
  <c r="F38" i="28"/>
  <c r="D38" i="28"/>
  <c r="B38" i="28"/>
  <c r="S37" i="28"/>
  <c r="N37" i="28"/>
  <c r="L37" i="28" s="1"/>
  <c r="K37" i="28"/>
  <c r="F37" i="28"/>
  <c r="D37" i="28"/>
  <c r="B37" i="28"/>
  <c r="S36" i="28"/>
  <c r="N36" i="28"/>
  <c r="L36" i="28" s="1"/>
  <c r="K36" i="28"/>
  <c r="F36" i="28"/>
  <c r="D36" i="28"/>
  <c r="B36" i="28"/>
  <c r="S35" i="28"/>
  <c r="N35" i="28"/>
  <c r="L35" i="28" s="1"/>
  <c r="K35" i="28"/>
  <c r="F35" i="28"/>
  <c r="D35" i="28"/>
  <c r="B35" i="28"/>
  <c r="S34" i="28"/>
  <c r="N34" i="28"/>
  <c r="L34" i="28" s="1"/>
  <c r="K34" i="28"/>
  <c r="F34" i="28"/>
  <c r="D34" i="28"/>
  <c r="B34" i="28"/>
  <c r="S33" i="28"/>
  <c r="N33" i="28"/>
  <c r="L33" i="28" s="1"/>
  <c r="K33" i="28"/>
  <c r="F33" i="28"/>
  <c r="D33" i="28"/>
  <c r="B33" i="28"/>
  <c r="S32" i="28"/>
  <c r="N32" i="28"/>
  <c r="L32" i="28" s="1"/>
  <c r="K32" i="28"/>
  <c r="F32" i="28"/>
  <c r="D32" i="28"/>
  <c r="B32" i="28"/>
  <c r="S31" i="28"/>
  <c r="N31" i="28"/>
  <c r="L31" i="28" s="1"/>
  <c r="K31" i="28"/>
  <c r="F31" i="28"/>
  <c r="D31" i="28"/>
  <c r="B31" i="28"/>
  <c r="S30" i="28"/>
  <c r="N30" i="28"/>
  <c r="L30" i="28" s="1"/>
  <c r="K30" i="28"/>
  <c r="F30" i="28"/>
  <c r="D30" i="28"/>
  <c r="B30" i="28"/>
  <c r="S29" i="28"/>
  <c r="N29" i="28"/>
  <c r="L29" i="28" s="1"/>
  <c r="K29" i="28"/>
  <c r="F29" i="28"/>
  <c r="D29" i="28"/>
  <c r="B29" i="28"/>
  <c r="S28" i="28"/>
  <c r="N28" i="28"/>
  <c r="L28" i="28" s="1"/>
  <c r="K28" i="28"/>
  <c r="F28" i="28"/>
  <c r="D28" i="28"/>
  <c r="B28" i="28"/>
  <c r="S27" i="28"/>
  <c r="N27" i="28"/>
  <c r="L27" i="28" s="1"/>
  <c r="K27" i="28"/>
  <c r="F27" i="28"/>
  <c r="D27" i="28"/>
  <c r="B27" i="28"/>
  <c r="S26" i="28"/>
  <c r="N26" i="28"/>
  <c r="L26" i="28" s="1"/>
  <c r="K26" i="28"/>
  <c r="F26" i="28"/>
  <c r="D26" i="28"/>
  <c r="B26" i="28"/>
  <c r="S25" i="28"/>
  <c r="N25" i="28"/>
  <c r="L25" i="28" s="1"/>
  <c r="K25" i="28"/>
  <c r="F25" i="28"/>
  <c r="D25" i="28"/>
  <c r="B25" i="28"/>
  <c r="S24" i="28"/>
  <c r="N24" i="28"/>
  <c r="L24" i="28" s="1"/>
  <c r="K24" i="28"/>
  <c r="F24" i="28"/>
  <c r="D24" i="28"/>
  <c r="B24" i="28"/>
  <c r="S23" i="28"/>
  <c r="N23" i="28"/>
  <c r="L23" i="28" s="1"/>
  <c r="K23" i="28"/>
  <c r="F23" i="28"/>
  <c r="D23" i="28"/>
  <c r="B23" i="28"/>
  <c r="S22" i="28"/>
  <c r="N22" i="28"/>
  <c r="L22" i="28" s="1"/>
  <c r="K22" i="28"/>
  <c r="F22" i="28"/>
  <c r="D22" i="28"/>
  <c r="B22" i="28"/>
  <c r="S21" i="28"/>
  <c r="N21" i="28"/>
  <c r="L21" i="28" s="1"/>
  <c r="K21" i="28"/>
  <c r="F21" i="28"/>
  <c r="D21" i="28"/>
  <c r="B21" i="28"/>
  <c r="S20" i="28"/>
  <c r="N20" i="28"/>
  <c r="L20" i="28" s="1"/>
  <c r="K20" i="28"/>
  <c r="F20" i="28"/>
  <c r="D20" i="28"/>
  <c r="B20" i="28"/>
  <c r="S19" i="28"/>
  <c r="N19" i="28"/>
  <c r="L19" i="28" s="1"/>
  <c r="K19" i="28"/>
  <c r="F19" i="28"/>
  <c r="D19" i="28"/>
  <c r="B19" i="28"/>
  <c r="S18" i="28"/>
  <c r="N18" i="28"/>
  <c r="L18" i="28" s="1"/>
  <c r="K18" i="28"/>
  <c r="F18" i="28"/>
  <c r="D18" i="28"/>
  <c r="B18" i="28"/>
  <c r="S17" i="28"/>
  <c r="N17" i="28"/>
  <c r="L17" i="28" s="1"/>
  <c r="K17" i="28"/>
  <c r="F17" i="28"/>
  <c r="D17" i="28"/>
  <c r="B17" i="28"/>
  <c r="S16" i="28"/>
  <c r="N16" i="28"/>
  <c r="L16" i="28" s="1"/>
  <c r="K16" i="28"/>
  <c r="F16" i="28"/>
  <c r="D16" i="28"/>
  <c r="B16" i="28"/>
  <c r="S15" i="28"/>
  <c r="N15" i="28"/>
  <c r="L15" i="28" s="1"/>
  <c r="K15" i="28"/>
  <c r="F15" i="28"/>
  <c r="D15" i="28"/>
  <c r="B15" i="28"/>
  <c r="S14" i="28"/>
  <c r="N14" i="28"/>
  <c r="L14" i="28" s="1"/>
  <c r="K14" i="28"/>
  <c r="F14" i="28"/>
  <c r="D14" i="28"/>
  <c r="B14" i="28"/>
  <c r="S13" i="28"/>
  <c r="N13" i="28"/>
  <c r="L13" i="28" s="1"/>
  <c r="K13" i="28"/>
  <c r="F13" i="28"/>
  <c r="D13" i="28"/>
  <c r="B13" i="28"/>
  <c r="S12" i="28"/>
  <c r="N12" i="28"/>
  <c r="L12" i="28" s="1"/>
  <c r="K12" i="28"/>
  <c r="F12" i="28"/>
  <c r="D12" i="28"/>
  <c r="B12" i="28"/>
  <c r="S11" i="28"/>
  <c r="N11" i="28"/>
  <c r="L11" i="28" s="1"/>
  <c r="K11" i="28"/>
  <c r="F11" i="28"/>
  <c r="D11" i="28"/>
  <c r="B11" i="28"/>
  <c r="S10" i="28"/>
  <c r="N10" i="28"/>
  <c r="L10" i="28" s="1"/>
  <c r="K10" i="28"/>
  <c r="F10" i="28"/>
  <c r="D10" i="28"/>
  <c r="B10" i="28"/>
  <c r="S9" i="28"/>
  <c r="N9" i="28"/>
  <c r="L9" i="28" s="1"/>
  <c r="K9" i="28"/>
  <c r="F9" i="28"/>
  <c r="D9" i="28"/>
  <c r="B9" i="28"/>
  <c r="S8" i="28"/>
  <c r="N8" i="28"/>
  <c r="L8" i="28" s="1"/>
  <c r="K8" i="28"/>
  <c r="F8" i="28"/>
  <c r="D8" i="28"/>
  <c r="B8" i="28"/>
  <c r="S7" i="28"/>
  <c r="N7" i="28"/>
  <c r="K7" i="28"/>
  <c r="F7" i="28"/>
  <c r="D7" i="28"/>
  <c r="B7" i="28"/>
  <c r="S6" i="28"/>
  <c r="N6" i="28"/>
  <c r="L6" i="28" s="1"/>
  <c r="K6" i="28"/>
  <c r="F6" i="28"/>
  <c r="D6" i="28"/>
  <c r="B6" i="28"/>
  <c r="S5" i="28"/>
  <c r="N5" i="28"/>
  <c r="L5" i="28" s="1"/>
  <c r="K5" i="28"/>
  <c r="F5" i="28"/>
  <c r="D5" i="28"/>
  <c r="B5" i="28"/>
  <c r="S4" i="28"/>
  <c r="N4" i="28"/>
  <c r="L4" i="28" s="1"/>
  <c r="K4" i="28"/>
  <c r="F4" i="28"/>
  <c r="D4" i="28"/>
  <c r="B4" i="28"/>
  <c r="S3" i="28"/>
  <c r="N3" i="28"/>
  <c r="L3" i="28" s="1"/>
  <c r="K3" i="28"/>
  <c r="F3" i="28"/>
  <c r="D3" i="28"/>
  <c r="B3" i="28"/>
  <c r="S2" i="28"/>
  <c r="N2" i="28"/>
  <c r="L2" i="28" s="1"/>
  <c r="K2" i="28"/>
  <c r="F2" i="28"/>
  <c r="D2" i="28"/>
  <c r="B2" i="28"/>
  <c r="J140" i="28" l="1"/>
  <c r="J142" i="28"/>
  <c r="L142" i="28" s="1"/>
  <c r="R142" i="28"/>
  <c r="L143" i="28"/>
  <c r="P139" i="28"/>
  <c r="R139" i="28" s="1"/>
  <c r="R143" i="28"/>
  <c r="R141" i="28"/>
  <c r="L141" i="28"/>
  <c r="T138" i="28"/>
  <c r="O138" i="28"/>
  <c r="T137" i="28"/>
  <c r="O137" i="28"/>
  <c r="O136" i="28"/>
  <c r="T136" i="28"/>
  <c r="T135" i="28"/>
  <c r="O135" i="28"/>
  <c r="O134" i="28"/>
  <c r="T134" i="28"/>
  <c r="L133" i="28"/>
  <c r="T133" i="28"/>
  <c r="O133" i="28"/>
  <c r="L132" i="28"/>
  <c r="O132" i="28"/>
  <c r="T132" i="28"/>
  <c r="O131" i="28"/>
  <c r="T131" i="28"/>
  <c r="T130" i="28"/>
  <c r="O130" i="28"/>
  <c r="L129" i="28"/>
  <c r="T129" i="28"/>
  <c r="O129" i="28"/>
  <c r="L128" i="28"/>
  <c r="O128" i="28"/>
  <c r="T128" i="28"/>
  <c r="O127" i="28"/>
  <c r="T127" i="28"/>
  <c r="T126" i="28"/>
  <c r="O126" i="28"/>
  <c r="L125" i="28"/>
  <c r="O125" i="28"/>
  <c r="T125" i="28"/>
  <c r="L124" i="28"/>
  <c r="T124" i="28"/>
  <c r="O124" i="28"/>
  <c r="L123" i="28"/>
  <c r="O123" i="28"/>
  <c r="T123" i="28"/>
  <c r="O122" i="28"/>
  <c r="T122" i="28"/>
  <c r="O121" i="28"/>
  <c r="T121" i="28"/>
  <c r="T120" i="28"/>
  <c r="O120" i="28"/>
  <c r="T119" i="28"/>
  <c r="O119" i="28"/>
  <c r="T118" i="28"/>
  <c r="O118" i="28"/>
  <c r="T117" i="28"/>
  <c r="O117" i="28"/>
  <c r="T116" i="28"/>
  <c r="O116" i="28"/>
  <c r="T115" i="28"/>
  <c r="O115" i="28"/>
  <c r="T114" i="28"/>
  <c r="O114" i="28"/>
  <c r="T113" i="28"/>
  <c r="O113" i="28"/>
  <c r="T112" i="28"/>
  <c r="O112" i="28"/>
  <c r="T111" i="28"/>
  <c r="O111" i="28"/>
  <c r="T110" i="28"/>
  <c r="O110" i="28"/>
  <c r="T109" i="28"/>
  <c r="O109" i="28"/>
  <c r="T108" i="28"/>
  <c r="O108" i="28"/>
  <c r="T107" i="28"/>
  <c r="O107" i="28"/>
  <c r="O106" i="28"/>
  <c r="T106" i="28"/>
  <c r="O105" i="28"/>
  <c r="T105" i="28"/>
  <c r="O104" i="28"/>
  <c r="T104" i="28"/>
  <c r="O103" i="28"/>
  <c r="T103" i="28"/>
  <c r="O102" i="28"/>
  <c r="T102" i="28"/>
  <c r="O101" i="28"/>
  <c r="T101" i="28"/>
  <c r="T100" i="28"/>
  <c r="O100" i="28"/>
  <c r="O99" i="28"/>
  <c r="T99" i="28"/>
  <c r="O98" i="28"/>
  <c r="T98" i="28"/>
  <c r="T97" i="28"/>
  <c r="O97" i="28"/>
  <c r="T96" i="28"/>
  <c r="O96" i="28"/>
  <c r="O95" i="28"/>
  <c r="T95" i="28"/>
  <c r="V95" i="28" s="1"/>
  <c r="T94" i="28"/>
  <c r="V94" i="28" s="1"/>
  <c r="W94" i="28" s="1"/>
  <c r="O94" i="28"/>
  <c r="T93" i="28"/>
  <c r="V93" i="28" s="1"/>
  <c r="O93" i="28"/>
  <c r="T92" i="28"/>
  <c r="V92" i="28" s="1"/>
  <c r="O92" i="28"/>
  <c r="O91" i="28"/>
  <c r="T91" i="28"/>
  <c r="O90" i="28"/>
  <c r="T90" i="28"/>
  <c r="T89" i="28"/>
  <c r="V89" i="28" s="1"/>
  <c r="O89" i="28"/>
  <c r="T88" i="28"/>
  <c r="V88" i="28" s="1"/>
  <c r="O88" i="28"/>
  <c r="O87" i="28"/>
  <c r="T87" i="28"/>
  <c r="O86" i="28"/>
  <c r="T86" i="28"/>
  <c r="V86" i="28" s="1"/>
  <c r="O85" i="28"/>
  <c r="T85" i="28"/>
  <c r="V85" i="28" s="1"/>
  <c r="T84" i="28"/>
  <c r="V84" i="28" s="1"/>
  <c r="W84" i="28" s="1"/>
  <c r="O84" i="28"/>
  <c r="O83" i="28"/>
  <c r="T83" i="28"/>
  <c r="V83" i="28" s="1"/>
  <c r="W83" i="28" s="1"/>
  <c r="O82" i="28"/>
  <c r="T82" i="28"/>
  <c r="T81" i="28"/>
  <c r="O81" i="28"/>
  <c r="T80" i="28"/>
  <c r="O80" i="28"/>
  <c r="T79" i="28"/>
  <c r="O79" i="28"/>
  <c r="T78" i="28"/>
  <c r="O78" i="28"/>
  <c r="S77" i="28"/>
  <c r="K77" i="28"/>
  <c r="T77" i="28"/>
  <c r="O77" i="28"/>
  <c r="K76" i="28"/>
  <c r="J139" i="28" s="1"/>
  <c r="L139" i="28" s="1"/>
  <c r="S76" i="28"/>
  <c r="O76" i="28"/>
  <c r="T76" i="28"/>
  <c r="O75" i="28"/>
  <c r="T75" i="28"/>
  <c r="V75" i="28" s="1"/>
  <c r="O74" i="28"/>
  <c r="T74" i="28"/>
  <c r="V74" i="28" s="1"/>
  <c r="T73" i="28"/>
  <c r="O73" i="28"/>
  <c r="T72" i="28"/>
  <c r="O72" i="28"/>
  <c r="T71" i="28"/>
  <c r="O71" i="28"/>
  <c r="O70" i="28"/>
  <c r="T70" i="28"/>
  <c r="O69" i="28"/>
  <c r="T69" i="28"/>
  <c r="O68" i="28"/>
  <c r="T68" i="28"/>
  <c r="O67" i="28"/>
  <c r="T67" i="28"/>
  <c r="O66" i="28"/>
  <c r="T66" i="28"/>
  <c r="O65" i="28"/>
  <c r="T65" i="28"/>
  <c r="O64" i="28"/>
  <c r="T64" i="28"/>
  <c r="T63" i="28"/>
  <c r="O63" i="28"/>
  <c r="T62" i="28"/>
  <c r="O62" i="28"/>
  <c r="T61" i="28"/>
  <c r="O61" i="28"/>
  <c r="T60" i="28"/>
  <c r="O60" i="28"/>
  <c r="T59" i="28"/>
  <c r="O59" i="28"/>
  <c r="T58" i="28"/>
  <c r="O58" i="28"/>
  <c r="T57" i="28"/>
  <c r="O57" i="28"/>
  <c r="T56" i="28"/>
  <c r="O56" i="28"/>
  <c r="T55" i="28"/>
  <c r="O55" i="28"/>
  <c r="T54" i="28"/>
  <c r="O54" i="28"/>
  <c r="T53" i="28"/>
  <c r="O53" i="28"/>
  <c r="T52" i="28"/>
  <c r="O52" i="28"/>
  <c r="T51" i="28"/>
  <c r="O51" i="28"/>
  <c r="T50" i="28"/>
  <c r="O50" i="28"/>
  <c r="T49" i="28"/>
  <c r="O49" i="28"/>
  <c r="T48" i="28"/>
  <c r="V48" i="28" s="1"/>
  <c r="W48" i="28" s="1"/>
  <c r="O48" i="28"/>
  <c r="O47" i="28"/>
  <c r="T47" i="28"/>
  <c r="V47" i="28" s="1"/>
  <c r="W47" i="28" s="1"/>
  <c r="O46" i="28"/>
  <c r="T46" i="28"/>
  <c r="O45" i="28"/>
  <c r="T45" i="28"/>
  <c r="O44" i="28"/>
  <c r="T44" i="28"/>
  <c r="T43" i="28"/>
  <c r="O43" i="28"/>
  <c r="T42" i="28"/>
  <c r="O42" i="28"/>
  <c r="T41" i="28"/>
  <c r="O41" i="28"/>
  <c r="T40" i="28"/>
  <c r="O40" i="28"/>
  <c r="T39" i="28"/>
  <c r="O39" i="28"/>
  <c r="T38" i="28"/>
  <c r="O38" i="28"/>
  <c r="T37" i="28"/>
  <c r="O37" i="28"/>
  <c r="O36" i="28"/>
  <c r="T36" i="28"/>
  <c r="T35" i="28"/>
  <c r="O35" i="28"/>
  <c r="T34" i="28"/>
  <c r="O34" i="28"/>
  <c r="T33" i="28"/>
  <c r="O33" i="28"/>
  <c r="T32" i="28"/>
  <c r="O32" i="28"/>
  <c r="O31" i="28"/>
  <c r="T31" i="28"/>
  <c r="O30" i="28"/>
  <c r="T30" i="28"/>
  <c r="O29" i="28"/>
  <c r="T29" i="28"/>
  <c r="O28" i="28"/>
  <c r="T28" i="28"/>
  <c r="T27" i="28"/>
  <c r="O27" i="28"/>
  <c r="T26" i="28"/>
  <c r="O26" i="28"/>
  <c r="T25" i="28"/>
  <c r="O25" i="28"/>
  <c r="T24" i="28"/>
  <c r="O24" i="28"/>
  <c r="T23" i="28"/>
  <c r="O23" i="28"/>
  <c r="O22" i="28"/>
  <c r="T22" i="28"/>
  <c r="O21" i="28"/>
  <c r="T21" i="28"/>
  <c r="T20" i="28"/>
  <c r="O20" i="28"/>
  <c r="O19" i="28"/>
  <c r="T19" i="28"/>
  <c r="O18" i="28"/>
  <c r="T18" i="28"/>
  <c r="O17" i="28"/>
  <c r="T17" i="28"/>
  <c r="O16" i="28"/>
  <c r="T16" i="28"/>
  <c r="O15" i="28"/>
  <c r="T15" i="28"/>
  <c r="O14" i="28"/>
  <c r="T14" i="28"/>
  <c r="T13" i="28"/>
  <c r="O13" i="28"/>
  <c r="T12" i="28"/>
  <c r="O12" i="28"/>
  <c r="O11" i="28"/>
  <c r="T11" i="28"/>
  <c r="T10" i="28"/>
  <c r="O10" i="28"/>
  <c r="T9" i="28"/>
  <c r="O9" i="28"/>
  <c r="T8" i="28"/>
  <c r="O8" i="28"/>
  <c r="O7" i="28"/>
  <c r="T7" i="28"/>
  <c r="T6" i="28"/>
  <c r="O6" i="28"/>
  <c r="T5" i="28"/>
  <c r="O5" i="28"/>
  <c r="O4" i="28"/>
  <c r="T4" i="28"/>
  <c r="T3" i="28"/>
  <c r="O3" i="28"/>
  <c r="T2" i="28"/>
  <c r="O2" i="28"/>
  <c r="F6" i="37"/>
  <c r="F7" i="37"/>
  <c r="V138" i="28" l="1"/>
  <c r="W138" i="28" s="1"/>
  <c r="V137" i="28"/>
  <c r="W137" i="28" s="1"/>
  <c r="V136" i="28"/>
  <c r="W136" i="28" s="1"/>
  <c r="V135" i="28"/>
  <c r="W135" i="28" s="1"/>
  <c r="V134" i="28"/>
  <c r="W134" i="28" s="1"/>
  <c r="V133" i="28"/>
  <c r="W133" i="28" s="1"/>
  <c r="V132" i="28"/>
  <c r="W132" i="28"/>
  <c r="V131" i="28"/>
  <c r="W131" i="28" s="1"/>
  <c r="V130" i="28"/>
  <c r="W130" i="28" s="1"/>
  <c r="V129" i="28"/>
  <c r="W129" i="28" s="1"/>
  <c r="V128" i="28"/>
  <c r="W128" i="28" s="1"/>
  <c r="V127" i="28"/>
  <c r="W127" i="28" s="1"/>
  <c r="V126" i="28"/>
  <c r="W126" i="28" s="1"/>
  <c r="V125" i="28"/>
  <c r="W125" i="28" s="1"/>
  <c r="V124" i="28"/>
  <c r="W124" i="28" s="1"/>
  <c r="V123" i="28"/>
  <c r="W123" i="28" s="1"/>
  <c r="V122" i="28"/>
  <c r="W122" i="28" s="1"/>
  <c r="V121" i="28"/>
  <c r="W121" i="28" s="1"/>
  <c r="V120" i="28"/>
  <c r="W120" i="28" s="1"/>
  <c r="V119" i="28"/>
  <c r="W119" i="28" s="1"/>
  <c r="V118" i="28"/>
  <c r="W118" i="28" s="1"/>
  <c r="V117" i="28"/>
  <c r="W117" i="28" s="1"/>
  <c r="V116" i="28"/>
  <c r="W116" i="28" s="1"/>
  <c r="V115" i="28"/>
  <c r="W115" i="28" s="1"/>
  <c r="V114" i="28"/>
  <c r="W114" i="28" s="1"/>
  <c r="V113" i="28"/>
  <c r="W113" i="28" s="1"/>
  <c r="V112" i="28"/>
  <c r="W112" i="28" s="1"/>
  <c r="V111" i="28"/>
  <c r="W111" i="28" s="1"/>
  <c r="V110" i="28"/>
  <c r="W110" i="28" s="1"/>
  <c r="V109" i="28"/>
  <c r="W109" i="28" s="1"/>
  <c r="V108" i="28"/>
  <c r="W108" i="28" s="1"/>
  <c r="V107" i="28"/>
  <c r="W107" i="28" s="1"/>
  <c r="V106" i="28"/>
  <c r="W106" i="28" s="1"/>
  <c r="V105" i="28"/>
  <c r="W105" i="28" s="1"/>
  <c r="V104" i="28"/>
  <c r="W104" i="28" s="1"/>
  <c r="V103" i="28"/>
  <c r="W103" i="28" s="1"/>
  <c r="V102" i="28"/>
  <c r="W102" i="28" s="1"/>
  <c r="V101" i="28"/>
  <c r="W101" i="28" s="1"/>
  <c r="V100" i="28"/>
  <c r="W100" i="28" s="1"/>
  <c r="V99" i="28"/>
  <c r="W99" i="28" s="1"/>
  <c r="V98" i="28"/>
  <c r="W98" i="28" s="1"/>
  <c r="V97" i="28"/>
  <c r="W97" i="28" s="1"/>
  <c r="V96" i="28"/>
  <c r="W96" i="28" s="1"/>
  <c r="V91" i="28"/>
  <c r="W91" i="28" s="1"/>
  <c r="V90" i="28"/>
  <c r="W90" i="28" s="1"/>
  <c r="V87" i="28"/>
  <c r="W87" i="28" s="1"/>
  <c r="V82" i="28"/>
  <c r="W82" i="28" s="1"/>
  <c r="V81" i="28"/>
  <c r="W81" i="28" s="1"/>
  <c r="V80" i="28"/>
  <c r="W80" i="28" s="1"/>
  <c r="V79" i="28"/>
  <c r="W79" i="28" s="1"/>
  <c r="V78" i="28"/>
  <c r="W78" i="28" s="1"/>
  <c r="V77" i="28"/>
  <c r="W77" i="28" s="1"/>
  <c r="V76" i="28"/>
  <c r="W76" i="28" s="1"/>
  <c r="V73" i="28"/>
  <c r="W73" i="28" s="1"/>
  <c r="V72" i="28"/>
  <c r="W72" i="28" s="1"/>
  <c r="V71" i="28"/>
  <c r="W71" i="28" s="1"/>
  <c r="V70" i="28"/>
  <c r="W70" i="28"/>
  <c r="V69" i="28"/>
  <c r="W69" i="28" s="1"/>
  <c r="V68" i="28"/>
  <c r="W68" i="28" s="1"/>
  <c r="V67" i="28"/>
  <c r="W67" i="28" s="1"/>
  <c r="V66" i="28"/>
  <c r="W66" i="28" s="1"/>
  <c r="V65" i="28"/>
  <c r="W65" i="28" s="1"/>
  <c r="V64" i="28"/>
  <c r="W64" i="28" s="1"/>
  <c r="V63" i="28"/>
  <c r="W63" i="28" s="1"/>
  <c r="V62" i="28"/>
  <c r="W62" i="28" s="1"/>
  <c r="V61" i="28"/>
  <c r="W61" i="28" s="1"/>
  <c r="V60" i="28"/>
  <c r="W60" i="28" s="1"/>
  <c r="V59" i="28"/>
  <c r="W59" i="28" s="1"/>
  <c r="V58" i="28"/>
  <c r="W58" i="28" s="1"/>
  <c r="V57" i="28"/>
  <c r="W57" i="28" s="1"/>
  <c r="V56" i="28"/>
  <c r="W56" i="28" s="1"/>
  <c r="V55" i="28"/>
  <c r="W55" i="28" s="1"/>
  <c r="V54" i="28"/>
  <c r="W54" i="28" s="1"/>
  <c r="V53" i="28"/>
  <c r="W53" i="28" s="1"/>
  <c r="V52" i="28"/>
  <c r="W52" i="28" s="1"/>
  <c r="V51" i="28"/>
  <c r="W51" i="28" s="1"/>
  <c r="V50" i="28"/>
  <c r="W50" i="28" s="1"/>
  <c r="V49" i="28"/>
  <c r="W49" i="28" s="1"/>
  <c r="V46" i="28"/>
  <c r="W46" i="28" s="1"/>
  <c r="V45" i="28"/>
  <c r="W45" i="28" s="1"/>
  <c r="V44" i="28"/>
  <c r="W44" i="28" s="1"/>
  <c r="V43" i="28"/>
  <c r="W43" i="28" s="1"/>
  <c r="V42" i="28"/>
  <c r="W42" i="28" s="1"/>
  <c r="V41" i="28"/>
  <c r="W41" i="28" s="1"/>
  <c r="V40" i="28"/>
  <c r="W40" i="28" s="1"/>
  <c r="V39" i="28"/>
  <c r="W39" i="28" s="1"/>
  <c r="V38" i="28"/>
  <c r="W38" i="28" s="1"/>
  <c r="V37" i="28"/>
  <c r="W37" i="28" s="1"/>
  <c r="V36" i="28"/>
  <c r="W36" i="28" s="1"/>
  <c r="V35" i="28"/>
  <c r="W35" i="28" s="1"/>
  <c r="V34" i="28"/>
  <c r="W34" i="28" s="1"/>
  <c r="V33" i="28"/>
  <c r="W33" i="28" s="1"/>
  <c r="V32" i="28"/>
  <c r="W32" i="28" s="1"/>
  <c r="V31" i="28"/>
  <c r="W31" i="28" s="1"/>
  <c r="V30" i="28"/>
  <c r="W30" i="28" s="1"/>
  <c r="V29" i="28"/>
  <c r="W29" i="28" s="1"/>
  <c r="V28" i="28"/>
  <c r="W28" i="28" s="1"/>
  <c r="V27" i="28"/>
  <c r="W27" i="28" s="1"/>
  <c r="V26" i="28"/>
  <c r="W26" i="28" s="1"/>
  <c r="V25" i="28"/>
  <c r="W25" i="28" s="1"/>
  <c r="V24" i="28"/>
  <c r="W24" i="28"/>
  <c r="V21" i="28"/>
  <c r="W21" i="28" s="1"/>
  <c r="V20" i="28"/>
  <c r="W20" i="28" s="1"/>
  <c r="V19" i="28"/>
  <c r="W19" i="28" s="1"/>
  <c r="V18" i="28"/>
  <c r="W18" i="28" s="1"/>
  <c r="V17" i="28"/>
  <c r="W17" i="28" s="1"/>
  <c r="V16" i="28"/>
  <c r="W16" i="28" s="1"/>
  <c r="V15" i="28"/>
  <c r="W15" i="28" s="1"/>
  <c r="V14" i="28"/>
  <c r="W14" i="28" s="1"/>
  <c r="V13" i="28"/>
  <c r="W13" i="28" s="1"/>
  <c r="V12" i="28"/>
  <c r="W12" i="28" s="1"/>
  <c r="V11" i="28"/>
  <c r="W11" i="28" s="1"/>
  <c r="V10" i="28"/>
  <c r="W10" i="28" s="1"/>
  <c r="V9" i="28"/>
  <c r="W9" i="28" s="1"/>
  <c r="V8" i="28"/>
  <c r="W8" i="28" s="1"/>
  <c r="V7" i="28"/>
  <c r="W7" i="28" s="1"/>
  <c r="V6" i="28"/>
  <c r="W6" i="28" s="1"/>
  <c r="V5" i="28"/>
  <c r="W5" i="28" s="1"/>
  <c r="V4" i="28"/>
  <c r="W4" i="28" s="1"/>
  <c r="V3" i="28"/>
  <c r="W3" i="28" s="1"/>
  <c r="V2" i="28"/>
  <c r="W2" i="28" s="1"/>
  <c r="W75" i="28"/>
  <c r="W74" i="28"/>
  <c r="W95" i="28"/>
  <c r="W93" i="28"/>
  <c r="W92" i="28"/>
  <c r="W89" i="28"/>
  <c r="W88" i="28"/>
  <c r="W86" i="28"/>
  <c r="W85" i="28"/>
  <c r="E163" i="35"/>
  <c r="F163" i="35"/>
  <c r="H163" i="35"/>
  <c r="L163" i="35"/>
  <c r="AH163" i="35" s="1"/>
  <c r="N163" i="35"/>
  <c r="R163" i="35"/>
  <c r="T163" i="35"/>
  <c r="AF163" i="35" s="1"/>
  <c r="X163" i="35"/>
  <c r="Y163" i="35"/>
  <c r="S157" i="35"/>
  <c r="AE163" i="35" l="1"/>
  <c r="E40" i="36"/>
  <c r="E147" i="35" l="1"/>
  <c r="F147" i="35"/>
  <c r="H147" i="35"/>
  <c r="L147" i="35"/>
  <c r="AH147" i="35" s="1"/>
  <c r="T147" i="35"/>
  <c r="AF147" i="35" s="1"/>
  <c r="X147" i="35"/>
  <c r="Y147" i="35"/>
  <c r="L53" i="36" l="1"/>
  <c r="F207" i="35"/>
  <c r="H207" i="35"/>
  <c r="L207" i="35"/>
  <c r="AH207" i="35" s="1"/>
  <c r="P207" i="35"/>
  <c r="R207" i="35"/>
  <c r="X207" i="35"/>
  <c r="Y207" i="35"/>
  <c r="F203" i="35"/>
  <c r="H203" i="35"/>
  <c r="L203" i="35"/>
  <c r="AH203" i="35" s="1"/>
  <c r="P203" i="35"/>
  <c r="R203" i="35"/>
  <c r="X203" i="35"/>
  <c r="Y203" i="35"/>
  <c r="F202" i="35"/>
  <c r="H202" i="35"/>
  <c r="L202" i="35"/>
  <c r="AH202" i="35" s="1"/>
  <c r="P202" i="35"/>
  <c r="R202" i="35"/>
  <c r="X202" i="35"/>
  <c r="Y202" i="35"/>
  <c r="F205" i="35"/>
  <c r="H205" i="35"/>
  <c r="L205" i="35"/>
  <c r="AH205" i="35" s="1"/>
  <c r="P205" i="35"/>
  <c r="R205" i="35"/>
  <c r="X205" i="35"/>
  <c r="Y205" i="35"/>
  <c r="F197" i="35"/>
  <c r="H197" i="35"/>
  <c r="L197" i="35"/>
  <c r="AH197" i="35" s="1"/>
  <c r="P197" i="35"/>
  <c r="R197" i="35"/>
  <c r="X197" i="35"/>
  <c r="Y197" i="35"/>
  <c r="X184" i="35"/>
  <c r="R184" i="35"/>
  <c r="P184" i="35"/>
  <c r="L184" i="35"/>
  <c r="AH184" i="35" s="1"/>
  <c r="H184" i="35"/>
  <c r="F184" i="35"/>
  <c r="X181" i="35"/>
  <c r="R181" i="35"/>
  <c r="P181" i="35"/>
  <c r="L181" i="35"/>
  <c r="AH181" i="35" s="1"/>
  <c r="H181" i="35"/>
  <c r="F181" i="35"/>
  <c r="R48" i="36"/>
  <c r="P48" i="36"/>
  <c r="R46" i="36"/>
  <c r="P46" i="36"/>
  <c r="F192" i="35"/>
  <c r="H192" i="35"/>
  <c r="L192" i="35"/>
  <c r="AH192" i="35" s="1"/>
  <c r="P192" i="35"/>
  <c r="R192" i="35"/>
  <c r="X192" i="35"/>
  <c r="Y192" i="35"/>
  <c r="N2" i="20" l="1"/>
  <c r="O2" i="20" s="1"/>
  <c r="N3" i="20"/>
  <c r="O3" i="20" s="1"/>
  <c r="N4" i="20"/>
  <c r="O4" i="20" s="1"/>
  <c r="N5" i="20"/>
  <c r="O5" i="20" s="1"/>
  <c r="N6" i="20"/>
  <c r="O6" i="20" s="1"/>
  <c r="N7" i="20"/>
  <c r="O7" i="20" s="1"/>
  <c r="N8" i="20"/>
  <c r="O8" i="20" s="1"/>
  <c r="N9" i="20"/>
  <c r="O9" i="20" s="1"/>
  <c r="N10" i="20"/>
  <c r="O10" i="20" s="1"/>
  <c r="N11" i="20"/>
  <c r="O11" i="20" s="1"/>
  <c r="N12" i="20"/>
  <c r="O12" i="20" s="1"/>
  <c r="N13" i="20"/>
  <c r="O13" i="20" s="1"/>
  <c r="N16" i="20"/>
  <c r="O16" i="20" s="1"/>
  <c r="N17" i="20"/>
  <c r="O17" i="20" s="1"/>
  <c r="N18" i="20"/>
  <c r="O18" i="20" s="1"/>
  <c r="N19" i="20"/>
  <c r="O19" i="20" s="1"/>
  <c r="N130" i="35"/>
  <c r="AE130" i="35" s="1"/>
  <c r="E33" i="36"/>
  <c r="E32" i="36"/>
  <c r="E31" i="36"/>
  <c r="E30" i="36"/>
  <c r="E29" i="36"/>
  <c r="E28" i="36"/>
  <c r="E27" i="36"/>
  <c r="E26" i="36"/>
  <c r="E25" i="36"/>
  <c r="E24" i="36"/>
  <c r="E23" i="36"/>
  <c r="E20" i="36"/>
  <c r="E19" i="36"/>
  <c r="E18" i="36"/>
  <c r="E17" i="36"/>
  <c r="E16" i="36"/>
  <c r="E15" i="36"/>
  <c r="E14" i="36"/>
  <c r="E13" i="36"/>
  <c r="E12" i="36"/>
  <c r="L28" i="36" l="1"/>
  <c r="L27" i="36"/>
  <c r="L134" i="35"/>
  <c r="AH134" i="35" s="1"/>
  <c r="P127" i="35"/>
  <c r="R126" i="35"/>
  <c r="P126" i="35"/>
  <c r="N126" i="35"/>
  <c r="AE126" i="35" s="1"/>
  <c r="L304" i="35" l="1"/>
  <c r="AH304" i="35" s="1"/>
  <c r="L282" i="35"/>
  <c r="AH282" i="35" s="1"/>
  <c r="L229" i="35"/>
  <c r="AH229" i="35" s="1"/>
  <c r="P19" i="24" l="1"/>
  <c r="P18" i="24"/>
  <c r="P17" i="24"/>
  <c r="P16" i="24"/>
  <c r="P15" i="24"/>
  <c r="P14" i="24"/>
  <c r="P13" i="24"/>
  <c r="P12" i="24"/>
  <c r="P11" i="24"/>
  <c r="P10" i="24"/>
  <c r="P9" i="24"/>
  <c r="P8" i="24"/>
  <c r="P7" i="24"/>
  <c r="P6" i="24"/>
  <c r="P5" i="24"/>
  <c r="P4" i="24"/>
  <c r="T132" i="35" l="1"/>
  <c r="AF132" i="35" s="1"/>
  <c r="R132" i="35"/>
  <c r="P132" i="35"/>
  <c r="N132" i="35"/>
  <c r="AE132" i="35" s="1"/>
  <c r="T130" i="35"/>
  <c r="R130" i="35"/>
  <c r="P130" i="35"/>
  <c r="R127" i="35"/>
  <c r="N127" i="35"/>
  <c r="AE127" i="35" s="1"/>
  <c r="E129" i="35"/>
  <c r="F129" i="35"/>
  <c r="H129" i="35"/>
  <c r="L129" i="35"/>
  <c r="AH129" i="35" s="1"/>
  <c r="N129" i="35"/>
  <c r="AE129" i="35" s="1"/>
  <c r="P129" i="35"/>
  <c r="R129" i="35"/>
  <c r="T129" i="35"/>
  <c r="AF129" i="35" s="1"/>
  <c r="X129" i="35"/>
  <c r="Y129" i="35"/>
  <c r="W130" i="35" l="1"/>
  <c r="AF130" i="35"/>
  <c r="L41" i="36"/>
  <c r="E171" i="35" l="1"/>
  <c r="R162" i="35" l="1"/>
  <c r="E161" i="35"/>
  <c r="F161" i="35"/>
  <c r="H161" i="35"/>
  <c r="L161" i="35"/>
  <c r="AH161" i="35" s="1"/>
  <c r="X161" i="35"/>
  <c r="Y161" i="35"/>
  <c r="N168" i="35" l="1"/>
  <c r="AE168" i="35" l="1"/>
  <c r="N7" i="24"/>
  <c r="N6" i="24"/>
  <c r="N5" i="24"/>
  <c r="N4" i="24"/>
  <c r="B9" i="24" s="1"/>
  <c r="N3" i="24"/>
  <c r="N2" i="24"/>
  <c r="P31" i="36" l="1"/>
  <c r="P32" i="36"/>
  <c r="P33" i="36"/>
  <c r="Y115" i="35" l="1"/>
  <c r="Y116" i="35"/>
  <c r="Y117" i="35"/>
  <c r="Y118" i="35"/>
  <c r="Y119" i="35"/>
  <c r="Y120" i="35"/>
  <c r="Y121" i="35"/>
  <c r="Y122" i="35"/>
  <c r="Y123" i="35"/>
  <c r="Y124" i="35"/>
  <c r="Y125" i="35"/>
  <c r="Y126" i="35"/>
  <c r="Y127" i="35"/>
  <c r="Y128" i="35"/>
  <c r="Y130" i="35"/>
  <c r="Y131" i="35"/>
  <c r="Y132" i="35"/>
  <c r="Y133" i="35"/>
  <c r="Y134" i="35"/>
  <c r="Y135" i="35"/>
  <c r="Y136" i="35"/>
  <c r="Y137" i="35"/>
  <c r="Y138" i="35"/>
  <c r="Y139" i="35"/>
  <c r="Y141" i="35"/>
  <c r="Y145" i="35"/>
  <c r="Y142" i="35"/>
  <c r="Y143" i="35"/>
  <c r="Y144" i="35"/>
  <c r="Y146" i="35"/>
  <c r="Y149" i="35"/>
  <c r="Y150" i="35"/>
  <c r="Y152" i="35"/>
  <c r="Y153" i="35"/>
  <c r="Y154" i="35"/>
  <c r="Y156" i="35"/>
  <c r="Y157" i="35"/>
  <c r="Y155" i="35"/>
  <c r="Y159" i="35"/>
  <c r="Y158" i="35"/>
  <c r="Y164" i="35"/>
  <c r="Y165" i="35"/>
  <c r="Y166" i="35"/>
  <c r="Y168" i="35"/>
  <c r="Y169" i="35"/>
  <c r="Y167" i="35"/>
  <c r="Y160" i="35"/>
  <c r="Y162" i="35"/>
  <c r="Y170" i="35"/>
  <c r="Y172" i="35"/>
  <c r="Y171" i="35"/>
  <c r="Y173" i="35"/>
  <c r="Y174" i="35"/>
  <c r="Y175" i="35"/>
  <c r="Y198" i="35"/>
  <c r="Y177" i="35"/>
  <c r="Y178" i="35"/>
  <c r="Y179" i="35"/>
  <c r="Y180" i="35"/>
  <c r="Y182" i="35"/>
  <c r="Y185" i="35"/>
  <c r="Y186" i="35"/>
  <c r="Y187" i="35"/>
  <c r="Y188" i="35"/>
  <c r="Y189" i="35"/>
  <c r="Y193" i="35"/>
  <c r="Y194" i="35"/>
  <c r="Y191" i="35"/>
  <c r="Y195" i="35"/>
  <c r="Y196" i="35"/>
  <c r="Y190" i="35"/>
  <c r="Y199" i="35"/>
  <c r="Y200" i="35"/>
  <c r="Y219" i="35"/>
  <c r="Y201" i="35"/>
  <c r="Y204" i="35"/>
  <c r="Y206" i="35"/>
  <c r="Y208" i="35"/>
  <c r="Y210" i="35"/>
  <c r="Y211" i="35"/>
  <c r="Y209" i="35"/>
  <c r="Y212" i="35"/>
  <c r="Y213" i="35"/>
  <c r="Y214" i="35"/>
  <c r="Y215" i="35"/>
  <c r="Y218" i="35"/>
  <c r="Y220" i="35"/>
  <c r="Y216" i="35"/>
  <c r="Y217" i="35"/>
  <c r="Y222" i="35"/>
  <c r="Y224" i="35"/>
  <c r="Y225" i="35"/>
  <c r="Y226" i="35"/>
  <c r="Y231" i="35"/>
  <c r="Y235" i="35"/>
  <c r="Y229" i="35"/>
  <c r="Y236" i="35"/>
  <c r="Y232" i="35"/>
  <c r="Y233" i="35"/>
  <c r="Y237" i="35"/>
  <c r="Y239" i="35"/>
  <c r="Y238" i="35"/>
  <c r="Y241" i="35"/>
  <c r="Y242" i="35"/>
  <c r="Y243" i="35"/>
  <c r="Y234" i="35"/>
  <c r="Y245" i="35"/>
  <c r="Y246" i="35"/>
  <c r="Y252" i="35"/>
  <c r="Y248" i="35"/>
  <c r="Y249" i="35"/>
  <c r="Y250" i="35"/>
  <c r="Y253" i="35"/>
  <c r="Y256" i="35"/>
  <c r="Y258" i="35"/>
  <c r="Y255" i="35"/>
  <c r="Y260" i="35"/>
  <c r="Y261" i="35"/>
  <c r="Y262" i="35"/>
  <c r="Y263" i="35"/>
  <c r="Y266" i="35"/>
  <c r="Y264" i="35"/>
  <c r="Y272" i="35"/>
  <c r="Y268" i="35"/>
  <c r="Y269" i="35"/>
  <c r="Y270" i="35"/>
  <c r="Y265" i="35"/>
  <c r="Y273" i="35"/>
  <c r="Y271" i="35"/>
  <c r="Y274" i="35"/>
  <c r="Y276" i="35"/>
  <c r="Y277" i="35"/>
  <c r="Y278" i="35"/>
  <c r="Y280" i="35"/>
  <c r="Y287" i="35"/>
  <c r="Y281" i="35"/>
  <c r="Y282" i="35"/>
  <c r="Y283" i="35"/>
  <c r="Y285" i="35"/>
  <c r="Y286" i="35"/>
  <c r="Y288" i="35"/>
  <c r="Y284" i="35"/>
  <c r="Y289" i="35"/>
  <c r="Y290" i="35"/>
  <c r="Y291" i="35"/>
  <c r="Y292" i="35"/>
  <c r="Y293" i="35"/>
  <c r="Y294" i="35"/>
  <c r="Y295" i="35"/>
  <c r="Y296" i="35"/>
  <c r="Y297" i="35"/>
  <c r="Y298" i="35"/>
  <c r="Y299" i="35"/>
  <c r="Y305" i="35"/>
  <c r="Y300" i="35"/>
  <c r="Y302" i="35"/>
  <c r="Y303" i="35"/>
  <c r="Y306" i="35"/>
  <c r="Y307" i="35"/>
  <c r="Y308" i="35"/>
  <c r="Y309" i="35"/>
  <c r="Y310" i="35"/>
  <c r="Y311" i="35"/>
  <c r="Y301" i="35"/>
  <c r="Y312" i="35"/>
  <c r="Y313" i="35"/>
  <c r="Y114" i="35"/>
  <c r="N121" i="35"/>
  <c r="AE121" i="35" s="1"/>
  <c r="R178" i="35"/>
  <c r="P178" i="35"/>
  <c r="B171" i="35" l="1"/>
  <c r="E172" i="35"/>
  <c r="F188" i="35" l="1"/>
  <c r="H188" i="35"/>
  <c r="L188" i="35"/>
  <c r="AH188" i="35" s="1"/>
  <c r="P188" i="35"/>
  <c r="R188" i="35"/>
  <c r="X188" i="35"/>
  <c r="F189" i="35"/>
  <c r="H189" i="35"/>
  <c r="L189" i="35"/>
  <c r="AH189" i="35" s="1"/>
  <c r="P189" i="35"/>
  <c r="R189" i="35"/>
  <c r="X189" i="35"/>
  <c r="E138" i="35"/>
  <c r="F138" i="35"/>
  <c r="H138" i="35"/>
  <c r="L138" i="35"/>
  <c r="AH138" i="35" s="1"/>
  <c r="X138" i="35"/>
  <c r="X6" i="35" l="1"/>
  <c r="R115" i="35" l="1"/>
  <c r="P115" i="35"/>
  <c r="N115" i="35"/>
  <c r="B161" i="35" l="1"/>
  <c r="AE115" i="35"/>
  <c r="F19" i="30"/>
  <c r="H19" i="30"/>
  <c r="L19" i="30"/>
  <c r="N19" i="30"/>
  <c r="R19" i="30"/>
  <c r="S19" i="30"/>
  <c r="T19" i="30"/>
  <c r="E19" i="30" s="1"/>
  <c r="O16" i="30"/>
  <c r="X19" i="30" l="1"/>
  <c r="Y19" i="30"/>
  <c r="P19" i="30"/>
  <c r="L30" i="36" l="1"/>
  <c r="L31" i="36"/>
  <c r="L32" i="36"/>
  <c r="N32" i="36"/>
  <c r="R32" i="36"/>
  <c r="T32" i="36"/>
  <c r="X32" i="36"/>
  <c r="L25" i="36"/>
  <c r="L26" i="36"/>
  <c r="L29" i="36"/>
  <c r="E162" i="35" l="1"/>
  <c r="E167" i="35" l="1"/>
  <c r="E160" i="35"/>
  <c r="R142" i="35" l="1"/>
  <c r="R125" i="35" l="1"/>
  <c r="R124" i="35"/>
  <c r="R123" i="35"/>
  <c r="D231" i="33" l="1"/>
  <c r="E224" i="33"/>
  <c r="E225" i="33"/>
  <c r="E226" i="33"/>
  <c r="E227" i="33"/>
  <c r="E228" i="33"/>
  <c r="E229" i="33"/>
  <c r="E223" i="33"/>
  <c r="D224" i="33"/>
  <c r="D225" i="33"/>
  <c r="D226" i="33"/>
  <c r="D227" i="33"/>
  <c r="D228" i="33"/>
  <c r="D229" i="33"/>
  <c r="D230" i="33"/>
  <c r="D223" i="33"/>
  <c r="Q36" i="30"/>
  <c r="S36" i="30"/>
  <c r="Q37" i="30"/>
  <c r="S37" i="30"/>
  <c r="Q38" i="30"/>
  <c r="P38" i="30" s="1"/>
  <c r="S38" i="30"/>
  <c r="Q39" i="30"/>
  <c r="S39" i="30"/>
  <c r="Q40" i="30"/>
  <c r="S40" i="30"/>
  <c r="Q41" i="30"/>
  <c r="S41" i="30"/>
  <c r="Q42" i="30"/>
  <c r="S42" i="30"/>
  <c r="Q43" i="30"/>
  <c r="S43" i="30"/>
  <c r="Q44" i="30"/>
  <c r="S44" i="30"/>
  <c r="Q45" i="30"/>
  <c r="S45" i="30"/>
  <c r="Q46" i="30"/>
  <c r="S46" i="30"/>
  <c r="Q47" i="30"/>
  <c r="S47" i="30"/>
  <c r="Q48" i="30"/>
  <c r="S48" i="30"/>
  <c r="Q49" i="30"/>
  <c r="P49" i="30" s="1"/>
  <c r="S49" i="30"/>
  <c r="Q50" i="30"/>
  <c r="P50" i="30" s="1"/>
  <c r="S50" i="30"/>
  <c r="Q51" i="30"/>
  <c r="P51" i="30" s="1"/>
  <c r="S51" i="30"/>
  <c r="L2" i="30"/>
  <c r="L3" i="30"/>
  <c r="L4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20" i="30"/>
  <c r="L21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36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F36" i="30"/>
  <c r="F37" i="30"/>
  <c r="F38" i="30"/>
  <c r="F39" i="30"/>
  <c r="F40" i="30"/>
  <c r="F41" i="30"/>
  <c r="F42" i="30"/>
  <c r="F43" i="30"/>
  <c r="F44" i="30"/>
  <c r="F45" i="30"/>
  <c r="F46" i="30"/>
  <c r="F47" i="30"/>
  <c r="F48" i="30"/>
  <c r="F49" i="30"/>
  <c r="F50" i="30"/>
  <c r="F51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36" i="30"/>
  <c r="Q35" i="30"/>
  <c r="R35" i="30" s="1"/>
  <c r="S35" i="30"/>
  <c r="T35" i="30"/>
  <c r="X35" i="30" s="1"/>
  <c r="F35" i="30"/>
  <c r="H35" i="30"/>
  <c r="N35" i="30"/>
  <c r="X265" i="35"/>
  <c r="R265" i="35"/>
  <c r="P265" i="35"/>
  <c r="L265" i="35"/>
  <c r="AH265" i="35" s="1"/>
  <c r="H265" i="35"/>
  <c r="F265" i="35"/>
  <c r="P39" i="30" l="1"/>
  <c r="R39" i="30"/>
  <c r="R51" i="30"/>
  <c r="R49" i="30"/>
  <c r="R38" i="30"/>
  <c r="R50" i="30"/>
  <c r="N36" i="30"/>
  <c r="T36" i="30"/>
  <c r="N51" i="30"/>
  <c r="T51" i="30"/>
  <c r="W51" i="30" s="1"/>
  <c r="N50" i="30"/>
  <c r="T50" i="30"/>
  <c r="W50" i="30" s="1"/>
  <c r="N49" i="30"/>
  <c r="T49" i="30"/>
  <c r="W49" i="30" s="1"/>
  <c r="N48" i="30"/>
  <c r="T48" i="30"/>
  <c r="W48" i="30" s="1"/>
  <c r="N47" i="30"/>
  <c r="T47" i="30"/>
  <c r="W47" i="30" s="1"/>
  <c r="N46" i="30"/>
  <c r="T46" i="30"/>
  <c r="W46" i="30" s="1"/>
  <c r="N45" i="30"/>
  <c r="T45" i="30"/>
  <c r="W45" i="30" s="1"/>
  <c r="N44" i="30"/>
  <c r="T44" i="30"/>
  <c r="W44" i="30" s="1"/>
  <c r="N43" i="30"/>
  <c r="T43" i="30"/>
  <c r="W43" i="30" s="1"/>
  <c r="N42" i="30"/>
  <c r="T42" i="30"/>
  <c r="W42" i="30" s="1"/>
  <c r="V19" i="30"/>
  <c r="W19" i="30" s="1"/>
  <c r="N41" i="30"/>
  <c r="T41" i="30"/>
  <c r="N40" i="30"/>
  <c r="T40" i="30"/>
  <c r="W40" i="30" s="1"/>
  <c r="N39" i="30"/>
  <c r="T39" i="30"/>
  <c r="W39" i="30" s="1"/>
  <c r="N38" i="30"/>
  <c r="T38" i="30"/>
  <c r="W38" i="30" s="1"/>
  <c r="N37" i="30"/>
  <c r="T37" i="30"/>
  <c r="P36" i="30"/>
  <c r="R36" i="30"/>
  <c r="R37" i="30"/>
  <c r="P37" i="30"/>
  <c r="P40" i="30"/>
  <c r="R40" i="30"/>
  <c r="P41" i="30"/>
  <c r="R41" i="30"/>
  <c r="R42" i="30"/>
  <c r="P42" i="30"/>
  <c r="P43" i="30"/>
  <c r="R43" i="30"/>
  <c r="R44" i="30"/>
  <c r="P44" i="30"/>
  <c r="R45" i="30"/>
  <c r="P45" i="30"/>
  <c r="P46" i="30"/>
  <c r="R46" i="30"/>
  <c r="P47" i="30"/>
  <c r="R47" i="30"/>
  <c r="R48" i="30"/>
  <c r="P48" i="30"/>
  <c r="E38" i="30"/>
  <c r="E42" i="30"/>
  <c r="E43" i="30"/>
  <c r="Y35" i="30"/>
  <c r="P35" i="30"/>
  <c r="W35" i="30"/>
  <c r="E35" i="30"/>
  <c r="X222" i="35"/>
  <c r="L222" i="35"/>
  <c r="AH222" i="35" s="1"/>
  <c r="H222" i="35"/>
  <c r="F222" i="35"/>
  <c r="E45" i="30" l="1"/>
  <c r="E44" i="30"/>
  <c r="E40" i="30"/>
  <c r="E39" i="30"/>
  <c r="E46" i="30"/>
  <c r="E47" i="30"/>
  <c r="E48" i="30"/>
  <c r="E49" i="30"/>
  <c r="E50" i="30"/>
  <c r="E51" i="30"/>
  <c r="W37" i="30"/>
  <c r="E37" i="30"/>
  <c r="W41" i="30"/>
  <c r="E41" i="30"/>
  <c r="W36" i="30"/>
  <c r="E36" i="30"/>
  <c r="T115" i="35"/>
  <c r="AF115" i="35" s="1"/>
  <c r="E115" i="35"/>
  <c r="F115" i="35"/>
  <c r="H115" i="35"/>
  <c r="L115" i="35"/>
  <c r="AH115" i="35" s="1"/>
  <c r="X115" i="35"/>
  <c r="T114" i="35"/>
  <c r="AF114" i="35" s="1"/>
  <c r="R114" i="35"/>
  <c r="P114" i="35"/>
  <c r="T112" i="35"/>
  <c r="AF112" i="35" s="1"/>
  <c r="S112" i="35"/>
  <c r="R112" i="35"/>
  <c r="P112" i="35"/>
  <c r="Q65" i="27"/>
  <c r="Q64" i="27"/>
  <c r="N72" i="27"/>
  <c r="N64" i="27"/>
  <c r="N65" i="27"/>
  <c r="C106" i="27"/>
  <c r="M106" i="27"/>
  <c r="K106" i="27" s="1"/>
  <c r="Q106" i="27"/>
  <c r="C107" i="27"/>
  <c r="F107" i="27"/>
  <c r="Q107" i="27"/>
  <c r="Q101" i="27"/>
  <c r="C101" i="27"/>
  <c r="F101" i="27"/>
  <c r="R106" i="27" l="1"/>
  <c r="M107" i="27"/>
  <c r="N107" i="27"/>
  <c r="N106" i="27"/>
  <c r="N101" i="27"/>
  <c r="M101" i="27"/>
  <c r="T48" i="27" l="1"/>
  <c r="K101" i="27"/>
  <c r="T53" i="27"/>
  <c r="K107" i="27"/>
  <c r="K108" i="27" s="1"/>
  <c r="F106" i="27"/>
  <c r="T106" i="27"/>
  <c r="K82" i="27"/>
  <c r="K81" i="27"/>
  <c r="AD181" i="35" l="1"/>
  <c r="E159" i="35"/>
  <c r="E158" i="35"/>
  <c r="N181" i="35" l="1"/>
  <c r="AE181" i="35" s="1"/>
  <c r="T181" i="35"/>
  <c r="X204" i="35"/>
  <c r="R204" i="35"/>
  <c r="P204" i="35"/>
  <c r="L204" i="35"/>
  <c r="AH204" i="35" s="1"/>
  <c r="H204" i="35"/>
  <c r="F204" i="35"/>
  <c r="W181" i="35" l="1"/>
  <c r="AF181" i="35"/>
  <c r="F152" i="35"/>
  <c r="F153" i="35"/>
  <c r="E110" i="35"/>
  <c r="F110" i="35"/>
  <c r="H110" i="35"/>
  <c r="L110" i="35"/>
  <c r="AH110" i="35" s="1"/>
  <c r="N110" i="35"/>
  <c r="P110" i="35"/>
  <c r="R110" i="35"/>
  <c r="T110" i="35"/>
  <c r="AF110" i="35" s="1"/>
  <c r="X110" i="35"/>
  <c r="AE110" i="35" l="1"/>
  <c r="E146" i="35"/>
  <c r="E149" i="35"/>
  <c r="E150" i="35"/>
  <c r="E152" i="35"/>
  <c r="E153" i="35"/>
  <c r="E154" i="35"/>
  <c r="E157" i="35"/>
  <c r="E155" i="35"/>
  <c r="L22" i="15" l="1"/>
  <c r="L26" i="15"/>
  <c r="L25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3" i="15"/>
  <c r="L24" i="15"/>
  <c r="L6" i="15"/>
  <c r="F5" i="37" l="1"/>
  <c r="F4" i="37"/>
  <c r="L13" i="24" l="1"/>
  <c r="L12" i="24"/>
  <c r="L11" i="24"/>
  <c r="L10" i="24"/>
  <c r="L9" i="24"/>
  <c r="L8" i="24"/>
  <c r="L7" i="24"/>
  <c r="L6" i="24"/>
  <c r="L5" i="24"/>
  <c r="L4" i="24"/>
  <c r="L3" i="24"/>
  <c r="L2" i="24"/>
  <c r="L15" i="24"/>
  <c r="L16" i="24"/>
  <c r="L17" i="24"/>
  <c r="L18" i="24"/>
  <c r="L19" i="24"/>
  <c r="L14" i="24"/>
  <c r="L17" i="37"/>
  <c r="L16" i="37"/>
  <c r="L15" i="37"/>
  <c r="L14" i="37"/>
  <c r="L13" i="37"/>
  <c r="L12" i="37"/>
  <c r="L10" i="37"/>
  <c r="L9" i="37"/>
  <c r="L8" i="37"/>
  <c r="L7" i="37"/>
  <c r="L6" i="37"/>
  <c r="L5" i="37"/>
  <c r="L4" i="37"/>
  <c r="L3" i="37"/>
  <c r="L2" i="37"/>
  <c r="L11" i="37"/>
  <c r="R108" i="35" l="1"/>
  <c r="P108" i="35"/>
  <c r="R107" i="35"/>
  <c r="P107" i="35"/>
  <c r="P100" i="35"/>
  <c r="E108" i="35"/>
  <c r="F108" i="35"/>
  <c r="H108" i="35"/>
  <c r="L108" i="35"/>
  <c r="AH108" i="35" s="1"/>
  <c r="N108" i="35"/>
  <c r="AE108" i="35" s="1"/>
  <c r="T108" i="35"/>
  <c r="AF108" i="35" s="1"/>
  <c r="X108" i="35"/>
  <c r="Y108" i="35" s="1"/>
  <c r="F179" i="35" l="1"/>
  <c r="H179" i="35"/>
  <c r="L179" i="35"/>
  <c r="AH179" i="35" s="1"/>
  <c r="P179" i="35"/>
  <c r="R179" i="35"/>
  <c r="X179" i="35"/>
  <c r="T48" i="35" l="1"/>
  <c r="R170" i="35"/>
  <c r="S167" i="35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34" i="36"/>
  <c r="L35" i="36"/>
  <c r="L36" i="36"/>
  <c r="L37" i="36"/>
  <c r="L39" i="36"/>
  <c r="L40" i="36"/>
  <c r="L42" i="36"/>
  <c r="L43" i="36"/>
  <c r="L44" i="36"/>
  <c r="L45" i="36"/>
  <c r="L46" i="36"/>
  <c r="L47" i="36"/>
  <c r="L48" i="36"/>
  <c r="L49" i="36"/>
  <c r="L50" i="36"/>
  <c r="L51" i="36"/>
  <c r="L52" i="36"/>
  <c r="L54" i="36"/>
  <c r="L55" i="36"/>
  <c r="L56" i="36"/>
  <c r="L57" i="36"/>
  <c r="L58" i="36"/>
  <c r="L59" i="36"/>
  <c r="L60" i="36"/>
  <c r="L61" i="36"/>
  <c r="L62" i="36"/>
  <c r="L63" i="36"/>
  <c r="L64" i="36"/>
  <c r="L65" i="36"/>
  <c r="L66" i="36"/>
  <c r="L67" i="36"/>
  <c r="L68" i="36"/>
  <c r="L69" i="36"/>
  <c r="L70" i="36"/>
  <c r="L71" i="36"/>
  <c r="L72" i="36"/>
  <c r="L73" i="36"/>
  <c r="L76" i="36"/>
  <c r="L77" i="36"/>
  <c r="L2" i="36"/>
  <c r="L3" i="36"/>
  <c r="N55" i="35"/>
  <c r="N53" i="35"/>
  <c r="F166" i="35"/>
  <c r="H166" i="35"/>
  <c r="L166" i="35"/>
  <c r="AH166" i="35" s="1"/>
  <c r="R166" i="35"/>
  <c r="X166" i="35"/>
  <c r="R159" i="35"/>
  <c r="R164" i="35"/>
  <c r="R165" i="35"/>
  <c r="R158" i="35"/>
  <c r="X314" i="35"/>
  <c r="X312" i="35"/>
  <c r="X301" i="35"/>
  <c r="X304" i="35"/>
  <c r="X313" i="35"/>
  <c r="X309" i="35"/>
  <c r="X308" i="35"/>
  <c r="X307" i="35"/>
  <c r="X306" i="35"/>
  <c r="X302" i="35"/>
  <c r="X298" i="35"/>
  <c r="X305" i="35"/>
  <c r="X297" i="35"/>
  <c r="X300" i="35"/>
  <c r="X293" i="35"/>
  <c r="X299" i="35"/>
  <c r="X311" i="35"/>
  <c r="X294" i="35"/>
  <c r="X296" i="35"/>
  <c r="X295" i="35"/>
  <c r="X292" i="35"/>
  <c r="X291" i="35"/>
  <c r="X290" i="35"/>
  <c r="X310" i="35"/>
  <c r="X289" i="35"/>
  <c r="X284" i="35"/>
  <c r="X285" i="35"/>
  <c r="X288" i="35"/>
  <c r="X303" i="35"/>
  <c r="X286" i="35"/>
  <c r="X283" i="35"/>
  <c r="X281" i="35"/>
  <c r="X282" i="35"/>
  <c r="X280" i="35"/>
  <c r="X278" i="35"/>
  <c r="X277" i="35"/>
  <c r="X276" i="35"/>
  <c r="X274" i="35"/>
  <c r="X273" i="35"/>
  <c r="X271" i="35"/>
  <c r="X287" i="35"/>
  <c r="X270" i="35"/>
  <c r="X269" i="35"/>
  <c r="X268" i="35"/>
  <c r="X263" i="35"/>
  <c r="X264" i="35"/>
  <c r="X260" i="35"/>
  <c r="X261" i="35"/>
  <c r="X258" i="35"/>
  <c r="X256" i="35"/>
  <c r="X248" i="35"/>
  <c r="X253" i="35"/>
  <c r="X266" i="35"/>
  <c r="X252" i="35"/>
  <c r="X249" i="35"/>
  <c r="X250" i="35"/>
  <c r="X262" i="35"/>
  <c r="X246" i="35"/>
  <c r="X272" i="35"/>
  <c r="X245" i="35"/>
  <c r="X243" i="35"/>
  <c r="X241" i="35"/>
  <c r="X242" i="35"/>
  <c r="X238" i="35"/>
  <c r="X234" i="35"/>
  <c r="X239" i="35"/>
  <c r="X232" i="35"/>
  <c r="X233" i="35"/>
  <c r="X237" i="35"/>
  <c r="X255" i="35"/>
  <c r="X236" i="35"/>
  <c r="X229" i="35"/>
  <c r="X231" i="35"/>
  <c r="X226" i="35"/>
  <c r="X225" i="35"/>
  <c r="X224" i="35"/>
  <c r="X217" i="35"/>
  <c r="X220" i="35"/>
  <c r="X210" i="35"/>
  <c r="X235" i="35"/>
  <c r="X215" i="35"/>
  <c r="X214" i="35"/>
  <c r="X213" i="35"/>
  <c r="X212" i="35"/>
  <c r="X211" i="35"/>
  <c r="X216" i="35"/>
  <c r="X208" i="35"/>
  <c r="X206" i="35"/>
  <c r="X200" i="35"/>
  <c r="X201" i="35"/>
  <c r="X218" i="35"/>
  <c r="X199" i="35"/>
  <c r="X195" i="35"/>
  <c r="X196" i="35"/>
  <c r="X191" i="35"/>
  <c r="X193" i="35"/>
  <c r="X190" i="35"/>
  <c r="X187" i="35"/>
  <c r="X194" i="35"/>
  <c r="X182" i="35"/>
  <c r="X180" i="35"/>
  <c r="X186" i="35"/>
  <c r="X185" i="35"/>
  <c r="X219" i="35"/>
  <c r="X178" i="35"/>
  <c r="X209" i="35"/>
  <c r="X177" i="35"/>
  <c r="X175" i="35"/>
  <c r="X174" i="35"/>
  <c r="X173" i="35"/>
  <c r="X172" i="35"/>
  <c r="X171" i="35"/>
  <c r="X170" i="35"/>
  <c r="X167" i="35"/>
  <c r="X162" i="35"/>
  <c r="X198" i="35"/>
  <c r="X160" i="35"/>
  <c r="X158" i="35"/>
  <c r="X165" i="35"/>
  <c r="X164" i="35"/>
  <c r="X159" i="35"/>
  <c r="X156" i="35"/>
  <c r="X155" i="35"/>
  <c r="X154" i="35"/>
  <c r="X157" i="35"/>
  <c r="X169" i="35"/>
  <c r="X168" i="35"/>
  <c r="X153" i="35"/>
  <c r="X152" i="35"/>
  <c r="X150" i="35"/>
  <c r="X149" i="35"/>
  <c r="X146" i="35"/>
  <c r="X142" i="35"/>
  <c r="X144" i="35"/>
  <c r="X143" i="35"/>
  <c r="X145" i="35"/>
  <c r="X141" i="35"/>
  <c r="X139" i="35"/>
  <c r="X137" i="35"/>
  <c r="X136" i="35"/>
  <c r="X135" i="35"/>
  <c r="X134" i="35"/>
  <c r="X133" i="35"/>
  <c r="X132" i="35"/>
  <c r="X131" i="35"/>
  <c r="X130" i="35"/>
  <c r="X128" i="35"/>
  <c r="X127" i="35"/>
  <c r="X126" i="35"/>
  <c r="X125" i="35"/>
  <c r="X124" i="35"/>
  <c r="X123" i="35"/>
  <c r="X122" i="35"/>
  <c r="X121" i="35"/>
  <c r="X120" i="35"/>
  <c r="X119" i="35"/>
  <c r="X118" i="35"/>
  <c r="X117" i="35"/>
  <c r="X116" i="35"/>
  <c r="X114" i="35"/>
  <c r="X113" i="35"/>
  <c r="Y113" i="35" s="1"/>
  <c r="X112" i="35"/>
  <c r="X111" i="35"/>
  <c r="X109" i="35"/>
  <c r="Y109" i="35" s="1"/>
  <c r="X107" i="35"/>
  <c r="Y107" i="35" s="1"/>
  <c r="X106" i="35"/>
  <c r="Y106" i="35" s="1"/>
  <c r="X105" i="35"/>
  <c r="X104" i="35"/>
  <c r="X103" i="35"/>
  <c r="Y103" i="35" s="1"/>
  <c r="X102" i="35"/>
  <c r="Y102" i="35" s="1"/>
  <c r="X101" i="35"/>
  <c r="Y101" i="35" s="1"/>
  <c r="X100" i="35"/>
  <c r="Y100" i="35" s="1"/>
  <c r="X99" i="35"/>
  <c r="X98" i="35"/>
  <c r="X97" i="35"/>
  <c r="X96" i="35"/>
  <c r="Y96" i="35" s="1"/>
  <c r="X95" i="35"/>
  <c r="Y95" i="35" s="1"/>
  <c r="X94" i="35"/>
  <c r="Y94" i="35" s="1"/>
  <c r="X93" i="35"/>
  <c r="Y93" i="35" s="1"/>
  <c r="X92" i="35"/>
  <c r="Y92" i="35" s="1"/>
  <c r="X91" i="35"/>
  <c r="X90" i="35"/>
  <c r="X89" i="35"/>
  <c r="X88" i="35"/>
  <c r="X87" i="35"/>
  <c r="X86" i="35"/>
  <c r="Y86" i="35" s="1"/>
  <c r="X85" i="35"/>
  <c r="Y85" i="35" s="1"/>
  <c r="X84" i="35"/>
  <c r="X83" i="35"/>
  <c r="X82" i="35"/>
  <c r="X81" i="35"/>
  <c r="X80" i="35"/>
  <c r="X79" i="35"/>
  <c r="X78" i="35"/>
  <c r="X77" i="35"/>
  <c r="X76" i="35"/>
  <c r="X75" i="35"/>
  <c r="Y75" i="35" s="1"/>
  <c r="X74" i="35"/>
  <c r="X73" i="35"/>
  <c r="Y73" i="35" s="1"/>
  <c r="X72" i="35"/>
  <c r="X71" i="35"/>
  <c r="X70" i="35"/>
  <c r="Y70" i="35" s="1"/>
  <c r="X69" i="35"/>
  <c r="X68" i="35"/>
  <c r="Y68" i="35" s="1"/>
  <c r="X67" i="35"/>
  <c r="Y67" i="35" s="1"/>
  <c r="X66" i="35"/>
  <c r="Y66" i="35" s="1"/>
  <c r="X65" i="35"/>
  <c r="Y65" i="35" s="1"/>
  <c r="X64" i="35"/>
  <c r="X63" i="35"/>
  <c r="Y63" i="35" s="1"/>
  <c r="X62" i="35"/>
  <c r="Y62" i="35" s="1"/>
  <c r="X61" i="35"/>
  <c r="Y61" i="35" s="1"/>
  <c r="X60" i="35"/>
  <c r="X59" i="35"/>
  <c r="Y59" i="35" s="1"/>
  <c r="X58" i="35"/>
  <c r="Y58" i="35" s="1"/>
  <c r="X57" i="35"/>
  <c r="Y57" i="35" s="1"/>
  <c r="X56" i="35"/>
  <c r="Y56" i="35" s="1"/>
  <c r="X55" i="35"/>
  <c r="Y55" i="35" s="1"/>
  <c r="X54" i="35"/>
  <c r="Y54" i="35" s="1"/>
  <c r="X53" i="35"/>
  <c r="Y53" i="35" s="1"/>
  <c r="X52" i="35"/>
  <c r="Y52" i="35" s="1"/>
  <c r="X51" i="35"/>
  <c r="X50" i="35"/>
  <c r="Y50" i="35" s="1"/>
  <c r="X49" i="35"/>
  <c r="Y49" i="35" s="1"/>
  <c r="X48" i="35"/>
  <c r="Y48" i="35" s="1"/>
  <c r="X47" i="35"/>
  <c r="X46" i="35"/>
  <c r="Y46" i="35" s="1"/>
  <c r="X45" i="35"/>
  <c r="Y45" i="35" s="1"/>
  <c r="X44" i="35"/>
  <c r="Y44" i="35" s="1"/>
  <c r="X43" i="35"/>
  <c r="X42" i="35"/>
  <c r="Y42" i="35" s="1"/>
  <c r="X41" i="35"/>
  <c r="Y41" i="35" s="1"/>
  <c r="X40" i="35"/>
  <c r="Y40" i="35" s="1"/>
  <c r="X39" i="35"/>
  <c r="Y39" i="35" s="1"/>
  <c r="X38" i="35"/>
  <c r="Y38" i="35" s="1"/>
  <c r="X37" i="35"/>
  <c r="Y37" i="35" s="1"/>
  <c r="X36" i="35"/>
  <c r="Y36" i="35" s="1"/>
  <c r="X35" i="35"/>
  <c r="X34" i="35"/>
  <c r="Y34" i="35" s="1"/>
  <c r="X5" i="35"/>
  <c r="X7" i="35"/>
  <c r="Y7" i="35" s="1"/>
  <c r="X8" i="35"/>
  <c r="Y8" i="35" s="1"/>
  <c r="X9" i="35"/>
  <c r="Y9" i="35" s="1"/>
  <c r="X10" i="35"/>
  <c r="Y10" i="35" s="1"/>
  <c r="X11" i="35"/>
  <c r="Y11" i="35" s="1"/>
  <c r="X12" i="35"/>
  <c r="Y12" i="35" s="1"/>
  <c r="X13" i="35"/>
  <c r="Y13" i="35" s="1"/>
  <c r="X14" i="35"/>
  <c r="Y14" i="35" s="1"/>
  <c r="X15" i="35"/>
  <c r="Y15" i="35" s="1"/>
  <c r="X16" i="35"/>
  <c r="Y16" i="35" s="1"/>
  <c r="X17" i="35"/>
  <c r="Y17" i="35" s="1"/>
  <c r="X18" i="35"/>
  <c r="Y18" i="35" s="1"/>
  <c r="X19" i="35"/>
  <c r="Y19" i="35" s="1"/>
  <c r="X20" i="35"/>
  <c r="X21" i="35"/>
  <c r="Y21" i="35" s="1"/>
  <c r="X22" i="35"/>
  <c r="Y22" i="35" s="1"/>
  <c r="X23" i="35"/>
  <c r="Y23" i="35" s="1"/>
  <c r="X24" i="35"/>
  <c r="Y24" i="35" s="1"/>
  <c r="X25" i="35"/>
  <c r="Y25" i="35" s="1"/>
  <c r="X26" i="35"/>
  <c r="Y26" i="35" s="1"/>
  <c r="X27" i="35"/>
  <c r="Y27" i="35" s="1"/>
  <c r="X28" i="35"/>
  <c r="Y28" i="35" s="1"/>
  <c r="X29" i="35"/>
  <c r="Y29" i="35" s="1"/>
  <c r="X30" i="35"/>
  <c r="Y30" i="35" s="1"/>
  <c r="X31" i="35"/>
  <c r="Y31" i="35" s="1"/>
  <c r="X32" i="35"/>
  <c r="Y32" i="35" s="1"/>
  <c r="X33" i="35"/>
  <c r="Y33" i="35" s="1"/>
  <c r="S141" i="35"/>
  <c r="T143" i="35"/>
  <c r="AF143" i="35" s="1"/>
  <c r="N143" i="35"/>
  <c r="AE143" i="35" s="1"/>
  <c r="T127" i="35"/>
  <c r="AF127" i="35" s="1"/>
  <c r="T126" i="35"/>
  <c r="AF126" i="35" s="1"/>
  <c r="N125" i="35"/>
  <c r="P125" i="35"/>
  <c r="T125" i="35"/>
  <c r="E127" i="35"/>
  <c r="F127" i="35"/>
  <c r="H127" i="35"/>
  <c r="L127" i="35"/>
  <c r="AH127" i="35" s="1"/>
  <c r="E126" i="35"/>
  <c r="F126" i="35"/>
  <c r="H126" i="35"/>
  <c r="L126" i="35"/>
  <c r="AH126" i="35" s="1"/>
  <c r="T36" i="35"/>
  <c r="T34" i="35"/>
  <c r="E113" i="35"/>
  <c r="L314" i="35"/>
  <c r="AH314" i="35" s="1"/>
  <c r="L312" i="35"/>
  <c r="AH312" i="35" s="1"/>
  <c r="L301" i="35"/>
  <c r="AH301" i="35" s="1"/>
  <c r="L313" i="35"/>
  <c r="AH313" i="35" s="1"/>
  <c r="L309" i="35"/>
  <c r="AH309" i="35" s="1"/>
  <c r="L308" i="35"/>
  <c r="AH308" i="35" s="1"/>
  <c r="L307" i="35"/>
  <c r="AH307" i="35" s="1"/>
  <c r="L306" i="35"/>
  <c r="AH306" i="35" s="1"/>
  <c r="L302" i="35"/>
  <c r="AH302" i="35" s="1"/>
  <c r="L298" i="35"/>
  <c r="AH298" i="35" s="1"/>
  <c r="L305" i="35"/>
  <c r="AH305" i="35" s="1"/>
  <c r="L297" i="35"/>
  <c r="AH297" i="35" s="1"/>
  <c r="L300" i="35"/>
  <c r="AH300" i="35" s="1"/>
  <c r="L293" i="35"/>
  <c r="AH293" i="35" s="1"/>
  <c r="L299" i="35"/>
  <c r="AH299" i="35" s="1"/>
  <c r="L311" i="35"/>
  <c r="AH311" i="35" s="1"/>
  <c r="L294" i="35"/>
  <c r="AH294" i="35" s="1"/>
  <c r="L296" i="35"/>
  <c r="AH296" i="35" s="1"/>
  <c r="L295" i="35"/>
  <c r="AH295" i="35" s="1"/>
  <c r="L292" i="35"/>
  <c r="AH292" i="35" s="1"/>
  <c r="L291" i="35"/>
  <c r="AH291" i="35" s="1"/>
  <c r="L290" i="35"/>
  <c r="AH290" i="35" s="1"/>
  <c r="L310" i="35"/>
  <c r="AH310" i="35" s="1"/>
  <c r="L284" i="35"/>
  <c r="AH284" i="35" s="1"/>
  <c r="L285" i="35"/>
  <c r="AH285" i="35" s="1"/>
  <c r="L288" i="35"/>
  <c r="AH288" i="35" s="1"/>
  <c r="L303" i="35"/>
  <c r="AH303" i="35" s="1"/>
  <c r="L286" i="35"/>
  <c r="AH286" i="35" s="1"/>
  <c r="L283" i="35"/>
  <c r="AH283" i="35" s="1"/>
  <c r="L281" i="35"/>
  <c r="AH281" i="35" s="1"/>
  <c r="L280" i="35"/>
  <c r="AH280" i="35" s="1"/>
  <c r="L278" i="35"/>
  <c r="AH278" i="35" s="1"/>
  <c r="L277" i="35"/>
  <c r="AH277" i="35" s="1"/>
  <c r="L276" i="35"/>
  <c r="AH276" i="35" s="1"/>
  <c r="L274" i="35"/>
  <c r="AH274" i="35" s="1"/>
  <c r="L273" i="35"/>
  <c r="AH273" i="35" s="1"/>
  <c r="L271" i="35"/>
  <c r="AH271" i="35" s="1"/>
  <c r="L287" i="35"/>
  <c r="AH287" i="35" s="1"/>
  <c r="L270" i="35"/>
  <c r="AH270" i="35" s="1"/>
  <c r="L269" i="35"/>
  <c r="AH269" i="35" s="1"/>
  <c r="L268" i="35"/>
  <c r="AH268" i="35" s="1"/>
  <c r="L264" i="35"/>
  <c r="AH264" i="35" s="1"/>
  <c r="L260" i="35"/>
  <c r="AH260" i="35" s="1"/>
  <c r="L261" i="35"/>
  <c r="AH261" i="35" s="1"/>
  <c r="L258" i="35"/>
  <c r="AH258" i="35" s="1"/>
  <c r="L256" i="35"/>
  <c r="AH256" i="35" s="1"/>
  <c r="L248" i="35"/>
  <c r="AH248" i="35" s="1"/>
  <c r="L253" i="35"/>
  <c r="AH253" i="35" s="1"/>
  <c r="L266" i="35"/>
  <c r="AH266" i="35" s="1"/>
  <c r="L252" i="35"/>
  <c r="AH252" i="35" s="1"/>
  <c r="L249" i="35"/>
  <c r="AH249" i="35" s="1"/>
  <c r="L250" i="35"/>
  <c r="AH250" i="35" s="1"/>
  <c r="L262" i="35"/>
  <c r="AH262" i="35" s="1"/>
  <c r="L246" i="35"/>
  <c r="AH246" i="35" s="1"/>
  <c r="L272" i="35"/>
  <c r="AH272" i="35" s="1"/>
  <c r="L245" i="35"/>
  <c r="AH245" i="35" s="1"/>
  <c r="L243" i="35"/>
  <c r="AH243" i="35" s="1"/>
  <c r="L241" i="35"/>
  <c r="AH241" i="35" s="1"/>
  <c r="L238" i="35"/>
  <c r="AH238" i="35" s="1"/>
  <c r="L234" i="35"/>
  <c r="AH234" i="35" s="1"/>
  <c r="L239" i="35"/>
  <c r="AH239" i="35" s="1"/>
  <c r="L232" i="35"/>
  <c r="AH232" i="35" s="1"/>
  <c r="L233" i="35"/>
  <c r="AH233" i="35" s="1"/>
  <c r="L237" i="35"/>
  <c r="AH237" i="35" s="1"/>
  <c r="L255" i="35"/>
  <c r="AH255" i="35" s="1"/>
  <c r="L236" i="35"/>
  <c r="AH236" i="35" s="1"/>
  <c r="L226" i="35"/>
  <c r="AH226" i="35" s="1"/>
  <c r="L225" i="35"/>
  <c r="AH225" i="35" s="1"/>
  <c r="L224" i="35"/>
  <c r="AH224" i="35" s="1"/>
  <c r="L217" i="35"/>
  <c r="AH217" i="35" s="1"/>
  <c r="L220" i="35"/>
  <c r="AH220" i="35" s="1"/>
  <c r="L210" i="35"/>
  <c r="AH210" i="35" s="1"/>
  <c r="L235" i="35"/>
  <c r="AH235" i="35" s="1"/>
  <c r="L215" i="35"/>
  <c r="AH215" i="35" s="1"/>
  <c r="L214" i="35"/>
  <c r="AH214" i="35" s="1"/>
  <c r="L213" i="35"/>
  <c r="AH213" i="35" s="1"/>
  <c r="L212" i="35"/>
  <c r="AH212" i="35" s="1"/>
  <c r="L211" i="35"/>
  <c r="AH211" i="35" s="1"/>
  <c r="L216" i="35"/>
  <c r="AH216" i="35" s="1"/>
  <c r="L208" i="35"/>
  <c r="AH208" i="35" s="1"/>
  <c r="L206" i="35"/>
  <c r="AH206" i="35" s="1"/>
  <c r="L200" i="35"/>
  <c r="AH200" i="35" s="1"/>
  <c r="L201" i="35"/>
  <c r="AH201" i="35" s="1"/>
  <c r="L218" i="35"/>
  <c r="AH218" i="35" s="1"/>
  <c r="L199" i="35"/>
  <c r="AH199" i="35" s="1"/>
  <c r="L195" i="35"/>
  <c r="AH195" i="35" s="1"/>
  <c r="L196" i="35"/>
  <c r="AH196" i="35" s="1"/>
  <c r="L191" i="35"/>
  <c r="AH191" i="35" s="1"/>
  <c r="L193" i="35"/>
  <c r="AH193" i="35" s="1"/>
  <c r="L190" i="35"/>
  <c r="AH190" i="35" s="1"/>
  <c r="L187" i="35"/>
  <c r="AH187" i="35" s="1"/>
  <c r="L194" i="35"/>
  <c r="AH194" i="35" s="1"/>
  <c r="L182" i="35"/>
  <c r="AH182" i="35" s="1"/>
  <c r="L180" i="35"/>
  <c r="AH180" i="35" s="1"/>
  <c r="L186" i="35"/>
  <c r="AH186" i="35" s="1"/>
  <c r="L185" i="35"/>
  <c r="AH185" i="35" s="1"/>
  <c r="L219" i="35"/>
  <c r="AH219" i="35" s="1"/>
  <c r="L178" i="35"/>
  <c r="AH178" i="35" s="1"/>
  <c r="L209" i="35"/>
  <c r="AH209" i="35" s="1"/>
  <c r="L177" i="35"/>
  <c r="AH177" i="35" s="1"/>
  <c r="L175" i="35"/>
  <c r="AH175" i="35" s="1"/>
  <c r="L174" i="35"/>
  <c r="AH174" i="35" s="1"/>
  <c r="L173" i="35"/>
  <c r="AH173" i="35" s="1"/>
  <c r="L172" i="35"/>
  <c r="AH172" i="35" s="1"/>
  <c r="L171" i="35"/>
  <c r="AH171" i="35" s="1"/>
  <c r="L170" i="35"/>
  <c r="AH170" i="35" s="1"/>
  <c r="L167" i="35"/>
  <c r="AH167" i="35" s="1"/>
  <c r="L162" i="35"/>
  <c r="AH162" i="35" s="1"/>
  <c r="L198" i="35"/>
  <c r="AH198" i="35" s="1"/>
  <c r="L160" i="35"/>
  <c r="AH160" i="35" s="1"/>
  <c r="L158" i="35"/>
  <c r="AH158" i="35" s="1"/>
  <c r="L165" i="35"/>
  <c r="AH165" i="35" s="1"/>
  <c r="L164" i="35"/>
  <c r="AH164" i="35" s="1"/>
  <c r="L159" i="35"/>
  <c r="AH159" i="35" s="1"/>
  <c r="L156" i="35"/>
  <c r="AH156" i="35" s="1"/>
  <c r="L155" i="35"/>
  <c r="AH155" i="35" s="1"/>
  <c r="L154" i="35"/>
  <c r="AH154" i="35" s="1"/>
  <c r="L157" i="35"/>
  <c r="AH157" i="35" s="1"/>
  <c r="L169" i="35"/>
  <c r="AH169" i="35" s="1"/>
  <c r="L168" i="35"/>
  <c r="AH168" i="35" s="1"/>
  <c r="L153" i="35"/>
  <c r="AH153" i="35" s="1"/>
  <c r="L152" i="35"/>
  <c r="AH152" i="35" s="1"/>
  <c r="L150" i="35"/>
  <c r="AH150" i="35" s="1"/>
  <c r="L149" i="35"/>
  <c r="AH149" i="35" s="1"/>
  <c r="L146" i="35"/>
  <c r="AH146" i="35" s="1"/>
  <c r="L144" i="35"/>
  <c r="AH144" i="35" s="1"/>
  <c r="L143" i="35"/>
  <c r="AH143" i="35" s="1"/>
  <c r="L145" i="35"/>
  <c r="AH145" i="35" s="1"/>
  <c r="L142" i="35"/>
  <c r="AH142" i="35" s="1"/>
  <c r="L141" i="35"/>
  <c r="AH141" i="35" s="1"/>
  <c r="L139" i="35"/>
  <c r="AH139" i="35" s="1"/>
  <c r="L137" i="35"/>
  <c r="AH137" i="35" s="1"/>
  <c r="L136" i="35"/>
  <c r="AH136" i="35" s="1"/>
  <c r="L135" i="35"/>
  <c r="AH135" i="35" s="1"/>
  <c r="L133" i="35"/>
  <c r="AH133" i="35" s="1"/>
  <c r="L132" i="35"/>
  <c r="AH132" i="35" s="1"/>
  <c r="L131" i="35"/>
  <c r="AH131" i="35" s="1"/>
  <c r="L130" i="35"/>
  <c r="AH130" i="35" s="1"/>
  <c r="L128" i="35"/>
  <c r="AH128" i="35" s="1"/>
  <c r="L125" i="35"/>
  <c r="AH125" i="35" s="1"/>
  <c r="L124" i="35"/>
  <c r="AH124" i="35" s="1"/>
  <c r="L123" i="35"/>
  <c r="AH123" i="35" s="1"/>
  <c r="L122" i="35"/>
  <c r="AH122" i="35" s="1"/>
  <c r="L121" i="35"/>
  <c r="AH121" i="35" s="1"/>
  <c r="L120" i="35"/>
  <c r="AH120" i="35" s="1"/>
  <c r="L119" i="35"/>
  <c r="AH119" i="35" s="1"/>
  <c r="L118" i="35"/>
  <c r="AH118" i="35" s="1"/>
  <c r="L117" i="35"/>
  <c r="AH117" i="35" s="1"/>
  <c r="L116" i="35"/>
  <c r="AH116" i="35" s="1"/>
  <c r="L114" i="35"/>
  <c r="AH114" i="35" s="1"/>
  <c r="L113" i="35"/>
  <c r="AH113" i="35" s="1"/>
  <c r="L112" i="35"/>
  <c r="AH112" i="35" s="1"/>
  <c r="L111" i="35"/>
  <c r="AH111" i="35" s="1"/>
  <c r="L109" i="35"/>
  <c r="AH109" i="35" s="1"/>
  <c r="L107" i="35"/>
  <c r="AH107" i="35" s="1"/>
  <c r="L106" i="35"/>
  <c r="AH106" i="35" s="1"/>
  <c r="L105" i="35"/>
  <c r="AH105" i="35" s="1"/>
  <c r="L104" i="35"/>
  <c r="AH104" i="35" s="1"/>
  <c r="L103" i="35"/>
  <c r="AH103" i="35" s="1"/>
  <c r="L102" i="35"/>
  <c r="AH102" i="35" s="1"/>
  <c r="L101" i="35"/>
  <c r="AH101" i="35" s="1"/>
  <c r="L100" i="35"/>
  <c r="AH100" i="35" s="1"/>
  <c r="L99" i="35"/>
  <c r="AH99" i="35" s="1"/>
  <c r="L98" i="35"/>
  <c r="AH98" i="35" s="1"/>
  <c r="L97" i="35"/>
  <c r="AH97" i="35" s="1"/>
  <c r="L96" i="35"/>
  <c r="AH96" i="35" s="1"/>
  <c r="L95" i="35"/>
  <c r="AH95" i="35" s="1"/>
  <c r="L94" i="35"/>
  <c r="AH94" i="35" s="1"/>
  <c r="L93" i="35"/>
  <c r="AH93" i="35" s="1"/>
  <c r="L92" i="35"/>
  <c r="AH92" i="35" s="1"/>
  <c r="L91" i="35"/>
  <c r="AH91" i="35" s="1"/>
  <c r="L90" i="35"/>
  <c r="AH90" i="35" s="1"/>
  <c r="L89" i="35"/>
  <c r="AH89" i="35" s="1"/>
  <c r="L88" i="35"/>
  <c r="AH88" i="35" s="1"/>
  <c r="L87" i="35"/>
  <c r="AH87" i="35" s="1"/>
  <c r="L86" i="35"/>
  <c r="AH86" i="35" s="1"/>
  <c r="L85" i="35"/>
  <c r="AH85" i="35" s="1"/>
  <c r="L84" i="35"/>
  <c r="AH84" i="35" s="1"/>
  <c r="L83" i="35"/>
  <c r="AH83" i="35" s="1"/>
  <c r="L82" i="35"/>
  <c r="AH82" i="35" s="1"/>
  <c r="L81" i="35"/>
  <c r="AH81" i="35" s="1"/>
  <c r="L80" i="35"/>
  <c r="AH80" i="35" s="1"/>
  <c r="L79" i="35"/>
  <c r="AH79" i="35" s="1"/>
  <c r="L78" i="35"/>
  <c r="AH78" i="35" s="1"/>
  <c r="L77" i="35"/>
  <c r="L76" i="35"/>
  <c r="L75" i="35"/>
  <c r="L74" i="35"/>
  <c r="L73" i="35"/>
  <c r="L72" i="35"/>
  <c r="L71" i="35"/>
  <c r="L70" i="35"/>
  <c r="L69" i="35"/>
  <c r="L68" i="35"/>
  <c r="L67" i="35"/>
  <c r="L66" i="35"/>
  <c r="L65" i="35"/>
  <c r="L64" i="35"/>
  <c r="L63" i="35"/>
  <c r="L62" i="35"/>
  <c r="L61" i="35"/>
  <c r="L60" i="35"/>
  <c r="L59" i="35"/>
  <c r="L58" i="35"/>
  <c r="L57" i="35"/>
  <c r="L56" i="35"/>
  <c r="L55" i="35"/>
  <c r="L54" i="35"/>
  <c r="L53" i="35"/>
  <c r="L52" i="35"/>
  <c r="L51" i="35"/>
  <c r="L50" i="35"/>
  <c r="L49" i="35"/>
  <c r="L48" i="35"/>
  <c r="L47" i="35"/>
  <c r="L46" i="35"/>
  <c r="L45" i="35"/>
  <c r="L44" i="35"/>
  <c r="L43" i="35"/>
  <c r="L42" i="35"/>
  <c r="L41" i="35"/>
  <c r="L40" i="35"/>
  <c r="L39" i="35"/>
  <c r="L38" i="35"/>
  <c r="L37" i="35"/>
  <c r="L36" i="35"/>
  <c r="L35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L5" i="35"/>
  <c r="L4" i="35"/>
  <c r="L3" i="35"/>
  <c r="L2" i="35"/>
  <c r="B177" i="35" l="1"/>
  <c r="W125" i="35"/>
  <c r="AF125" i="35"/>
  <c r="AE125" i="35"/>
  <c r="B202" i="35"/>
  <c r="C202" i="35" s="1"/>
  <c r="B203" i="35"/>
  <c r="Y20" i="35"/>
  <c r="F165" i="35"/>
  <c r="H165" i="35"/>
  <c r="C203" i="35" l="1"/>
  <c r="AD203" i="35" s="1"/>
  <c r="N202" i="35"/>
  <c r="AE202" i="35" s="1"/>
  <c r="AD202" i="35"/>
  <c r="T202" i="35"/>
  <c r="P3" i="24"/>
  <c r="R3" i="24"/>
  <c r="R4" i="24"/>
  <c r="R5" i="24"/>
  <c r="R6" i="24"/>
  <c r="R7" i="24"/>
  <c r="R8" i="24"/>
  <c r="R9" i="24"/>
  <c r="R10" i="24"/>
  <c r="R11" i="24"/>
  <c r="R12" i="24"/>
  <c r="R13" i="24"/>
  <c r="R14" i="24"/>
  <c r="R15" i="24"/>
  <c r="R16" i="24"/>
  <c r="R17" i="24"/>
  <c r="R18" i="24"/>
  <c r="R19" i="24"/>
  <c r="R17" i="37"/>
  <c r="R16" i="37"/>
  <c r="R15" i="37"/>
  <c r="R14" i="37"/>
  <c r="R13" i="37"/>
  <c r="R12" i="37"/>
  <c r="R11" i="37"/>
  <c r="R10" i="37"/>
  <c r="R9" i="37"/>
  <c r="R8" i="37"/>
  <c r="R7" i="37"/>
  <c r="R6" i="37"/>
  <c r="R5" i="37"/>
  <c r="R4" i="37"/>
  <c r="R3" i="37"/>
  <c r="R2" i="37"/>
  <c r="P17" i="37"/>
  <c r="P16" i="37"/>
  <c r="P15" i="37"/>
  <c r="P14" i="37"/>
  <c r="P13" i="37"/>
  <c r="P12" i="37"/>
  <c r="P11" i="37"/>
  <c r="P10" i="37"/>
  <c r="P9" i="37"/>
  <c r="P8" i="37"/>
  <c r="P7" i="37"/>
  <c r="P6" i="37"/>
  <c r="P5" i="37"/>
  <c r="P4" i="37"/>
  <c r="P3" i="37"/>
  <c r="P2" i="37"/>
  <c r="H17" i="37"/>
  <c r="H16" i="37"/>
  <c r="H15" i="37"/>
  <c r="H14" i="37"/>
  <c r="H13" i="37"/>
  <c r="H12" i="37"/>
  <c r="H11" i="37"/>
  <c r="H10" i="37"/>
  <c r="H9" i="37"/>
  <c r="H8" i="37"/>
  <c r="H7" i="37"/>
  <c r="H6" i="37"/>
  <c r="H5" i="37"/>
  <c r="H4" i="37"/>
  <c r="H3" i="37"/>
  <c r="H2" i="37"/>
  <c r="F3" i="37"/>
  <c r="F2" i="37"/>
  <c r="R77" i="36"/>
  <c r="R76" i="36"/>
  <c r="R75" i="36"/>
  <c r="R74" i="36"/>
  <c r="R73" i="36"/>
  <c r="R72" i="36"/>
  <c r="R71" i="36"/>
  <c r="R70" i="36"/>
  <c r="R69" i="36"/>
  <c r="R68" i="36"/>
  <c r="R67" i="36"/>
  <c r="R66" i="36"/>
  <c r="R65" i="36"/>
  <c r="R64" i="36"/>
  <c r="R63" i="36"/>
  <c r="R62" i="36"/>
  <c r="R61" i="36"/>
  <c r="R60" i="36"/>
  <c r="R59" i="36"/>
  <c r="R58" i="36"/>
  <c r="R57" i="36"/>
  <c r="R56" i="36"/>
  <c r="R55" i="36"/>
  <c r="R54" i="36"/>
  <c r="R53" i="36"/>
  <c r="R52" i="36"/>
  <c r="R51" i="36"/>
  <c r="R50" i="36"/>
  <c r="R49" i="36"/>
  <c r="R47" i="36"/>
  <c r="R45" i="36"/>
  <c r="R44" i="36"/>
  <c r="R41" i="36"/>
  <c r="R43" i="36"/>
  <c r="R42" i="36"/>
  <c r="R40" i="36"/>
  <c r="R39" i="36"/>
  <c r="R38" i="36"/>
  <c r="R37" i="36"/>
  <c r="R36" i="36"/>
  <c r="R35" i="36"/>
  <c r="R34" i="36"/>
  <c r="R33" i="36"/>
  <c r="R31" i="36"/>
  <c r="R30" i="36"/>
  <c r="R29" i="36"/>
  <c r="R28" i="36"/>
  <c r="R27" i="36"/>
  <c r="R26" i="36"/>
  <c r="R25" i="36"/>
  <c r="R24" i="36"/>
  <c r="R23" i="36"/>
  <c r="R22" i="36"/>
  <c r="R21" i="36"/>
  <c r="R20" i="36"/>
  <c r="R19" i="36"/>
  <c r="R18" i="36"/>
  <c r="R17" i="36"/>
  <c r="R16" i="36"/>
  <c r="R15" i="36"/>
  <c r="R14" i="36"/>
  <c r="R13" i="36"/>
  <c r="R12" i="36"/>
  <c r="R11" i="36"/>
  <c r="R10" i="36"/>
  <c r="R9" i="36"/>
  <c r="R8" i="36"/>
  <c r="R7" i="36"/>
  <c r="R6" i="36"/>
  <c r="R5" i="36"/>
  <c r="R4" i="36"/>
  <c r="R3" i="36"/>
  <c r="R2" i="36"/>
  <c r="H77" i="36"/>
  <c r="H76" i="36"/>
  <c r="H75" i="36"/>
  <c r="H74" i="36"/>
  <c r="H73" i="36"/>
  <c r="H72" i="36"/>
  <c r="H71" i="36"/>
  <c r="H70" i="36"/>
  <c r="H69" i="36"/>
  <c r="H68" i="36"/>
  <c r="H67" i="36"/>
  <c r="H66" i="36"/>
  <c r="H65" i="36"/>
  <c r="H64" i="36"/>
  <c r="H63" i="36"/>
  <c r="H62" i="36"/>
  <c r="H61" i="36"/>
  <c r="H60" i="36"/>
  <c r="H59" i="36"/>
  <c r="H58" i="36"/>
  <c r="H57" i="36"/>
  <c r="H56" i="36"/>
  <c r="H55" i="36"/>
  <c r="H54" i="36"/>
  <c r="H52" i="36"/>
  <c r="H51" i="36"/>
  <c r="H50" i="36"/>
  <c r="H49" i="36"/>
  <c r="H48" i="36"/>
  <c r="H47" i="36"/>
  <c r="H46" i="36"/>
  <c r="H45" i="36"/>
  <c r="H44" i="36"/>
  <c r="H43" i="36"/>
  <c r="H42" i="36"/>
  <c r="H40" i="36"/>
  <c r="H39" i="36"/>
  <c r="H38" i="36"/>
  <c r="H37" i="36"/>
  <c r="H36" i="36"/>
  <c r="H35" i="36"/>
  <c r="H34" i="36"/>
  <c r="H30" i="36"/>
  <c r="H28" i="36"/>
  <c r="H27" i="36"/>
  <c r="H24" i="36"/>
  <c r="H23" i="36"/>
  <c r="H22" i="36"/>
  <c r="H21" i="36"/>
  <c r="H20" i="36"/>
  <c r="H19" i="36"/>
  <c r="H18" i="36"/>
  <c r="H17" i="36"/>
  <c r="H16" i="36"/>
  <c r="H15" i="36"/>
  <c r="H14" i="36"/>
  <c r="H13" i="36"/>
  <c r="H12" i="36"/>
  <c r="H11" i="36"/>
  <c r="H10" i="36"/>
  <c r="H9" i="36"/>
  <c r="H8" i="36"/>
  <c r="H7" i="36"/>
  <c r="H6" i="36"/>
  <c r="H5" i="36"/>
  <c r="H4" i="36"/>
  <c r="H3" i="36"/>
  <c r="H2" i="36"/>
  <c r="P77" i="36"/>
  <c r="P76" i="36"/>
  <c r="P75" i="36"/>
  <c r="P74" i="36"/>
  <c r="P73" i="36"/>
  <c r="P72" i="36"/>
  <c r="P71" i="36"/>
  <c r="P70" i="36"/>
  <c r="P69" i="36"/>
  <c r="P68" i="36"/>
  <c r="P67" i="36"/>
  <c r="P66" i="36"/>
  <c r="P65" i="36"/>
  <c r="P64" i="36"/>
  <c r="P63" i="36"/>
  <c r="P62" i="36"/>
  <c r="P61" i="36"/>
  <c r="P60" i="36"/>
  <c r="P59" i="36"/>
  <c r="P58" i="36"/>
  <c r="P57" i="36"/>
  <c r="P56" i="36"/>
  <c r="P55" i="36"/>
  <c r="P54" i="36"/>
  <c r="P53" i="36"/>
  <c r="P52" i="36"/>
  <c r="P51" i="36"/>
  <c r="P50" i="36"/>
  <c r="P49" i="36"/>
  <c r="P47" i="36"/>
  <c r="P45" i="36"/>
  <c r="P44" i="36"/>
  <c r="P41" i="36"/>
  <c r="P43" i="36"/>
  <c r="P42" i="36"/>
  <c r="P40" i="36"/>
  <c r="P39" i="36"/>
  <c r="P38" i="36"/>
  <c r="P37" i="36"/>
  <c r="P36" i="36"/>
  <c r="P35" i="36"/>
  <c r="P34" i="36"/>
  <c r="P30" i="36"/>
  <c r="P29" i="36"/>
  <c r="P28" i="36"/>
  <c r="P27" i="36"/>
  <c r="P26" i="36"/>
  <c r="P25" i="36"/>
  <c r="P24" i="36"/>
  <c r="P23" i="36"/>
  <c r="P22" i="36"/>
  <c r="P21" i="36"/>
  <c r="P20" i="36"/>
  <c r="P19" i="36"/>
  <c r="P18" i="36"/>
  <c r="P17" i="36"/>
  <c r="P16" i="36"/>
  <c r="P15" i="36"/>
  <c r="P14" i="36"/>
  <c r="P13" i="36"/>
  <c r="P12" i="36"/>
  <c r="P11" i="36"/>
  <c r="P10" i="36"/>
  <c r="P9" i="36"/>
  <c r="P8" i="36"/>
  <c r="P7" i="36"/>
  <c r="P6" i="36"/>
  <c r="P5" i="36"/>
  <c r="P4" i="36"/>
  <c r="P3" i="36"/>
  <c r="P2" i="36"/>
  <c r="F77" i="36"/>
  <c r="F76" i="36"/>
  <c r="F75" i="36"/>
  <c r="F74" i="36"/>
  <c r="F73" i="36"/>
  <c r="F72" i="36"/>
  <c r="F71" i="36"/>
  <c r="F70" i="36"/>
  <c r="F69" i="36"/>
  <c r="F68" i="36"/>
  <c r="F67" i="36"/>
  <c r="F66" i="36"/>
  <c r="F65" i="36"/>
  <c r="F64" i="36"/>
  <c r="F63" i="36"/>
  <c r="F62" i="36"/>
  <c r="F61" i="36"/>
  <c r="F60" i="36"/>
  <c r="F59" i="36"/>
  <c r="F58" i="36"/>
  <c r="F57" i="36"/>
  <c r="F56" i="36"/>
  <c r="F55" i="36"/>
  <c r="F54" i="36"/>
  <c r="F52" i="36"/>
  <c r="F51" i="36"/>
  <c r="F50" i="36"/>
  <c r="F49" i="36"/>
  <c r="F48" i="36"/>
  <c r="F47" i="36"/>
  <c r="F46" i="36"/>
  <c r="F45" i="36"/>
  <c r="F44" i="36"/>
  <c r="F43" i="36"/>
  <c r="F42" i="36"/>
  <c r="F40" i="36"/>
  <c r="F39" i="36"/>
  <c r="F38" i="36"/>
  <c r="F37" i="36"/>
  <c r="F36" i="36"/>
  <c r="F35" i="36"/>
  <c r="F34" i="36"/>
  <c r="F30" i="36"/>
  <c r="F28" i="36"/>
  <c r="F27" i="36"/>
  <c r="F24" i="36"/>
  <c r="F23" i="36"/>
  <c r="F22" i="36"/>
  <c r="F21" i="36"/>
  <c r="F20" i="36"/>
  <c r="F19" i="36"/>
  <c r="F18" i="36"/>
  <c r="F17" i="36"/>
  <c r="F16" i="36"/>
  <c r="F15" i="36"/>
  <c r="F14" i="36"/>
  <c r="F13" i="36"/>
  <c r="F12" i="36"/>
  <c r="F11" i="36"/>
  <c r="F10" i="36"/>
  <c r="F9" i="36"/>
  <c r="F8" i="36"/>
  <c r="F7" i="36"/>
  <c r="F6" i="36"/>
  <c r="F5" i="36"/>
  <c r="F4" i="36"/>
  <c r="F3" i="36"/>
  <c r="F2" i="36"/>
  <c r="T203" i="35" l="1"/>
  <c r="W203" i="35" s="1"/>
  <c r="N203" i="35"/>
  <c r="AE203" i="35" s="1"/>
  <c r="W202" i="35"/>
  <c r="AF202" i="35"/>
  <c r="X28" i="36"/>
  <c r="AF203" i="35" l="1"/>
  <c r="N28" i="36"/>
  <c r="T28" i="36"/>
  <c r="T144" i="35" l="1"/>
  <c r="AF144" i="35" s="1"/>
  <c r="E132" i="35"/>
  <c r="F132" i="35"/>
  <c r="H132" i="35"/>
  <c r="T124" i="35"/>
  <c r="P124" i="35"/>
  <c r="N124" i="35"/>
  <c r="AE124" i="35" s="1"/>
  <c r="W124" i="35" l="1"/>
  <c r="AF124" i="35"/>
  <c r="H314" i="35"/>
  <c r="H312" i="35"/>
  <c r="H301" i="35"/>
  <c r="H304" i="35"/>
  <c r="H313" i="35"/>
  <c r="H309" i="35"/>
  <c r="H308" i="35"/>
  <c r="H307" i="35"/>
  <c r="H306" i="35"/>
  <c r="H302" i="35"/>
  <c r="H298" i="35"/>
  <c r="H305" i="35"/>
  <c r="H297" i="35"/>
  <c r="H300" i="35"/>
  <c r="H293" i="35"/>
  <c r="H299" i="35"/>
  <c r="H311" i="35"/>
  <c r="H294" i="35"/>
  <c r="H296" i="35"/>
  <c r="H295" i="35"/>
  <c r="H292" i="35"/>
  <c r="H291" i="35"/>
  <c r="H290" i="35"/>
  <c r="H310" i="35"/>
  <c r="H289" i="35"/>
  <c r="H284" i="35"/>
  <c r="H285" i="35"/>
  <c r="H288" i="35"/>
  <c r="H303" i="35"/>
  <c r="H286" i="35"/>
  <c r="H283" i="35"/>
  <c r="H281" i="35"/>
  <c r="H282" i="35"/>
  <c r="H280" i="35"/>
  <c r="H278" i="35"/>
  <c r="H277" i="35"/>
  <c r="H276" i="35"/>
  <c r="H274" i="35"/>
  <c r="H273" i="35"/>
  <c r="H271" i="35"/>
  <c r="H287" i="35"/>
  <c r="H270" i="35"/>
  <c r="H269" i="35"/>
  <c r="H268" i="35"/>
  <c r="H263" i="35"/>
  <c r="H264" i="35"/>
  <c r="H260" i="35"/>
  <c r="H261" i="35"/>
  <c r="H258" i="35"/>
  <c r="H256" i="35"/>
  <c r="H248" i="35"/>
  <c r="H253" i="35"/>
  <c r="H266" i="35"/>
  <c r="H252" i="35"/>
  <c r="H249" i="35"/>
  <c r="H250" i="35"/>
  <c r="H262" i="35"/>
  <c r="H246" i="35"/>
  <c r="H272" i="35"/>
  <c r="H245" i="35"/>
  <c r="H243" i="35"/>
  <c r="H241" i="35"/>
  <c r="H242" i="35"/>
  <c r="H238" i="35"/>
  <c r="H234" i="35"/>
  <c r="H239" i="35"/>
  <c r="H232" i="35"/>
  <c r="H233" i="35"/>
  <c r="H237" i="35"/>
  <c r="H255" i="35"/>
  <c r="H236" i="35"/>
  <c r="H229" i="35"/>
  <c r="H231" i="35"/>
  <c r="H226" i="35"/>
  <c r="H225" i="35"/>
  <c r="H224" i="35"/>
  <c r="H217" i="35"/>
  <c r="H220" i="35"/>
  <c r="H210" i="35"/>
  <c r="H235" i="35"/>
  <c r="H215" i="35"/>
  <c r="H214" i="35"/>
  <c r="H213" i="35"/>
  <c r="H212" i="35"/>
  <c r="H211" i="35"/>
  <c r="H216" i="35"/>
  <c r="H208" i="35"/>
  <c r="H206" i="35"/>
  <c r="H200" i="35"/>
  <c r="H201" i="35"/>
  <c r="H218" i="35"/>
  <c r="H199" i="35"/>
  <c r="H195" i="35"/>
  <c r="H196" i="35"/>
  <c r="H191" i="35"/>
  <c r="H193" i="35"/>
  <c r="H190" i="35"/>
  <c r="H187" i="35"/>
  <c r="H194" i="35"/>
  <c r="H182" i="35"/>
  <c r="H180" i="35"/>
  <c r="H186" i="35"/>
  <c r="H185" i="35"/>
  <c r="H219" i="35"/>
  <c r="H178" i="35"/>
  <c r="H209" i="35"/>
  <c r="H177" i="35"/>
  <c r="H175" i="35"/>
  <c r="H174" i="35"/>
  <c r="H173" i="35"/>
  <c r="H172" i="35"/>
  <c r="H171" i="35"/>
  <c r="H170" i="35"/>
  <c r="H167" i="35"/>
  <c r="H162" i="35"/>
  <c r="H198" i="35"/>
  <c r="H160" i="35"/>
  <c r="H158" i="35"/>
  <c r="H164" i="35"/>
  <c r="H159" i="35"/>
  <c r="H156" i="35"/>
  <c r="H155" i="35"/>
  <c r="H157" i="35"/>
  <c r="H169" i="35"/>
  <c r="H168" i="35"/>
  <c r="H150" i="35"/>
  <c r="H149" i="35"/>
  <c r="H145" i="35"/>
  <c r="H146" i="35"/>
  <c r="H142" i="35"/>
  <c r="H139" i="35"/>
  <c r="H144" i="35"/>
  <c r="H143" i="35"/>
  <c r="H137" i="35"/>
  <c r="H141" i="35"/>
  <c r="H136" i="35"/>
  <c r="H135" i="35"/>
  <c r="H134" i="35"/>
  <c r="H133" i="35"/>
  <c r="H131" i="35"/>
  <c r="H130" i="35"/>
  <c r="H128" i="35"/>
  <c r="H125" i="35"/>
  <c r="H124" i="35"/>
  <c r="H123" i="35"/>
  <c r="H122" i="35"/>
  <c r="H121" i="35"/>
  <c r="H120" i="35"/>
  <c r="H119" i="35"/>
  <c r="H118" i="35"/>
  <c r="H117" i="35"/>
  <c r="H116" i="35"/>
  <c r="H114" i="35"/>
  <c r="H113" i="35"/>
  <c r="H112" i="35"/>
  <c r="H111" i="35"/>
  <c r="H109" i="35"/>
  <c r="H107" i="35"/>
  <c r="H106" i="35"/>
  <c r="H105" i="35"/>
  <c r="H104" i="35"/>
  <c r="H103" i="35"/>
  <c r="H102" i="35"/>
  <c r="H101" i="35"/>
  <c r="H100" i="35"/>
  <c r="H99" i="35"/>
  <c r="H98" i="35"/>
  <c r="H97" i="35"/>
  <c r="H96" i="35"/>
  <c r="H95" i="35"/>
  <c r="H94" i="35"/>
  <c r="H93" i="35"/>
  <c r="H92" i="35"/>
  <c r="H91" i="35"/>
  <c r="H90" i="35"/>
  <c r="H89" i="35"/>
  <c r="H88" i="35"/>
  <c r="H87" i="35"/>
  <c r="H86" i="35"/>
  <c r="H85" i="35"/>
  <c r="H84" i="35"/>
  <c r="H83" i="35"/>
  <c r="H82" i="35"/>
  <c r="H81" i="35"/>
  <c r="H80" i="35"/>
  <c r="H79" i="35"/>
  <c r="H78" i="35"/>
  <c r="H77" i="35"/>
  <c r="H76" i="35"/>
  <c r="H75" i="35"/>
  <c r="H74" i="35"/>
  <c r="H73" i="35"/>
  <c r="H72" i="35"/>
  <c r="H71" i="35"/>
  <c r="H70" i="35"/>
  <c r="H69" i="35"/>
  <c r="H68" i="35"/>
  <c r="H67" i="35"/>
  <c r="H66" i="35"/>
  <c r="H65" i="35"/>
  <c r="H64" i="35"/>
  <c r="H63" i="35"/>
  <c r="H62" i="35"/>
  <c r="H61" i="35"/>
  <c r="H60" i="35"/>
  <c r="H59" i="35"/>
  <c r="H58" i="35"/>
  <c r="H57" i="35"/>
  <c r="H56" i="35"/>
  <c r="H55" i="35"/>
  <c r="H54" i="35"/>
  <c r="H53" i="35"/>
  <c r="H52" i="35"/>
  <c r="H51" i="35"/>
  <c r="H50" i="35"/>
  <c r="H49" i="35"/>
  <c r="H48" i="35"/>
  <c r="H47" i="35"/>
  <c r="H46" i="35"/>
  <c r="H45" i="35"/>
  <c r="H44" i="35"/>
  <c r="H43" i="35"/>
  <c r="H42" i="35"/>
  <c r="H41" i="35"/>
  <c r="H40" i="35"/>
  <c r="H39" i="35"/>
  <c r="H38" i="35"/>
  <c r="H37" i="35"/>
  <c r="H36" i="35"/>
  <c r="H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H7" i="35"/>
  <c r="H6" i="35"/>
  <c r="H5" i="35"/>
  <c r="H4" i="35"/>
  <c r="H3" i="35"/>
  <c r="H2" i="35"/>
  <c r="F314" i="35"/>
  <c r="F312" i="35"/>
  <c r="F301" i="35"/>
  <c r="F304" i="35"/>
  <c r="F313" i="35"/>
  <c r="F309" i="35"/>
  <c r="F308" i="35"/>
  <c r="F307" i="35"/>
  <c r="F306" i="35"/>
  <c r="F302" i="35"/>
  <c r="F298" i="35"/>
  <c r="F305" i="35"/>
  <c r="F297" i="35"/>
  <c r="F300" i="35"/>
  <c r="F293" i="35"/>
  <c r="F299" i="35"/>
  <c r="F311" i="35"/>
  <c r="F294" i="35"/>
  <c r="F296" i="35"/>
  <c r="F295" i="35"/>
  <c r="F292" i="35"/>
  <c r="F291" i="35"/>
  <c r="F290" i="35"/>
  <c r="F310" i="35"/>
  <c r="F289" i="35"/>
  <c r="F284" i="35"/>
  <c r="F285" i="35"/>
  <c r="F288" i="35"/>
  <c r="F303" i="35"/>
  <c r="F286" i="35"/>
  <c r="F283" i="35"/>
  <c r="F281" i="35"/>
  <c r="F282" i="35"/>
  <c r="F280" i="35"/>
  <c r="F278" i="35"/>
  <c r="F277" i="35"/>
  <c r="F276" i="35"/>
  <c r="F274" i="35"/>
  <c r="F273" i="35"/>
  <c r="F271" i="35"/>
  <c r="F287" i="35"/>
  <c r="F270" i="35"/>
  <c r="F269" i="35"/>
  <c r="F268" i="35"/>
  <c r="F263" i="35"/>
  <c r="F264" i="35"/>
  <c r="F260" i="35"/>
  <c r="F261" i="35"/>
  <c r="F258" i="35"/>
  <c r="F256" i="35"/>
  <c r="F248" i="35"/>
  <c r="F253" i="35"/>
  <c r="F266" i="35"/>
  <c r="F252" i="35"/>
  <c r="F249" i="35"/>
  <c r="F250" i="35"/>
  <c r="F262" i="35"/>
  <c r="F246" i="35"/>
  <c r="F272" i="35"/>
  <c r="F245" i="35"/>
  <c r="F243" i="35"/>
  <c r="F241" i="35"/>
  <c r="F242" i="35"/>
  <c r="F238" i="35"/>
  <c r="F234" i="35"/>
  <c r="F239" i="35"/>
  <c r="F232" i="35"/>
  <c r="F233" i="35"/>
  <c r="F237" i="35"/>
  <c r="F255" i="35"/>
  <c r="F236" i="35"/>
  <c r="F229" i="35"/>
  <c r="F231" i="35"/>
  <c r="F226" i="35"/>
  <c r="F225" i="35"/>
  <c r="F224" i="35"/>
  <c r="F217" i="35"/>
  <c r="F220" i="35"/>
  <c r="F210" i="35"/>
  <c r="F235" i="35"/>
  <c r="F215" i="35"/>
  <c r="F214" i="35"/>
  <c r="F213" i="35"/>
  <c r="F212" i="35"/>
  <c r="F211" i="35"/>
  <c r="F216" i="35"/>
  <c r="F208" i="35"/>
  <c r="F206" i="35"/>
  <c r="F200" i="35"/>
  <c r="F201" i="35"/>
  <c r="F218" i="35"/>
  <c r="F199" i="35"/>
  <c r="F195" i="35"/>
  <c r="F196" i="35"/>
  <c r="F191" i="35"/>
  <c r="F193" i="35"/>
  <c r="F190" i="35"/>
  <c r="F187" i="35"/>
  <c r="F194" i="35"/>
  <c r="F182" i="35"/>
  <c r="F180" i="35"/>
  <c r="F186" i="35"/>
  <c r="F185" i="35"/>
  <c r="F219" i="35"/>
  <c r="F178" i="35"/>
  <c r="F209" i="35"/>
  <c r="F177" i="35"/>
  <c r="F175" i="35"/>
  <c r="F174" i="35"/>
  <c r="F173" i="35"/>
  <c r="F172" i="35"/>
  <c r="F171" i="35"/>
  <c r="F170" i="35"/>
  <c r="F167" i="35"/>
  <c r="F162" i="35"/>
  <c r="F198" i="35"/>
  <c r="F160" i="35"/>
  <c r="F158" i="35"/>
  <c r="F164" i="35"/>
  <c r="F159" i="35"/>
  <c r="F156" i="35"/>
  <c r="F155" i="35"/>
  <c r="F154" i="35"/>
  <c r="F157" i="35"/>
  <c r="F169" i="35"/>
  <c r="F168" i="35"/>
  <c r="F150" i="35"/>
  <c r="F149" i="35"/>
  <c r="F145" i="35"/>
  <c r="F146" i="35"/>
  <c r="F142" i="35"/>
  <c r="F139" i="35"/>
  <c r="F144" i="35"/>
  <c r="F143" i="35"/>
  <c r="F137" i="35"/>
  <c r="F141" i="35"/>
  <c r="F136" i="35"/>
  <c r="F135" i="35"/>
  <c r="F134" i="35"/>
  <c r="F133" i="35"/>
  <c r="F131" i="35"/>
  <c r="F130" i="35"/>
  <c r="F128" i="35"/>
  <c r="F125" i="35"/>
  <c r="F124" i="35"/>
  <c r="F123" i="35"/>
  <c r="F122" i="35"/>
  <c r="F121" i="35"/>
  <c r="F120" i="35"/>
  <c r="F119" i="35"/>
  <c r="F118" i="35"/>
  <c r="F117" i="35"/>
  <c r="F116" i="35"/>
  <c r="F114" i="35"/>
  <c r="F113" i="35"/>
  <c r="F112" i="35"/>
  <c r="F111" i="35"/>
  <c r="F109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86" i="35"/>
  <c r="F85" i="35"/>
  <c r="F84" i="35"/>
  <c r="F83" i="35"/>
  <c r="F82" i="35"/>
  <c r="F81" i="35"/>
  <c r="F80" i="35"/>
  <c r="F79" i="35"/>
  <c r="F78" i="35"/>
  <c r="F77" i="35"/>
  <c r="F76" i="35"/>
  <c r="F75" i="35"/>
  <c r="F74" i="35"/>
  <c r="F73" i="35"/>
  <c r="F72" i="35"/>
  <c r="F71" i="35"/>
  <c r="F70" i="35"/>
  <c r="F69" i="35"/>
  <c r="F68" i="35"/>
  <c r="F67" i="35"/>
  <c r="F66" i="35"/>
  <c r="F65" i="35"/>
  <c r="F64" i="35"/>
  <c r="F63" i="35"/>
  <c r="F62" i="35"/>
  <c r="F61" i="35"/>
  <c r="F60" i="35"/>
  <c r="F59" i="35"/>
  <c r="F58" i="35"/>
  <c r="F57" i="35"/>
  <c r="F56" i="35"/>
  <c r="F55" i="35"/>
  <c r="F54" i="35"/>
  <c r="F53" i="35"/>
  <c r="F52" i="35"/>
  <c r="F51" i="35"/>
  <c r="F50" i="35"/>
  <c r="F49" i="35"/>
  <c r="F48" i="35"/>
  <c r="F47" i="35"/>
  <c r="F46" i="35"/>
  <c r="F45" i="35"/>
  <c r="F44" i="35"/>
  <c r="F43" i="35"/>
  <c r="F42" i="35"/>
  <c r="F41" i="35"/>
  <c r="F40" i="35"/>
  <c r="F39" i="35"/>
  <c r="F38" i="35"/>
  <c r="F37" i="35"/>
  <c r="F36" i="35"/>
  <c r="F35" i="35"/>
  <c r="F34" i="35"/>
  <c r="F33" i="35"/>
  <c r="F32" i="35"/>
  <c r="F31" i="35"/>
  <c r="F30" i="35"/>
  <c r="F29" i="35"/>
  <c r="F28" i="35"/>
  <c r="F27" i="35"/>
  <c r="F26" i="35"/>
  <c r="F25" i="35"/>
  <c r="F24" i="35"/>
  <c r="F23" i="35"/>
  <c r="F22" i="35"/>
  <c r="F21" i="35"/>
  <c r="F20" i="35"/>
  <c r="F19" i="35"/>
  <c r="F18" i="35"/>
  <c r="F17" i="35"/>
  <c r="F16" i="35"/>
  <c r="F15" i="35"/>
  <c r="F14" i="35"/>
  <c r="F13" i="35"/>
  <c r="F12" i="35"/>
  <c r="F11" i="35"/>
  <c r="F10" i="35"/>
  <c r="F9" i="35"/>
  <c r="F8" i="35"/>
  <c r="F7" i="35"/>
  <c r="F6" i="35"/>
  <c r="F5" i="35"/>
  <c r="F4" i="35"/>
  <c r="F3" i="35"/>
  <c r="F2" i="35"/>
  <c r="E130" i="35" l="1"/>
  <c r="P120" i="35"/>
  <c r="R120" i="35"/>
  <c r="T120" i="35"/>
  <c r="AF120" i="35" s="1"/>
  <c r="E120" i="35"/>
  <c r="N120" i="35"/>
  <c r="AE120" i="35" s="1"/>
  <c r="S116" i="35"/>
  <c r="S117" i="35"/>
  <c r="S118" i="35"/>
  <c r="P314" i="35"/>
  <c r="P312" i="35"/>
  <c r="P301" i="35"/>
  <c r="P304" i="35"/>
  <c r="P313" i="35"/>
  <c r="P309" i="35"/>
  <c r="P308" i="35"/>
  <c r="P307" i="35"/>
  <c r="P306" i="35"/>
  <c r="P302" i="35"/>
  <c r="P298" i="35"/>
  <c r="P305" i="35"/>
  <c r="P297" i="35"/>
  <c r="P300" i="35"/>
  <c r="P293" i="35"/>
  <c r="P299" i="35"/>
  <c r="P311" i="35"/>
  <c r="P294" i="35"/>
  <c r="P296" i="35"/>
  <c r="P295" i="35"/>
  <c r="P292" i="35"/>
  <c r="P291" i="35"/>
  <c r="P290" i="35"/>
  <c r="P310" i="35"/>
  <c r="P289" i="35"/>
  <c r="P284" i="35"/>
  <c r="P285" i="35"/>
  <c r="P288" i="35"/>
  <c r="P303" i="35"/>
  <c r="P286" i="35"/>
  <c r="P283" i="35"/>
  <c r="P281" i="35"/>
  <c r="P282" i="35"/>
  <c r="P280" i="35"/>
  <c r="P277" i="35"/>
  <c r="P276" i="35"/>
  <c r="P274" i="35"/>
  <c r="P273" i="35"/>
  <c r="P271" i="35"/>
  <c r="P287" i="35"/>
  <c r="P270" i="35"/>
  <c r="P269" i="35"/>
  <c r="P268" i="35"/>
  <c r="P263" i="35"/>
  <c r="P264" i="35"/>
  <c r="P260" i="35"/>
  <c r="P261" i="35"/>
  <c r="P258" i="35"/>
  <c r="P256" i="35"/>
  <c r="P248" i="35"/>
  <c r="P253" i="35"/>
  <c r="P266" i="35"/>
  <c r="P252" i="35"/>
  <c r="P249" i="35"/>
  <c r="P250" i="35"/>
  <c r="P262" i="35"/>
  <c r="P246" i="35"/>
  <c r="P272" i="35"/>
  <c r="P243" i="35"/>
  <c r="P241" i="35"/>
  <c r="P242" i="35"/>
  <c r="P238" i="35"/>
  <c r="P234" i="35"/>
  <c r="P239" i="35"/>
  <c r="P232" i="35"/>
  <c r="P233" i="35"/>
  <c r="P237" i="35"/>
  <c r="P255" i="35"/>
  <c r="P236" i="35"/>
  <c r="P229" i="35"/>
  <c r="P231" i="35"/>
  <c r="P217" i="35"/>
  <c r="P220" i="35"/>
  <c r="P210" i="35"/>
  <c r="P235" i="35"/>
  <c r="P215" i="35"/>
  <c r="P214" i="35"/>
  <c r="P213" i="35"/>
  <c r="P212" i="35"/>
  <c r="P211" i="35"/>
  <c r="P216" i="35"/>
  <c r="P208" i="35"/>
  <c r="P206" i="35"/>
  <c r="P200" i="35"/>
  <c r="P201" i="35"/>
  <c r="P218" i="35"/>
  <c r="P199" i="35"/>
  <c r="P195" i="35"/>
  <c r="P196" i="35"/>
  <c r="P191" i="35"/>
  <c r="P193" i="35"/>
  <c r="P190" i="35"/>
  <c r="P187" i="35"/>
  <c r="P194" i="35"/>
  <c r="P182" i="35"/>
  <c r="P180" i="35"/>
  <c r="P186" i="35"/>
  <c r="P185" i="35"/>
  <c r="P219" i="35"/>
  <c r="P209" i="35"/>
  <c r="P177" i="35"/>
  <c r="P198" i="35"/>
  <c r="P142" i="35"/>
  <c r="P141" i="35"/>
  <c r="P135" i="35"/>
  <c r="P134" i="35"/>
  <c r="P133" i="35"/>
  <c r="P131" i="35"/>
  <c r="P128" i="35"/>
  <c r="P123" i="35"/>
  <c r="P122" i="35"/>
  <c r="P121" i="35"/>
  <c r="P119" i="35"/>
  <c r="P118" i="35"/>
  <c r="P117" i="35"/>
  <c r="P116" i="35"/>
  <c r="P113" i="35"/>
  <c r="P111" i="35"/>
  <c r="P109" i="35"/>
  <c r="P105" i="35"/>
  <c r="P106" i="35"/>
  <c r="P104" i="35"/>
  <c r="P103" i="35"/>
  <c r="P102" i="35"/>
  <c r="P101" i="35"/>
  <c r="P99" i="35"/>
  <c r="P98" i="35"/>
  <c r="P97" i="35"/>
  <c r="P96" i="35"/>
  <c r="P95" i="35"/>
  <c r="P94" i="35"/>
  <c r="P93" i="35"/>
  <c r="P92" i="35"/>
  <c r="P91" i="35"/>
  <c r="P90" i="35"/>
  <c r="P89" i="35"/>
  <c r="P88" i="35"/>
  <c r="P87" i="35"/>
  <c r="P86" i="35"/>
  <c r="P85" i="35"/>
  <c r="P84" i="35"/>
  <c r="P83" i="35"/>
  <c r="P82" i="35"/>
  <c r="P81" i="35"/>
  <c r="P80" i="35"/>
  <c r="P79" i="35"/>
  <c r="P78" i="35"/>
  <c r="P77" i="35"/>
  <c r="P76" i="35"/>
  <c r="P75" i="35"/>
  <c r="P74" i="35"/>
  <c r="P73" i="35"/>
  <c r="P72" i="35"/>
  <c r="P71" i="35"/>
  <c r="P70" i="35"/>
  <c r="P69" i="35"/>
  <c r="P68" i="35"/>
  <c r="P67" i="35"/>
  <c r="P66" i="35"/>
  <c r="P65" i="35"/>
  <c r="P64" i="35"/>
  <c r="P63" i="35"/>
  <c r="P62" i="35"/>
  <c r="P61" i="35"/>
  <c r="P60" i="35"/>
  <c r="P59" i="35"/>
  <c r="P58" i="35"/>
  <c r="P57" i="35"/>
  <c r="P56" i="35"/>
  <c r="P55" i="35"/>
  <c r="P54" i="35"/>
  <c r="P53" i="35"/>
  <c r="P52" i="35"/>
  <c r="P51" i="35"/>
  <c r="P50" i="35"/>
  <c r="P49" i="35"/>
  <c r="P48" i="35"/>
  <c r="P47" i="35"/>
  <c r="P46" i="35"/>
  <c r="P45" i="35"/>
  <c r="P44" i="35"/>
  <c r="P43" i="35"/>
  <c r="P42" i="35"/>
  <c r="P41" i="35"/>
  <c r="P40" i="35"/>
  <c r="P39" i="35"/>
  <c r="P38" i="35"/>
  <c r="P37" i="35"/>
  <c r="P36" i="35"/>
  <c r="P35" i="35"/>
  <c r="P34" i="35"/>
  <c r="P33" i="35"/>
  <c r="P32" i="35"/>
  <c r="P31" i="35"/>
  <c r="P30" i="35"/>
  <c r="P29" i="35"/>
  <c r="P28" i="35"/>
  <c r="P27" i="35"/>
  <c r="P26" i="35"/>
  <c r="P25" i="35"/>
  <c r="P24" i="35"/>
  <c r="P23" i="35"/>
  <c r="P22" i="35"/>
  <c r="P21" i="35"/>
  <c r="P20" i="35"/>
  <c r="P19" i="35"/>
  <c r="P18" i="35"/>
  <c r="P17" i="35"/>
  <c r="P16" i="35"/>
  <c r="P15" i="35"/>
  <c r="P14" i="35"/>
  <c r="P13" i="35"/>
  <c r="P12" i="35"/>
  <c r="P11" i="35"/>
  <c r="P10" i="35"/>
  <c r="P9" i="35"/>
  <c r="P8" i="35"/>
  <c r="P7" i="35"/>
  <c r="P6" i="35"/>
  <c r="P5" i="35"/>
  <c r="P4" i="35"/>
  <c r="P3" i="35"/>
  <c r="P2" i="35"/>
  <c r="R314" i="35"/>
  <c r="R312" i="35"/>
  <c r="R301" i="35"/>
  <c r="R304" i="35"/>
  <c r="R313" i="35"/>
  <c r="R309" i="35"/>
  <c r="R308" i="35"/>
  <c r="R307" i="35"/>
  <c r="R306" i="35"/>
  <c r="R302" i="35"/>
  <c r="R298" i="35"/>
  <c r="R305" i="35"/>
  <c r="R297" i="35"/>
  <c r="R300" i="35"/>
  <c r="R293" i="35"/>
  <c r="R299" i="35"/>
  <c r="R311" i="35"/>
  <c r="R294" i="35"/>
  <c r="R296" i="35"/>
  <c r="R295" i="35"/>
  <c r="R292" i="35"/>
  <c r="R291" i="35"/>
  <c r="R290" i="35"/>
  <c r="R310" i="35"/>
  <c r="R289" i="35"/>
  <c r="R284" i="35"/>
  <c r="R285" i="35"/>
  <c r="R288" i="35"/>
  <c r="R303" i="35"/>
  <c r="R286" i="35"/>
  <c r="R283" i="35"/>
  <c r="R281" i="35"/>
  <c r="R282" i="35"/>
  <c r="R280" i="35"/>
  <c r="R277" i="35"/>
  <c r="R276" i="35"/>
  <c r="R274" i="35"/>
  <c r="R273" i="35"/>
  <c r="R271" i="35"/>
  <c r="R287" i="35"/>
  <c r="R270" i="35"/>
  <c r="R269" i="35"/>
  <c r="R268" i="35"/>
  <c r="R263" i="35"/>
  <c r="R264" i="35"/>
  <c r="R260" i="35"/>
  <c r="R261" i="35"/>
  <c r="R258" i="35"/>
  <c r="R256" i="35"/>
  <c r="R248" i="35"/>
  <c r="R266" i="35"/>
  <c r="R252" i="35"/>
  <c r="R249" i="35"/>
  <c r="R250" i="35"/>
  <c r="R262" i="35"/>
  <c r="R246" i="35"/>
  <c r="R272" i="35"/>
  <c r="R243" i="35"/>
  <c r="R241" i="35"/>
  <c r="R242" i="35"/>
  <c r="R238" i="35"/>
  <c r="R234" i="35"/>
  <c r="R239" i="35"/>
  <c r="R232" i="35"/>
  <c r="R233" i="35"/>
  <c r="R237" i="35"/>
  <c r="R255" i="35"/>
  <c r="R236" i="35"/>
  <c r="R229" i="35"/>
  <c r="R231" i="35"/>
  <c r="R226" i="35"/>
  <c r="R217" i="35"/>
  <c r="R220" i="35"/>
  <c r="R210" i="35"/>
  <c r="R235" i="35"/>
  <c r="R215" i="35"/>
  <c r="R214" i="35"/>
  <c r="R213" i="35"/>
  <c r="R212" i="35"/>
  <c r="R211" i="35"/>
  <c r="R216" i="35"/>
  <c r="R208" i="35"/>
  <c r="R206" i="35"/>
  <c r="R200" i="35"/>
  <c r="R201" i="35"/>
  <c r="R218" i="35"/>
  <c r="R199" i="35"/>
  <c r="R195" i="35"/>
  <c r="R196" i="35"/>
  <c r="R191" i="35"/>
  <c r="R193" i="35"/>
  <c r="R190" i="35"/>
  <c r="R187" i="35"/>
  <c r="R194" i="35"/>
  <c r="R182" i="35"/>
  <c r="R180" i="35"/>
  <c r="R186" i="35"/>
  <c r="R185" i="35"/>
  <c r="R219" i="35"/>
  <c r="R209" i="35"/>
  <c r="R177" i="35"/>
  <c r="R173" i="35"/>
  <c r="R172" i="35"/>
  <c r="R167" i="35"/>
  <c r="R198" i="35"/>
  <c r="R157" i="35"/>
  <c r="R169" i="35"/>
  <c r="R168" i="35"/>
  <c r="R146" i="35"/>
  <c r="R139" i="35"/>
  <c r="R141" i="35"/>
  <c r="R135" i="35"/>
  <c r="R134" i="35"/>
  <c r="R133" i="35"/>
  <c r="R131" i="35"/>
  <c r="R128" i="35"/>
  <c r="R122" i="35"/>
  <c r="R121" i="35"/>
  <c r="R119" i="35"/>
  <c r="R118" i="35"/>
  <c r="R117" i="35"/>
  <c r="R116" i="35"/>
  <c r="R113" i="35"/>
  <c r="R111" i="35"/>
  <c r="R109" i="35"/>
  <c r="R105" i="35"/>
  <c r="R106" i="35"/>
  <c r="R104" i="35"/>
  <c r="R103" i="35"/>
  <c r="R102" i="35"/>
  <c r="R101" i="35"/>
  <c r="R100" i="35"/>
  <c r="R99" i="35"/>
  <c r="R98" i="35"/>
  <c r="R97" i="35"/>
  <c r="R96" i="35"/>
  <c r="R95" i="35"/>
  <c r="R94" i="35"/>
  <c r="R93" i="35"/>
  <c r="R92" i="35"/>
  <c r="R91" i="35"/>
  <c r="R90" i="35"/>
  <c r="R89" i="35"/>
  <c r="R88" i="35"/>
  <c r="R87" i="35"/>
  <c r="R86" i="35"/>
  <c r="R85" i="35"/>
  <c r="R84" i="35"/>
  <c r="R83" i="35"/>
  <c r="R82" i="35"/>
  <c r="R81" i="35"/>
  <c r="R80" i="35"/>
  <c r="R79" i="35"/>
  <c r="R78" i="35"/>
  <c r="R77" i="35"/>
  <c r="R76" i="35"/>
  <c r="R75" i="35"/>
  <c r="R74" i="35"/>
  <c r="R73" i="35"/>
  <c r="R72" i="35"/>
  <c r="R71" i="35"/>
  <c r="R70" i="35"/>
  <c r="R69" i="35"/>
  <c r="R68" i="35"/>
  <c r="R67" i="35"/>
  <c r="R66" i="35"/>
  <c r="R65" i="35"/>
  <c r="R64" i="35"/>
  <c r="R63" i="35"/>
  <c r="R62" i="35"/>
  <c r="R61" i="35"/>
  <c r="R60" i="35"/>
  <c r="R59" i="35"/>
  <c r="R58" i="35"/>
  <c r="R57" i="35"/>
  <c r="R56" i="35"/>
  <c r="R55" i="35"/>
  <c r="R54" i="35"/>
  <c r="R53" i="35"/>
  <c r="R52" i="35"/>
  <c r="R51" i="35"/>
  <c r="R50" i="35"/>
  <c r="R49" i="35"/>
  <c r="R48" i="35"/>
  <c r="R47" i="35"/>
  <c r="R46" i="35"/>
  <c r="R45" i="35"/>
  <c r="R44" i="35"/>
  <c r="R43" i="35"/>
  <c r="R42" i="35"/>
  <c r="R41" i="35"/>
  <c r="R40" i="35"/>
  <c r="R39" i="35"/>
  <c r="R38" i="35"/>
  <c r="R37" i="35"/>
  <c r="R36" i="35"/>
  <c r="R35" i="35"/>
  <c r="R34" i="35"/>
  <c r="R33" i="35"/>
  <c r="R32" i="35"/>
  <c r="R31" i="35"/>
  <c r="R30" i="35"/>
  <c r="R29" i="35"/>
  <c r="R28" i="35"/>
  <c r="R27" i="35"/>
  <c r="R26" i="35"/>
  <c r="R25" i="35"/>
  <c r="R24" i="35"/>
  <c r="R23" i="35"/>
  <c r="R22" i="35"/>
  <c r="R21" i="35"/>
  <c r="R20" i="35"/>
  <c r="R19" i="35"/>
  <c r="R18" i="35"/>
  <c r="R17" i="35"/>
  <c r="R16" i="35"/>
  <c r="R15" i="35"/>
  <c r="R14" i="35"/>
  <c r="R13" i="35"/>
  <c r="R12" i="35"/>
  <c r="R11" i="35"/>
  <c r="R10" i="35"/>
  <c r="R9" i="35"/>
  <c r="R8" i="35"/>
  <c r="R7" i="35"/>
  <c r="R6" i="35"/>
  <c r="R5" i="35"/>
  <c r="R4" i="35"/>
  <c r="R3" i="35"/>
  <c r="R2" i="35"/>
  <c r="S17" i="37"/>
  <c r="S16" i="37"/>
  <c r="S15" i="37"/>
  <c r="S14" i="37"/>
  <c r="S13" i="37"/>
  <c r="S12" i="37"/>
  <c r="S11" i="37"/>
  <c r="S10" i="37"/>
  <c r="S9" i="37"/>
  <c r="S8" i="37"/>
  <c r="S7" i="37"/>
  <c r="S6" i="37"/>
  <c r="S5" i="37"/>
  <c r="S4" i="37"/>
  <c r="T3" i="37"/>
  <c r="S3" i="37"/>
  <c r="N3" i="37"/>
  <c r="B7" i="37" s="1"/>
  <c r="T2" i="37"/>
  <c r="E2" i="37" s="1"/>
  <c r="S2" i="37"/>
  <c r="N2" i="37"/>
  <c r="B6" i="37" s="1"/>
  <c r="S83" i="36"/>
  <c r="S82" i="36"/>
  <c r="X77" i="36"/>
  <c r="X76" i="36"/>
  <c r="C76" i="36"/>
  <c r="X75" i="36"/>
  <c r="X74" i="36"/>
  <c r="X73" i="36"/>
  <c r="X72" i="36"/>
  <c r="X71" i="36"/>
  <c r="X70" i="36"/>
  <c r="X69" i="36"/>
  <c r="X68" i="36"/>
  <c r="X67" i="36"/>
  <c r="X66" i="36"/>
  <c r="T66" i="36"/>
  <c r="W66" i="36" s="1"/>
  <c r="X65" i="36"/>
  <c r="X64" i="36"/>
  <c r="X63" i="36"/>
  <c r="X62" i="36"/>
  <c r="T62" i="36"/>
  <c r="W62" i="36" s="1"/>
  <c r="X61" i="36"/>
  <c r="X60" i="36"/>
  <c r="X59" i="36"/>
  <c r="X58" i="36"/>
  <c r="T58" i="36"/>
  <c r="W58" i="36" s="1"/>
  <c r="X57" i="36"/>
  <c r="X56" i="36"/>
  <c r="X55" i="36"/>
  <c r="X54" i="36"/>
  <c r="X53" i="36"/>
  <c r="T53" i="36"/>
  <c r="N53" i="36"/>
  <c r="X52" i="36"/>
  <c r="X51" i="36"/>
  <c r="X50" i="36"/>
  <c r="X49" i="36"/>
  <c r="X48" i="36"/>
  <c r="X47" i="36"/>
  <c r="X46" i="36"/>
  <c r="X45" i="36"/>
  <c r="X44" i="36"/>
  <c r="X41" i="36"/>
  <c r="X43" i="36"/>
  <c r="X42" i="36"/>
  <c r="X40" i="36"/>
  <c r="X39" i="36"/>
  <c r="X37" i="36"/>
  <c r="T37" i="36"/>
  <c r="N37" i="36"/>
  <c r="E37" i="36"/>
  <c r="X38" i="36"/>
  <c r="T38" i="36"/>
  <c r="N38" i="36"/>
  <c r="E38" i="36"/>
  <c r="X36" i="36"/>
  <c r="X35" i="36"/>
  <c r="X34" i="36"/>
  <c r="X33" i="36"/>
  <c r="T33" i="36"/>
  <c r="N33" i="36"/>
  <c r="X31" i="36"/>
  <c r="T31" i="36"/>
  <c r="N31" i="36"/>
  <c r="X30" i="36"/>
  <c r="X29" i="36"/>
  <c r="T29" i="36"/>
  <c r="N29" i="36"/>
  <c r="X27" i="36"/>
  <c r="X26" i="36"/>
  <c r="T26" i="36"/>
  <c r="N26" i="36"/>
  <c r="X25" i="36"/>
  <c r="T25" i="36"/>
  <c r="N25" i="36"/>
  <c r="X24" i="36"/>
  <c r="T24" i="36"/>
  <c r="N24" i="36"/>
  <c r="X23" i="36"/>
  <c r="T23" i="36"/>
  <c r="N23" i="36"/>
  <c r="X22" i="36"/>
  <c r="X21" i="36"/>
  <c r="X20" i="36"/>
  <c r="T20" i="36"/>
  <c r="N20" i="36"/>
  <c r="X19" i="36"/>
  <c r="T19" i="36"/>
  <c r="N19" i="36"/>
  <c r="B37" i="36" s="1"/>
  <c r="X18" i="36"/>
  <c r="T18" i="36"/>
  <c r="N18" i="36"/>
  <c r="X17" i="36"/>
  <c r="T17" i="36"/>
  <c r="N17" i="36"/>
  <c r="X16" i="36"/>
  <c r="T16" i="36"/>
  <c r="N16" i="36"/>
  <c r="B34" i="36" s="1"/>
  <c r="N34" i="36" s="1"/>
  <c r="X15" i="36"/>
  <c r="T15" i="36"/>
  <c r="N15" i="36"/>
  <c r="X14" i="36"/>
  <c r="T14" i="36"/>
  <c r="N14" i="36"/>
  <c r="X13" i="36"/>
  <c r="T13" i="36"/>
  <c r="N13" i="36"/>
  <c r="B30" i="36" s="1"/>
  <c r="X12" i="36"/>
  <c r="T12" i="36"/>
  <c r="N12" i="36"/>
  <c r="X11" i="36"/>
  <c r="T11" i="36"/>
  <c r="N11" i="36"/>
  <c r="B23" i="36" s="1"/>
  <c r="E11" i="36"/>
  <c r="X10" i="36"/>
  <c r="T10" i="36"/>
  <c r="N10" i="36"/>
  <c r="E10" i="36"/>
  <c r="X9" i="36"/>
  <c r="T9" i="36"/>
  <c r="N9" i="36"/>
  <c r="B22" i="36" s="1"/>
  <c r="E22" i="36" s="1"/>
  <c r="E9" i="36"/>
  <c r="X8" i="36"/>
  <c r="T8" i="36"/>
  <c r="N8" i="36"/>
  <c r="E8" i="36"/>
  <c r="X7" i="36"/>
  <c r="T7" i="36"/>
  <c r="N7" i="36"/>
  <c r="B20" i="36" s="1"/>
  <c r="E7" i="36"/>
  <c r="X6" i="36"/>
  <c r="T6" i="36"/>
  <c r="N6" i="36"/>
  <c r="E6" i="36"/>
  <c r="X5" i="36"/>
  <c r="T5" i="36"/>
  <c r="N5" i="36"/>
  <c r="E5" i="36"/>
  <c r="X4" i="36"/>
  <c r="T4" i="36"/>
  <c r="N4" i="36"/>
  <c r="E4" i="36"/>
  <c r="X3" i="36"/>
  <c r="T3" i="36"/>
  <c r="N3" i="36"/>
  <c r="E3" i="36"/>
  <c r="X2" i="36"/>
  <c r="T2" i="36"/>
  <c r="N2" i="36"/>
  <c r="B13" i="36" s="1"/>
  <c r="E2" i="36"/>
  <c r="S226" i="35"/>
  <c r="S210" i="35"/>
  <c r="Y111" i="35" s="1"/>
  <c r="S235" i="35"/>
  <c r="S215" i="35"/>
  <c r="Y104" i="35" s="1"/>
  <c r="S214" i="35"/>
  <c r="S213" i="35"/>
  <c r="S212" i="35"/>
  <c r="Y110" i="35" s="1"/>
  <c r="S211" i="35"/>
  <c r="Y105" i="35" s="1"/>
  <c r="S216" i="35"/>
  <c r="Y112" i="35" s="1"/>
  <c r="S208" i="35"/>
  <c r="Y97" i="35"/>
  <c r="S200" i="35"/>
  <c r="Y87" i="35"/>
  <c r="AD218" i="35"/>
  <c r="S199" i="35"/>
  <c r="S195" i="35"/>
  <c r="Y88" i="35"/>
  <c r="S193" i="35"/>
  <c r="S190" i="35"/>
  <c r="S194" i="35"/>
  <c r="S182" i="35"/>
  <c r="S186" i="35"/>
  <c r="S185" i="35"/>
  <c r="S209" i="35"/>
  <c r="AD209" i="35"/>
  <c r="S177" i="35"/>
  <c r="S172" i="35"/>
  <c r="S198" i="35"/>
  <c r="S158" i="35"/>
  <c r="T137" i="35"/>
  <c r="AF137" i="35" s="1"/>
  <c r="N137" i="35"/>
  <c r="E137" i="35"/>
  <c r="T134" i="35"/>
  <c r="AF134" i="35" s="1"/>
  <c r="N134" i="35"/>
  <c r="B193" i="35" s="1"/>
  <c r="E134" i="35"/>
  <c r="T133" i="35"/>
  <c r="AF133" i="35" s="1"/>
  <c r="N133" i="35"/>
  <c r="B180" i="35" s="1"/>
  <c r="E133" i="35"/>
  <c r="T131" i="35"/>
  <c r="AF131" i="35" s="1"/>
  <c r="N131" i="35"/>
  <c r="E131" i="35"/>
  <c r="T128" i="35"/>
  <c r="AF128" i="35" s="1"/>
  <c r="N128" i="35"/>
  <c r="E128" i="35"/>
  <c r="E125" i="35"/>
  <c r="E124" i="35"/>
  <c r="T123" i="35"/>
  <c r="AF123" i="35" s="1"/>
  <c r="N123" i="35"/>
  <c r="E123" i="35"/>
  <c r="T122" i="35"/>
  <c r="AF122" i="35" s="1"/>
  <c r="N122" i="35"/>
  <c r="B176" i="35" s="1"/>
  <c r="E122" i="35"/>
  <c r="T121" i="35"/>
  <c r="AF121" i="35" s="1"/>
  <c r="E121" i="35"/>
  <c r="T119" i="35"/>
  <c r="AF119" i="35" s="1"/>
  <c r="N119" i="35"/>
  <c r="E119" i="35"/>
  <c r="T118" i="35"/>
  <c r="AF118" i="35" s="1"/>
  <c r="N118" i="35"/>
  <c r="E118" i="35"/>
  <c r="T117" i="35"/>
  <c r="AF117" i="35" s="1"/>
  <c r="N117" i="35"/>
  <c r="E117" i="35"/>
  <c r="T116" i="35"/>
  <c r="AF116" i="35" s="1"/>
  <c r="N116" i="35"/>
  <c r="E116" i="35"/>
  <c r="N114" i="35"/>
  <c r="AE114" i="35" s="1"/>
  <c r="E114" i="35"/>
  <c r="N112" i="35"/>
  <c r="AE112" i="35" s="1"/>
  <c r="E112" i="35"/>
  <c r="T111" i="35"/>
  <c r="AF111" i="35" s="1"/>
  <c r="N111" i="35"/>
  <c r="AE111" i="35" s="1"/>
  <c r="E111" i="35"/>
  <c r="T109" i="35"/>
  <c r="AF109" i="35" s="1"/>
  <c r="N109" i="35"/>
  <c r="AE109" i="35" s="1"/>
  <c r="E109" i="35"/>
  <c r="T105" i="35"/>
  <c r="AF105" i="35" s="1"/>
  <c r="N105" i="35"/>
  <c r="AE105" i="35" s="1"/>
  <c r="E105" i="35"/>
  <c r="T107" i="35"/>
  <c r="N107" i="35"/>
  <c r="AE107" i="35" s="1"/>
  <c r="E107" i="35"/>
  <c r="T106" i="35"/>
  <c r="AF106" i="35" s="1"/>
  <c r="N106" i="35"/>
  <c r="AE106" i="35" s="1"/>
  <c r="E106" i="35"/>
  <c r="T104" i="35"/>
  <c r="AF104" i="35" s="1"/>
  <c r="S104" i="35"/>
  <c r="N104" i="35"/>
  <c r="E104" i="35"/>
  <c r="T103" i="35"/>
  <c r="N103" i="35"/>
  <c r="AE103" i="35" s="1"/>
  <c r="E103" i="35"/>
  <c r="T102" i="35"/>
  <c r="N102" i="35"/>
  <c r="AE102" i="35" s="1"/>
  <c r="E102" i="35"/>
  <c r="T101" i="35"/>
  <c r="N101" i="35"/>
  <c r="AE101" i="35" s="1"/>
  <c r="E101" i="35"/>
  <c r="T100" i="35"/>
  <c r="N100" i="35"/>
  <c r="AE100" i="35" s="1"/>
  <c r="E100" i="35"/>
  <c r="T99" i="35"/>
  <c r="AF99" i="35" s="1"/>
  <c r="N99" i="35"/>
  <c r="AE99" i="35" s="1"/>
  <c r="E99" i="35"/>
  <c r="T98" i="35"/>
  <c r="AF98" i="35" s="1"/>
  <c r="N98" i="35"/>
  <c r="AE98" i="35" s="1"/>
  <c r="E98" i="35"/>
  <c r="T97" i="35"/>
  <c r="AF97" i="35" s="1"/>
  <c r="N97" i="35"/>
  <c r="AE97" i="35" s="1"/>
  <c r="E97" i="35"/>
  <c r="T96" i="35"/>
  <c r="N96" i="35"/>
  <c r="AE96" i="35" s="1"/>
  <c r="E96" i="35"/>
  <c r="T95" i="35"/>
  <c r="N95" i="35"/>
  <c r="E95" i="35"/>
  <c r="T94" i="35"/>
  <c r="AF94" i="35" s="1"/>
  <c r="N94" i="35"/>
  <c r="E94" i="35"/>
  <c r="T93" i="35"/>
  <c r="AF93" i="35" s="1"/>
  <c r="N93" i="35"/>
  <c r="AE93" i="35" s="1"/>
  <c r="E93" i="35"/>
  <c r="T92" i="35"/>
  <c r="AF92" i="35" s="1"/>
  <c r="N92" i="35"/>
  <c r="AE92" i="35" s="1"/>
  <c r="E92" i="35"/>
  <c r="T91" i="35"/>
  <c r="AF91" i="35" s="1"/>
  <c r="N91" i="35"/>
  <c r="AE91" i="35" s="1"/>
  <c r="E91" i="35"/>
  <c r="T90" i="35"/>
  <c r="AF90" i="35" s="1"/>
  <c r="N90" i="35"/>
  <c r="AE90" i="35" s="1"/>
  <c r="E90" i="35"/>
  <c r="T89" i="35"/>
  <c r="AF89" i="35" s="1"/>
  <c r="S89" i="35"/>
  <c r="N89" i="35"/>
  <c r="AE89" i="35" s="1"/>
  <c r="E89" i="35"/>
  <c r="T88" i="35"/>
  <c r="AF88" i="35" s="1"/>
  <c r="N88" i="35"/>
  <c r="AE88" i="35" s="1"/>
  <c r="E88" i="35"/>
  <c r="T87" i="35"/>
  <c r="AF87" i="35" s="1"/>
  <c r="N87" i="35"/>
  <c r="AE87" i="35" s="1"/>
  <c r="E87" i="35"/>
  <c r="T86" i="35"/>
  <c r="AF86" i="35" s="1"/>
  <c r="N86" i="35"/>
  <c r="AE86" i="35" s="1"/>
  <c r="E86" i="35"/>
  <c r="T85" i="35"/>
  <c r="AF85" i="35" s="1"/>
  <c r="S85" i="35"/>
  <c r="N85" i="35"/>
  <c r="AE85" i="35" s="1"/>
  <c r="E85" i="35"/>
  <c r="T84" i="35"/>
  <c r="AF84" i="35" s="1"/>
  <c r="N84" i="35"/>
  <c r="AE84" i="35" s="1"/>
  <c r="E84" i="35"/>
  <c r="T83" i="35"/>
  <c r="AF83" i="35" s="1"/>
  <c r="N83" i="35"/>
  <c r="AE83" i="35" s="1"/>
  <c r="E83" i="35"/>
  <c r="T82" i="35"/>
  <c r="AF82" i="35" s="1"/>
  <c r="N82" i="35"/>
  <c r="AE82" i="35" s="1"/>
  <c r="E82" i="35"/>
  <c r="T81" i="35"/>
  <c r="AF81" i="35" s="1"/>
  <c r="N81" i="35"/>
  <c r="AE81" i="35" s="1"/>
  <c r="E81" i="35"/>
  <c r="T80" i="35"/>
  <c r="AF80" i="35" s="1"/>
  <c r="S80" i="35"/>
  <c r="N80" i="35"/>
  <c r="E80" i="35"/>
  <c r="T79" i="35"/>
  <c r="AF79" i="35" s="1"/>
  <c r="N79" i="35"/>
  <c r="AE79" i="35" s="1"/>
  <c r="E79" i="35"/>
  <c r="T78" i="35"/>
  <c r="AF78" i="35" s="1"/>
  <c r="N78" i="35"/>
  <c r="AE78" i="35" s="1"/>
  <c r="E78" i="35"/>
  <c r="T77" i="35"/>
  <c r="N77" i="35"/>
  <c r="E77" i="35"/>
  <c r="T76" i="35"/>
  <c r="N76" i="35"/>
  <c r="E76" i="35"/>
  <c r="T75" i="35"/>
  <c r="N75" i="35"/>
  <c r="B140" i="35" s="1"/>
  <c r="E75" i="35"/>
  <c r="T74" i="35"/>
  <c r="N74" i="35"/>
  <c r="E74" i="35"/>
  <c r="T73" i="35"/>
  <c r="N73" i="35"/>
  <c r="E73" i="35"/>
  <c r="T72" i="35"/>
  <c r="N72" i="35"/>
  <c r="E72" i="35"/>
  <c r="T71" i="35"/>
  <c r="N71" i="35"/>
  <c r="E71" i="35"/>
  <c r="T70" i="35"/>
  <c r="N70" i="35"/>
  <c r="E70" i="35"/>
  <c r="T69" i="35"/>
  <c r="N69" i="35"/>
  <c r="E69" i="35"/>
  <c r="T68" i="35"/>
  <c r="N68" i="35"/>
  <c r="E68" i="35"/>
  <c r="T67" i="35"/>
  <c r="N67" i="35"/>
  <c r="E67" i="35"/>
  <c r="T66" i="35"/>
  <c r="W66" i="35" s="1"/>
  <c r="N66" i="35"/>
  <c r="E66" i="35"/>
  <c r="T65" i="35"/>
  <c r="N65" i="35"/>
  <c r="E65" i="35"/>
  <c r="T64" i="35"/>
  <c r="N64" i="35"/>
  <c r="E64" i="35"/>
  <c r="T63" i="35"/>
  <c r="N63" i="35"/>
  <c r="B119" i="35" s="1"/>
  <c r="E63" i="35"/>
  <c r="T62" i="35"/>
  <c r="N62" i="35"/>
  <c r="B117" i="35" s="1"/>
  <c r="E62" i="35"/>
  <c r="T61" i="35"/>
  <c r="N61" i="35"/>
  <c r="B122" i="35" s="1"/>
  <c r="E61" i="35"/>
  <c r="T60" i="35"/>
  <c r="N60" i="35"/>
  <c r="E60" i="35"/>
  <c r="T59" i="35"/>
  <c r="N59" i="35"/>
  <c r="E59" i="35"/>
  <c r="T58" i="35"/>
  <c r="N58" i="35"/>
  <c r="E58" i="35"/>
  <c r="T57" i="35"/>
  <c r="V57" i="35" s="1"/>
  <c r="N57" i="35"/>
  <c r="E57" i="35"/>
  <c r="T56" i="35"/>
  <c r="N56" i="35"/>
  <c r="B121" i="35" s="1"/>
  <c r="E56" i="35"/>
  <c r="T55" i="35"/>
  <c r="V55" i="35" s="1"/>
  <c r="S55" i="35"/>
  <c r="E55" i="35"/>
  <c r="T54" i="35"/>
  <c r="V54" i="35" s="1"/>
  <c r="N54" i="35"/>
  <c r="E54" i="35"/>
  <c r="T53" i="35"/>
  <c r="S53" i="35"/>
  <c r="E53" i="35"/>
  <c r="T52" i="35"/>
  <c r="V52" i="35" s="1"/>
  <c r="N52" i="35"/>
  <c r="E52" i="35"/>
  <c r="T51" i="35"/>
  <c r="N51" i="35"/>
  <c r="E51" i="35"/>
  <c r="T50" i="35"/>
  <c r="N50" i="35"/>
  <c r="E50" i="35"/>
  <c r="T49" i="35"/>
  <c r="N49" i="35"/>
  <c r="E49" i="35"/>
  <c r="N48" i="35"/>
  <c r="E48" i="35"/>
  <c r="T47" i="35"/>
  <c r="N47" i="35"/>
  <c r="E47" i="35"/>
  <c r="T46" i="35"/>
  <c r="N46" i="35"/>
  <c r="E46" i="35"/>
  <c r="T45" i="35"/>
  <c r="V45" i="35" s="1"/>
  <c r="N45" i="35"/>
  <c r="E45" i="35"/>
  <c r="T44" i="35"/>
  <c r="S44" i="35"/>
  <c r="N44" i="35"/>
  <c r="E44" i="35"/>
  <c r="T43" i="35"/>
  <c r="S43" i="35"/>
  <c r="N43" i="35"/>
  <c r="E43" i="35"/>
  <c r="N42" i="35"/>
  <c r="E42" i="35"/>
  <c r="T41" i="35"/>
  <c r="N41" i="35"/>
  <c r="E41" i="35"/>
  <c r="T40" i="35"/>
  <c r="N40" i="35"/>
  <c r="E40" i="35"/>
  <c r="T39" i="35"/>
  <c r="N39" i="35"/>
  <c r="B99" i="35" s="1"/>
  <c r="E39" i="35"/>
  <c r="T38" i="35"/>
  <c r="N38" i="35"/>
  <c r="E38" i="35"/>
  <c r="T37" i="35"/>
  <c r="V37" i="35" s="1"/>
  <c r="N37" i="35"/>
  <c r="E37" i="35"/>
  <c r="N36" i="35"/>
  <c r="E36" i="35"/>
  <c r="T35" i="35"/>
  <c r="N35" i="35"/>
  <c r="E35" i="35"/>
  <c r="N34" i="35"/>
  <c r="B108" i="35" s="1"/>
  <c r="E34" i="35"/>
  <c r="T33" i="35"/>
  <c r="N33" i="35"/>
  <c r="E33" i="35"/>
  <c r="T32" i="35"/>
  <c r="N32" i="35"/>
  <c r="E32" i="35"/>
  <c r="T31" i="35"/>
  <c r="N31" i="35"/>
  <c r="E31" i="35"/>
  <c r="T30" i="35"/>
  <c r="N30" i="35"/>
  <c r="E30" i="35"/>
  <c r="T29" i="35"/>
  <c r="N29" i="35"/>
  <c r="E29" i="35"/>
  <c r="T28" i="35"/>
  <c r="N28" i="35"/>
  <c r="E28" i="35"/>
  <c r="T27" i="35"/>
  <c r="N27" i="35"/>
  <c r="E27" i="35"/>
  <c r="T26" i="35"/>
  <c r="N26" i="35"/>
  <c r="E26" i="35"/>
  <c r="T25" i="35"/>
  <c r="N25" i="35"/>
  <c r="E25" i="35"/>
  <c r="T24" i="35"/>
  <c r="V24" i="35" s="1"/>
  <c r="N24" i="35"/>
  <c r="E24" i="35"/>
  <c r="T23" i="35"/>
  <c r="N23" i="35"/>
  <c r="E23" i="35"/>
  <c r="T22" i="35"/>
  <c r="N22" i="35"/>
  <c r="E22" i="35"/>
  <c r="T21" i="35"/>
  <c r="N21" i="35"/>
  <c r="E21" i="35"/>
  <c r="T20" i="35"/>
  <c r="N20" i="35"/>
  <c r="E20" i="35"/>
  <c r="T19" i="35"/>
  <c r="N19" i="35"/>
  <c r="E19" i="35"/>
  <c r="T18" i="35"/>
  <c r="N18" i="35"/>
  <c r="E18" i="35"/>
  <c r="T17" i="35"/>
  <c r="N17" i="35"/>
  <c r="E17" i="35"/>
  <c r="T16" i="35"/>
  <c r="W16" i="35" s="1"/>
  <c r="N16" i="35"/>
  <c r="E16" i="35"/>
  <c r="T15" i="35"/>
  <c r="N15" i="35"/>
  <c r="E15" i="35"/>
  <c r="T14" i="35"/>
  <c r="N14" i="35"/>
  <c r="E14" i="35"/>
  <c r="T13" i="35"/>
  <c r="N13" i="35"/>
  <c r="E13" i="35"/>
  <c r="T12" i="35"/>
  <c r="N12" i="35"/>
  <c r="B75" i="35" s="1"/>
  <c r="E12" i="35"/>
  <c r="T11" i="35"/>
  <c r="S11" i="35"/>
  <c r="N11" i="35"/>
  <c r="E11" i="35"/>
  <c r="T10" i="35"/>
  <c r="N10" i="35"/>
  <c r="E10" i="35"/>
  <c r="T9" i="35"/>
  <c r="N9" i="35"/>
  <c r="E9" i="35"/>
  <c r="T8" i="35"/>
  <c r="N8" i="35"/>
  <c r="B81" i="35" s="1"/>
  <c r="E8" i="35"/>
  <c r="T7" i="35"/>
  <c r="V7" i="35" s="1"/>
  <c r="N7" i="35"/>
  <c r="E7" i="35"/>
  <c r="T6" i="35"/>
  <c r="N6" i="35"/>
  <c r="B70" i="35" s="1"/>
  <c r="E6" i="35"/>
  <c r="T5" i="35"/>
  <c r="N5" i="35"/>
  <c r="E5" i="35"/>
  <c r="X4" i="35"/>
  <c r="T4" i="35"/>
  <c r="N4" i="35"/>
  <c r="B69" i="35" s="1"/>
  <c r="E4" i="35"/>
  <c r="X3" i="35"/>
  <c r="T3" i="35"/>
  <c r="V3" i="35" s="1"/>
  <c r="N3" i="35"/>
  <c r="E3" i="35"/>
  <c r="X2" i="35"/>
  <c r="T2" i="35"/>
  <c r="N2" i="35"/>
  <c r="E2" i="35"/>
  <c r="N17" i="30"/>
  <c r="N18" i="30"/>
  <c r="N20" i="30"/>
  <c r="N21" i="30"/>
  <c r="N22" i="30"/>
  <c r="N23" i="30"/>
  <c r="N24" i="30"/>
  <c r="N25" i="30"/>
  <c r="N26" i="30"/>
  <c r="N27" i="30"/>
  <c r="N28" i="30"/>
  <c r="N29" i="30"/>
  <c r="N30" i="30"/>
  <c r="N31" i="30"/>
  <c r="N32" i="30"/>
  <c r="N33" i="30"/>
  <c r="N34" i="30"/>
  <c r="N16" i="30"/>
  <c r="Q14" i="29"/>
  <c r="Q15" i="29"/>
  <c r="Q16" i="29"/>
  <c r="Q17" i="29"/>
  <c r="Q18" i="29"/>
  <c r="Y51" i="35" l="1"/>
  <c r="Y47" i="35"/>
  <c r="B182" i="35"/>
  <c r="V56" i="35"/>
  <c r="V53" i="35"/>
  <c r="T76" i="36"/>
  <c r="W76" i="36" s="1"/>
  <c r="E76" i="36"/>
  <c r="AE95" i="35"/>
  <c r="B151" i="35"/>
  <c r="AE137" i="35"/>
  <c r="B185" i="35"/>
  <c r="AE123" i="35"/>
  <c r="AD182" i="35"/>
  <c r="B44" i="36"/>
  <c r="B45" i="36"/>
  <c r="B46" i="36"/>
  <c r="B49" i="36"/>
  <c r="C49" i="36" s="1"/>
  <c r="E49" i="36" s="1"/>
  <c r="V8" i="36"/>
  <c r="W8" i="36" s="1"/>
  <c r="AE134" i="35"/>
  <c r="V106" i="35"/>
  <c r="W106" i="35" s="1"/>
  <c r="AF103" i="35"/>
  <c r="AD198" i="35"/>
  <c r="B175" i="35"/>
  <c r="AE122" i="35"/>
  <c r="W96" i="35"/>
  <c r="AF96" i="35"/>
  <c r="W100" i="35"/>
  <c r="AF100" i="35"/>
  <c r="B174" i="35"/>
  <c r="AE117" i="35"/>
  <c r="B172" i="35"/>
  <c r="AE116" i="35"/>
  <c r="B158" i="35"/>
  <c r="AE104" i="35"/>
  <c r="B173" i="35"/>
  <c r="AE118" i="35"/>
  <c r="W95" i="35"/>
  <c r="AF95" i="35"/>
  <c r="AE133" i="35"/>
  <c r="AE94" i="35"/>
  <c r="W102" i="35"/>
  <c r="AF102" i="35"/>
  <c r="B178" i="35"/>
  <c r="AE128" i="35"/>
  <c r="B187" i="35"/>
  <c r="AE131" i="35"/>
  <c r="W101" i="35"/>
  <c r="AF101" i="35"/>
  <c r="W107" i="35"/>
  <c r="AF107" i="35"/>
  <c r="B170" i="35"/>
  <c r="AE119" i="35"/>
  <c r="B135" i="35"/>
  <c r="AE80" i="35"/>
  <c r="B155" i="35"/>
  <c r="B156" i="35"/>
  <c r="B147" i="35"/>
  <c r="B148" i="35"/>
  <c r="V21" i="35"/>
  <c r="B129" i="35"/>
  <c r="B128" i="35"/>
  <c r="V31" i="35"/>
  <c r="V28" i="35"/>
  <c r="V10" i="35"/>
  <c r="W10" i="35" s="1"/>
  <c r="V19" i="35"/>
  <c r="B162" i="35"/>
  <c r="B163" i="35"/>
  <c r="Y99" i="35"/>
  <c r="Y98" i="35"/>
  <c r="V103" i="35"/>
  <c r="W103" i="35" s="1"/>
  <c r="V93" i="35"/>
  <c r="W93" i="35" s="1"/>
  <c r="Y90" i="35"/>
  <c r="Y91" i="35"/>
  <c r="Y89" i="35"/>
  <c r="Y84" i="35"/>
  <c r="Y82" i="35"/>
  <c r="Y83" i="35"/>
  <c r="V74" i="35"/>
  <c r="V77" i="35"/>
  <c r="V76" i="35"/>
  <c r="B179" i="35"/>
  <c r="V3" i="36"/>
  <c r="W3" i="36" s="1"/>
  <c r="V4" i="36"/>
  <c r="W4" i="36" s="1"/>
  <c r="V5" i="36"/>
  <c r="W5" i="36" s="1"/>
  <c r="V17" i="35"/>
  <c r="V14" i="35"/>
  <c r="V9" i="35"/>
  <c r="V5" i="35"/>
  <c r="B160" i="35"/>
  <c r="Z50" i="35"/>
  <c r="Y74" i="35"/>
  <c r="Y76" i="35"/>
  <c r="Y77" i="35"/>
  <c r="Y78" i="35"/>
  <c r="Y79" i="35"/>
  <c r="Y81" i="35"/>
  <c r="Y80" i="35"/>
  <c r="Y71" i="35"/>
  <c r="Y72" i="35"/>
  <c r="Y69" i="35"/>
  <c r="Y64" i="35"/>
  <c r="Y60" i="35"/>
  <c r="Y43" i="35"/>
  <c r="Y35" i="35"/>
  <c r="T218" i="35"/>
  <c r="N218" i="35"/>
  <c r="T209" i="35"/>
  <c r="N209" i="35"/>
  <c r="B188" i="35"/>
  <c r="AD188" i="35" s="1"/>
  <c r="B189" i="35"/>
  <c r="AD189" i="35" s="1"/>
  <c r="B146" i="35"/>
  <c r="B137" i="35"/>
  <c r="B138" i="35"/>
  <c r="B154" i="35"/>
  <c r="B166" i="35"/>
  <c r="B165" i="35"/>
  <c r="B164" i="35"/>
  <c r="W3" i="35"/>
  <c r="V8" i="35"/>
  <c r="B114" i="35"/>
  <c r="B115" i="35"/>
  <c r="T168" i="35"/>
  <c r="AF168" i="35" s="1"/>
  <c r="E168" i="35"/>
  <c r="T169" i="35"/>
  <c r="AF169" i="35" s="1"/>
  <c r="E169" i="35"/>
  <c r="B159" i="35"/>
  <c r="E166" i="35"/>
  <c r="V7" i="36"/>
  <c r="W7" i="36" s="1"/>
  <c r="B109" i="35"/>
  <c r="B110" i="35"/>
  <c r="B150" i="35"/>
  <c r="B97" i="35"/>
  <c r="B118" i="35"/>
  <c r="B86" i="35"/>
  <c r="B142" i="35"/>
  <c r="T172" i="35"/>
  <c r="AF172" i="35" s="1"/>
  <c r="B98" i="35"/>
  <c r="B116" i="35"/>
  <c r="B134" i="35"/>
  <c r="B88" i="35"/>
  <c r="E178" i="35"/>
  <c r="E179" i="35"/>
  <c r="B24" i="36"/>
  <c r="B28" i="36"/>
  <c r="E170" i="35"/>
  <c r="N155" i="35"/>
  <c r="B144" i="35"/>
  <c r="V4" i="35"/>
  <c r="W4" i="35" s="1"/>
  <c r="B21" i="36"/>
  <c r="E141" i="35"/>
  <c r="T149" i="35"/>
  <c r="AF149" i="35" s="1"/>
  <c r="N76" i="36"/>
  <c r="V53" i="36" s="1"/>
  <c r="W53" i="36" s="1"/>
  <c r="V6" i="36"/>
  <c r="W6" i="36" s="1"/>
  <c r="B133" i="35"/>
  <c r="B152" i="35"/>
  <c r="B153" i="35"/>
  <c r="N144" i="35"/>
  <c r="AE144" i="35" s="1"/>
  <c r="B143" i="35"/>
  <c r="B14" i="36"/>
  <c r="N62" i="36"/>
  <c r="N66" i="36"/>
  <c r="N58" i="36"/>
  <c r="B19" i="36"/>
  <c r="B27" i="36"/>
  <c r="B139" i="35"/>
  <c r="B120" i="35"/>
  <c r="N169" i="35"/>
  <c r="V39" i="35" s="1"/>
  <c r="B92" i="35"/>
  <c r="N146" i="35"/>
  <c r="AE146" i="35" s="1"/>
  <c r="E173" i="35"/>
  <c r="N142" i="35"/>
  <c r="T142" i="35"/>
  <c r="AF142" i="35" s="1"/>
  <c r="B87" i="35"/>
  <c r="N141" i="35"/>
  <c r="T135" i="35"/>
  <c r="AF135" i="35" s="1"/>
  <c r="N135" i="35"/>
  <c r="E135" i="35"/>
  <c r="T4" i="37"/>
  <c r="E4" i="37" s="1"/>
  <c r="N4" i="37"/>
  <c r="B8" i="37" s="1"/>
  <c r="T198" i="35"/>
  <c r="T167" i="35"/>
  <c r="AF167" i="35" s="1"/>
  <c r="N167" i="35"/>
  <c r="N198" i="35"/>
  <c r="T30" i="36"/>
  <c r="N30" i="36"/>
  <c r="B40" i="36"/>
  <c r="B83" i="35"/>
  <c r="B84" i="35"/>
  <c r="E136" i="35"/>
  <c r="T136" i="35"/>
  <c r="AF136" i="35" s="1"/>
  <c r="C7" i="37"/>
  <c r="E144" i="35"/>
  <c r="B76" i="35"/>
  <c r="E142" i="35"/>
  <c r="B82" i="35"/>
  <c r="E34" i="36"/>
  <c r="T34" i="36"/>
  <c r="E3" i="37"/>
  <c r="V29" i="36"/>
  <c r="W29" i="36" s="1"/>
  <c r="V25" i="36"/>
  <c r="W25" i="36" s="1"/>
  <c r="N22" i="36"/>
  <c r="T22" i="36"/>
  <c r="W22" i="36" s="1"/>
  <c r="T6" i="37"/>
  <c r="E6" i="37" s="1"/>
  <c r="N6" i="37"/>
  <c r="B10" i="37" s="1"/>
  <c r="B91" i="35"/>
  <c r="T141" i="35"/>
  <c r="AF141" i="35" s="1"/>
  <c r="T5" i="37"/>
  <c r="E5" i="37" s="1"/>
  <c r="N5" i="37"/>
  <c r="B9" i="37" s="1"/>
  <c r="V30" i="35" l="1"/>
  <c r="V25" i="35"/>
  <c r="B194" i="35"/>
  <c r="C194" i="35" s="1"/>
  <c r="AE169" i="35"/>
  <c r="B192" i="35"/>
  <c r="B191" i="35"/>
  <c r="AD191" i="35" s="1"/>
  <c r="AE135" i="35"/>
  <c r="W209" i="35"/>
  <c r="AF209" i="35"/>
  <c r="B217" i="35"/>
  <c r="AE167" i="35"/>
  <c r="W218" i="35"/>
  <c r="AF218" i="35"/>
  <c r="V23" i="35"/>
  <c r="W23" i="35" s="1"/>
  <c r="AE142" i="35"/>
  <c r="N180" i="35"/>
  <c r="AD180" i="35"/>
  <c r="B255" i="35"/>
  <c r="AE209" i="35"/>
  <c r="B235" i="35"/>
  <c r="AE198" i="35"/>
  <c r="B262" i="35"/>
  <c r="AE218" i="35"/>
  <c r="AF198" i="35"/>
  <c r="V20" i="35"/>
  <c r="AE141" i="35"/>
  <c r="N187" i="35"/>
  <c r="V68" i="35" s="1"/>
  <c r="AD187" i="35"/>
  <c r="AE155" i="35"/>
  <c r="B228" i="35"/>
  <c r="B207" i="35"/>
  <c r="B197" i="35"/>
  <c r="T21" i="36"/>
  <c r="E21" i="36"/>
  <c r="V2" i="36"/>
  <c r="W2" i="36" s="1"/>
  <c r="B42" i="36"/>
  <c r="B43" i="36"/>
  <c r="E175" i="35"/>
  <c r="T178" i="35"/>
  <c r="AF178" i="35" s="1"/>
  <c r="N178" i="35"/>
  <c r="AE178" i="35" s="1"/>
  <c r="N189" i="35"/>
  <c r="T189" i="35"/>
  <c r="N188" i="35"/>
  <c r="T188" i="35"/>
  <c r="N165" i="35"/>
  <c r="AE165" i="35" s="1"/>
  <c r="E165" i="35"/>
  <c r="N172" i="35"/>
  <c r="B132" i="35"/>
  <c r="B130" i="35"/>
  <c r="B131" i="35"/>
  <c r="B93" i="35"/>
  <c r="T175" i="35"/>
  <c r="AF175" i="35" s="1"/>
  <c r="B77" i="35"/>
  <c r="W5" i="35"/>
  <c r="B78" i="35"/>
  <c r="N179" i="35"/>
  <c r="AE179" i="35" s="1"/>
  <c r="T179" i="35"/>
  <c r="T165" i="35"/>
  <c r="AF165" i="35" s="1"/>
  <c r="T166" i="35"/>
  <c r="AF166" i="35" s="1"/>
  <c r="N166" i="35"/>
  <c r="V60" i="35" s="1"/>
  <c r="B210" i="35"/>
  <c r="C210" i="35" s="1"/>
  <c r="T155" i="35"/>
  <c r="AF155" i="35" s="1"/>
  <c r="B219" i="35"/>
  <c r="C219" i="35" s="1"/>
  <c r="B196" i="35"/>
  <c r="C196" i="35" s="1"/>
  <c r="T187" i="35"/>
  <c r="T162" i="35"/>
  <c r="AF162" i="35" s="1"/>
  <c r="N162" i="35"/>
  <c r="N21" i="36"/>
  <c r="B36" i="36" s="1"/>
  <c r="N149" i="35"/>
  <c r="T180" i="35"/>
  <c r="T153" i="35"/>
  <c r="AF153" i="35" s="1"/>
  <c r="N153" i="35"/>
  <c r="N27" i="36"/>
  <c r="T27" i="36"/>
  <c r="T146" i="35"/>
  <c r="AF146" i="35" s="1"/>
  <c r="N152" i="35"/>
  <c r="T152" i="35"/>
  <c r="AF152" i="35" s="1"/>
  <c r="T154" i="35"/>
  <c r="AF154" i="35" s="1"/>
  <c r="T173" i="35"/>
  <c r="N173" i="35"/>
  <c r="AE173" i="35" s="1"/>
  <c r="B223" i="35"/>
  <c r="N7" i="37"/>
  <c r="B11" i="37" s="1"/>
  <c r="T7" i="37"/>
  <c r="E7" i="37" s="1"/>
  <c r="N40" i="36"/>
  <c r="V11" i="36" s="1"/>
  <c r="T40" i="36"/>
  <c r="E164" i="35"/>
  <c r="C8" i="37"/>
  <c r="F9" i="37"/>
  <c r="C9" i="37"/>
  <c r="F10" i="37"/>
  <c r="C10" i="37"/>
  <c r="E143" i="35"/>
  <c r="N46" i="36"/>
  <c r="T49" i="36"/>
  <c r="W49" i="36" s="1"/>
  <c r="N49" i="36"/>
  <c r="E177" i="35"/>
  <c r="N182" i="35"/>
  <c r="AE182" i="35" s="1"/>
  <c r="T182" i="35"/>
  <c r="T145" i="35"/>
  <c r="AF145" i="35" s="1"/>
  <c r="N145" i="35"/>
  <c r="E145" i="35"/>
  <c r="E139" i="35"/>
  <c r="T139" i="35"/>
  <c r="AF139" i="35" s="1"/>
  <c r="N139" i="35"/>
  <c r="T170" i="35"/>
  <c r="AF170" i="35" s="1"/>
  <c r="N170" i="35"/>
  <c r="V48" i="35" s="1"/>
  <c r="V51" i="35" l="1"/>
  <c r="V47" i="35"/>
  <c r="V42" i="35"/>
  <c r="V35" i="35"/>
  <c r="V41" i="35"/>
  <c r="V50" i="35"/>
  <c r="V46" i="35"/>
  <c r="B195" i="35"/>
  <c r="C195" i="35" s="1"/>
  <c r="N194" i="35"/>
  <c r="AE194" i="35" s="1"/>
  <c r="T194" i="35"/>
  <c r="AF194" i="35" s="1"/>
  <c r="AD194" i="35"/>
  <c r="B227" i="35"/>
  <c r="C227" i="35" s="1"/>
  <c r="V49" i="35"/>
  <c r="AE166" i="35"/>
  <c r="AE139" i="35"/>
  <c r="B190" i="35"/>
  <c r="AE162" i="35"/>
  <c r="C197" i="35"/>
  <c r="AD197" i="35" s="1"/>
  <c r="C207" i="35"/>
  <c r="T207" i="35" s="1"/>
  <c r="C228" i="35"/>
  <c r="N228" i="35" s="1"/>
  <c r="AE228" i="35" s="1"/>
  <c r="C217" i="35"/>
  <c r="AD217" i="35" s="1"/>
  <c r="C223" i="35"/>
  <c r="T223" i="35" s="1"/>
  <c r="C255" i="35"/>
  <c r="AD255" i="35" s="1"/>
  <c r="C262" i="35"/>
  <c r="N262" i="35" s="1"/>
  <c r="C235" i="35"/>
  <c r="T235" i="35" s="1"/>
  <c r="B224" i="35"/>
  <c r="C224" i="35" s="1"/>
  <c r="AE175" i="35"/>
  <c r="B231" i="35"/>
  <c r="C231" i="35" s="1"/>
  <c r="AE170" i="35"/>
  <c r="V26" i="35"/>
  <c r="V22" i="35"/>
  <c r="AE153" i="35"/>
  <c r="W180" i="35"/>
  <c r="AF180" i="35"/>
  <c r="V70" i="35"/>
  <c r="W70" i="35" s="1"/>
  <c r="AE180" i="35"/>
  <c r="AE152" i="35"/>
  <c r="W60" i="35"/>
  <c r="AE172" i="35"/>
  <c r="T192" i="35"/>
  <c r="AD192" i="35"/>
  <c r="AF173" i="35"/>
  <c r="AE149" i="35"/>
  <c r="B242" i="35"/>
  <c r="W179" i="35"/>
  <c r="AF179" i="35"/>
  <c r="N185" i="35"/>
  <c r="B234" i="35" s="1"/>
  <c r="C234" i="35" s="1"/>
  <c r="AD185" i="35"/>
  <c r="W187" i="35"/>
  <c r="AF187" i="35"/>
  <c r="N196" i="35"/>
  <c r="V85" i="35" s="1"/>
  <c r="W85" i="35" s="1"/>
  <c r="AD196" i="35"/>
  <c r="W188" i="35"/>
  <c r="AF188" i="35"/>
  <c r="B240" i="35"/>
  <c r="C240" i="35" s="1"/>
  <c r="AE187" i="35"/>
  <c r="V73" i="35"/>
  <c r="W73" i="35" s="1"/>
  <c r="AE188" i="35"/>
  <c r="V75" i="35"/>
  <c r="W75" i="35" s="1"/>
  <c r="AE189" i="35"/>
  <c r="W182" i="35"/>
  <c r="AF182" i="35"/>
  <c r="V27" i="35"/>
  <c r="W27" i="35" s="1"/>
  <c r="AE145" i="35"/>
  <c r="W189" i="35"/>
  <c r="AF189" i="35"/>
  <c r="W47" i="35"/>
  <c r="V67" i="35"/>
  <c r="V61" i="35"/>
  <c r="B149" i="35"/>
  <c r="B104" i="35"/>
  <c r="N192" i="35"/>
  <c r="AE192" i="35" s="1"/>
  <c r="T174" i="35"/>
  <c r="E174" i="35"/>
  <c r="B216" i="35"/>
  <c r="C216" i="35" s="1"/>
  <c r="T191" i="35"/>
  <c r="N191" i="35"/>
  <c r="B249" i="35" s="1"/>
  <c r="C249" i="35" s="1"/>
  <c r="W45" i="35"/>
  <c r="B222" i="35"/>
  <c r="C222" i="35" s="1"/>
  <c r="V65" i="35"/>
  <c r="AE174" i="35"/>
  <c r="B35" i="36"/>
  <c r="N35" i="36" s="1"/>
  <c r="W7" i="35"/>
  <c r="B239" i="35"/>
  <c r="C239" i="35" s="1"/>
  <c r="B145" i="35"/>
  <c r="B101" i="35"/>
  <c r="V13" i="35"/>
  <c r="W13" i="35" s="1"/>
  <c r="W8" i="35"/>
  <c r="B236" i="35"/>
  <c r="W68" i="35"/>
  <c r="W29" i="35"/>
  <c r="W14" i="35"/>
  <c r="W24" i="35"/>
  <c r="E36" i="36"/>
  <c r="T36" i="36"/>
  <c r="V36" i="36" s="1"/>
  <c r="W36" i="36" s="1"/>
  <c r="N36" i="36"/>
  <c r="B39" i="36"/>
  <c r="N157" i="35"/>
  <c r="V44" i="35" s="1"/>
  <c r="T157" i="35"/>
  <c r="AF157" i="35" s="1"/>
  <c r="W17" i="35"/>
  <c r="N154" i="35"/>
  <c r="T185" i="35"/>
  <c r="N45" i="36"/>
  <c r="V17" i="36" s="1"/>
  <c r="W17" i="36" s="1"/>
  <c r="T45" i="36"/>
  <c r="N164" i="35"/>
  <c r="T164" i="35"/>
  <c r="AF164" i="35" s="1"/>
  <c r="T196" i="35"/>
  <c r="B60" i="36"/>
  <c r="B59" i="36"/>
  <c r="T10" i="37"/>
  <c r="W10" i="37" s="1"/>
  <c r="N10" i="37"/>
  <c r="N150" i="35"/>
  <c r="V38" i="35" s="1"/>
  <c r="T150" i="35"/>
  <c r="AF150" i="35" s="1"/>
  <c r="N44" i="36"/>
  <c r="T44" i="36"/>
  <c r="W20" i="35"/>
  <c r="B52" i="36"/>
  <c r="B51" i="36"/>
  <c r="W11" i="36"/>
  <c r="N9" i="37"/>
  <c r="B13" i="37" s="1"/>
  <c r="T9" i="37"/>
  <c r="T46" i="36"/>
  <c r="N177" i="35"/>
  <c r="V62" i="35" s="1"/>
  <c r="T177" i="35"/>
  <c r="C11" i="37"/>
  <c r="F11" i="37"/>
  <c r="T8" i="37"/>
  <c r="N8" i="37"/>
  <c r="B12" i="37" s="1"/>
  <c r="W194" i="35" l="1"/>
  <c r="B241" i="35"/>
  <c r="C241" i="35" s="1"/>
  <c r="AD241" i="35" s="1"/>
  <c r="V80" i="35"/>
  <c r="W80" i="35" s="1"/>
  <c r="N207" i="35"/>
  <c r="AE207" i="35" s="1"/>
  <c r="V63" i="35"/>
  <c r="W63" i="35" s="1"/>
  <c r="W62" i="35"/>
  <c r="V58" i="35"/>
  <c r="V59" i="35"/>
  <c r="N197" i="35"/>
  <c r="AE197" i="35" s="1"/>
  <c r="AE154" i="35"/>
  <c r="N217" i="35"/>
  <c r="AE217" i="35" s="1"/>
  <c r="T217" i="35"/>
  <c r="W217" i="35" s="1"/>
  <c r="T255" i="35"/>
  <c r="W255" i="35" s="1"/>
  <c r="N223" i="35"/>
  <c r="V113" i="35" s="1"/>
  <c r="T197" i="35"/>
  <c r="AF197" i="35" s="1"/>
  <c r="N255" i="35"/>
  <c r="B303" i="35" s="1"/>
  <c r="C303" i="35" s="1"/>
  <c r="AD303" i="35" s="1"/>
  <c r="T228" i="35"/>
  <c r="AF228" i="35" s="1"/>
  <c r="AD228" i="35"/>
  <c r="C236" i="35"/>
  <c r="N236" i="35" s="1"/>
  <c r="AE236" i="35" s="1"/>
  <c r="C242" i="35"/>
  <c r="N242" i="35" s="1"/>
  <c r="AD235" i="35"/>
  <c r="AD207" i="35"/>
  <c r="AD223" i="35"/>
  <c r="AF235" i="35"/>
  <c r="W235" i="35"/>
  <c r="AD262" i="35"/>
  <c r="T262" i="35"/>
  <c r="N235" i="35"/>
  <c r="B287" i="35" s="1"/>
  <c r="AD184" i="35"/>
  <c r="E184" i="35"/>
  <c r="AE191" i="35"/>
  <c r="AE185" i="35"/>
  <c r="AE150" i="35"/>
  <c r="AE157" i="35"/>
  <c r="W39" i="35"/>
  <c r="AE262" i="35"/>
  <c r="B311" i="35"/>
  <c r="C311" i="35" s="1"/>
  <c r="N219" i="35"/>
  <c r="AE219" i="35" s="1"/>
  <c r="AD219" i="35"/>
  <c r="T216" i="35"/>
  <c r="AD216" i="35"/>
  <c r="V64" i="35"/>
  <c r="W64" i="35" s="1"/>
  <c r="AE177" i="35"/>
  <c r="W174" i="35"/>
  <c r="AF174" i="35"/>
  <c r="N210" i="35"/>
  <c r="AE210" i="35" s="1"/>
  <c r="AD210" i="35"/>
  <c r="W207" i="35"/>
  <c r="AF207" i="35"/>
  <c r="W185" i="35"/>
  <c r="AF185" i="35"/>
  <c r="W191" i="35"/>
  <c r="AF191" i="35"/>
  <c r="W177" i="35"/>
  <c r="AF177" i="35"/>
  <c r="T227" i="35"/>
  <c r="AD227" i="35"/>
  <c r="W48" i="35"/>
  <c r="AE164" i="35"/>
  <c r="T234" i="35"/>
  <c r="W69" i="35"/>
  <c r="W196" i="35"/>
  <c r="AF196" i="35"/>
  <c r="W223" i="35"/>
  <c r="AF223" i="35"/>
  <c r="N239" i="35"/>
  <c r="AD239" i="35"/>
  <c r="N231" i="35"/>
  <c r="AD231" i="35"/>
  <c r="V86" i="35"/>
  <c r="W86" i="35" s="1"/>
  <c r="AE196" i="35"/>
  <c r="AD240" i="35"/>
  <c r="T240" i="35"/>
  <c r="N240" i="35"/>
  <c r="W192" i="35"/>
  <c r="AF192" i="35"/>
  <c r="N227" i="35"/>
  <c r="W35" i="35"/>
  <c r="W26" i="35"/>
  <c r="W22" i="35"/>
  <c r="B275" i="35"/>
  <c r="C275" i="35" s="1"/>
  <c r="V120" i="35"/>
  <c r="B205" i="35"/>
  <c r="C205" i="35" s="1"/>
  <c r="N184" i="35"/>
  <c r="T184" i="35"/>
  <c r="V89" i="35"/>
  <c r="W89" i="35" s="1"/>
  <c r="V88" i="35"/>
  <c r="W88" i="35" s="1"/>
  <c r="T231" i="35"/>
  <c r="N216" i="35"/>
  <c r="AD249" i="35"/>
  <c r="T35" i="36"/>
  <c r="E35" i="36"/>
  <c r="AD222" i="35"/>
  <c r="B204" i="35"/>
  <c r="B233" i="35"/>
  <c r="C233" i="35" s="1"/>
  <c r="B65" i="35"/>
  <c r="B245" i="35"/>
  <c r="W31" i="35"/>
  <c r="W28" i="35"/>
  <c r="W49" i="35"/>
  <c r="T210" i="35"/>
  <c r="B208" i="35"/>
  <c r="C208" i="35" s="1"/>
  <c r="T239" i="35"/>
  <c r="V10" i="36"/>
  <c r="W10" i="36" s="1"/>
  <c r="N39" i="36"/>
  <c r="T39" i="36"/>
  <c r="V39" i="36" s="1"/>
  <c r="W39" i="36" s="1"/>
  <c r="E39" i="36"/>
  <c r="B47" i="36"/>
  <c r="B48" i="36"/>
  <c r="V9" i="36"/>
  <c r="W9" i="36" s="1"/>
  <c r="T219" i="35"/>
  <c r="N43" i="36"/>
  <c r="V13" i="36" s="1"/>
  <c r="T43" i="36"/>
  <c r="T11" i="37"/>
  <c r="W11" i="37" s="1"/>
  <c r="N11" i="37"/>
  <c r="V2" i="37"/>
  <c r="W2" i="37" s="1"/>
  <c r="B14" i="37"/>
  <c r="C12" i="37"/>
  <c r="F12" i="37"/>
  <c r="V16" i="36"/>
  <c r="W16" i="36" s="1"/>
  <c r="B55" i="36"/>
  <c r="C13" i="37"/>
  <c r="F13" i="37"/>
  <c r="C51" i="36"/>
  <c r="C59" i="36"/>
  <c r="C52" i="36"/>
  <c r="C60" i="36"/>
  <c r="N41" i="36"/>
  <c r="T41" i="36"/>
  <c r="T42" i="36"/>
  <c r="N42" i="36"/>
  <c r="S19" i="15"/>
  <c r="S20" i="15"/>
  <c r="S21" i="15"/>
  <c r="S22" i="15"/>
  <c r="S23" i="15"/>
  <c r="S24" i="15"/>
  <c r="S26" i="15"/>
  <c r="S18" i="15"/>
  <c r="F26" i="15"/>
  <c r="H26" i="15"/>
  <c r="P26" i="15"/>
  <c r="R26" i="15"/>
  <c r="F25" i="15"/>
  <c r="H25" i="15"/>
  <c r="P25" i="15"/>
  <c r="R25" i="15"/>
  <c r="F24" i="15"/>
  <c r="H24" i="15"/>
  <c r="P24" i="15"/>
  <c r="R24" i="15"/>
  <c r="F23" i="15"/>
  <c r="H23" i="15"/>
  <c r="P23" i="15"/>
  <c r="R23" i="15"/>
  <c r="F22" i="15"/>
  <c r="H22" i="15"/>
  <c r="P22" i="15"/>
  <c r="R22" i="15"/>
  <c r="F21" i="15"/>
  <c r="H21" i="15"/>
  <c r="P21" i="15"/>
  <c r="R21" i="15"/>
  <c r="F20" i="15"/>
  <c r="H20" i="15"/>
  <c r="P20" i="15"/>
  <c r="R20" i="15"/>
  <c r="F19" i="15"/>
  <c r="H19" i="15"/>
  <c r="P19" i="15"/>
  <c r="R19" i="15"/>
  <c r="F18" i="15"/>
  <c r="H18" i="15"/>
  <c r="P18" i="15"/>
  <c r="R18" i="15"/>
  <c r="H17" i="24"/>
  <c r="F17" i="24"/>
  <c r="H18" i="24"/>
  <c r="F18" i="24"/>
  <c r="H19" i="24"/>
  <c r="F19" i="24"/>
  <c r="N241" i="35" l="1"/>
  <c r="AE241" i="35" s="1"/>
  <c r="V92" i="35"/>
  <c r="W92" i="35" s="1"/>
  <c r="T241" i="35"/>
  <c r="AF241" i="35" s="1"/>
  <c r="V97" i="35"/>
  <c r="B271" i="35"/>
  <c r="C271" i="35" s="1"/>
  <c r="N271" i="35" s="1"/>
  <c r="AF217" i="35"/>
  <c r="AE235" i="35"/>
  <c r="W197" i="35"/>
  <c r="T303" i="35"/>
  <c r="W303" i="35" s="1"/>
  <c r="W228" i="35"/>
  <c r="T236" i="35"/>
  <c r="AF236" i="35" s="1"/>
  <c r="AE255" i="35"/>
  <c r="N303" i="35"/>
  <c r="AE303" i="35" s="1"/>
  <c r="AE223" i="35"/>
  <c r="AF255" i="35"/>
  <c r="T242" i="35"/>
  <c r="C204" i="35"/>
  <c r="AD204" i="35" s="1"/>
  <c r="AD242" i="35"/>
  <c r="AD236" i="35"/>
  <c r="C245" i="35"/>
  <c r="AD245" i="35" s="1"/>
  <c r="C287" i="35"/>
  <c r="N287" i="35" s="1"/>
  <c r="B313" i="35" s="1"/>
  <c r="C313" i="35" s="1"/>
  <c r="W262" i="35"/>
  <c r="AF262" i="35"/>
  <c r="AE239" i="35"/>
  <c r="B284" i="35"/>
  <c r="C284" i="35" s="1"/>
  <c r="AE216" i="35"/>
  <c r="B266" i="35"/>
  <c r="C266" i="35" s="1"/>
  <c r="V134" i="35"/>
  <c r="V111" i="35"/>
  <c r="W111" i="35" s="1"/>
  <c r="W231" i="35"/>
  <c r="AF231" i="35"/>
  <c r="W239" i="35"/>
  <c r="AF239" i="35"/>
  <c r="AE231" i="35"/>
  <c r="V71" i="35"/>
  <c r="W71" i="35" s="1"/>
  <c r="AE184" i="35"/>
  <c r="W227" i="35"/>
  <c r="AF227" i="35"/>
  <c r="W216" i="35"/>
  <c r="AF216" i="35"/>
  <c r="N190" i="35"/>
  <c r="AD190" i="35"/>
  <c r="W219" i="35"/>
  <c r="AF219" i="35"/>
  <c r="N311" i="35"/>
  <c r="AE311" i="35" s="1"/>
  <c r="AD311" i="35"/>
  <c r="T311" i="35"/>
  <c r="V136" i="35"/>
  <c r="W136" i="35" s="1"/>
  <c r="AE240" i="35"/>
  <c r="N233" i="35"/>
  <c r="AD233" i="35"/>
  <c r="W240" i="35"/>
  <c r="AF240" i="35"/>
  <c r="V142" i="35"/>
  <c r="W142" i="35" s="1"/>
  <c r="AE242" i="35"/>
  <c r="B285" i="35"/>
  <c r="W210" i="35"/>
  <c r="AF210" i="35"/>
  <c r="W184" i="35"/>
  <c r="AF184" i="35"/>
  <c r="N234" i="35"/>
  <c r="AD234" i="35"/>
  <c r="W234" i="35"/>
  <c r="AF234" i="35"/>
  <c r="T205" i="35"/>
  <c r="AD205" i="35"/>
  <c r="V119" i="35"/>
  <c r="AE227" i="35"/>
  <c r="B280" i="35"/>
  <c r="B274" i="35"/>
  <c r="C274" i="35" s="1"/>
  <c r="V122" i="35"/>
  <c r="V123" i="35"/>
  <c r="B267" i="35"/>
  <c r="C267" i="35" s="1"/>
  <c r="B283" i="35"/>
  <c r="C283" i="35" s="1"/>
  <c r="N205" i="35"/>
  <c r="N222" i="35"/>
  <c r="AE222" i="35" s="1"/>
  <c r="T222" i="35"/>
  <c r="E205" i="35"/>
  <c r="V112" i="35"/>
  <c r="W112" i="35" s="1"/>
  <c r="V15" i="36"/>
  <c r="W15" i="36" s="1"/>
  <c r="V14" i="36"/>
  <c r="W14" i="36" s="1"/>
  <c r="AD275" i="35"/>
  <c r="B200" i="35"/>
  <c r="C200" i="35" s="1"/>
  <c r="N249" i="35"/>
  <c r="B232" i="35"/>
  <c r="C232" i="35" s="1"/>
  <c r="B100" i="35"/>
  <c r="B95" i="35"/>
  <c r="B96" i="35"/>
  <c r="B272" i="35"/>
  <c r="C272" i="35" s="1"/>
  <c r="B264" i="35"/>
  <c r="C264" i="35" s="1"/>
  <c r="W50" i="35"/>
  <c r="AD208" i="35"/>
  <c r="T249" i="35"/>
  <c r="C48" i="36"/>
  <c r="C47" i="36"/>
  <c r="V12" i="36"/>
  <c r="W12" i="36" s="1"/>
  <c r="B50" i="36"/>
  <c r="C50" i="36" s="1"/>
  <c r="T59" i="36"/>
  <c r="W59" i="36" s="1"/>
  <c r="N59" i="36"/>
  <c r="F14" i="37"/>
  <c r="C14" i="37"/>
  <c r="W13" i="36"/>
  <c r="B54" i="36"/>
  <c r="N60" i="36"/>
  <c r="T60" i="36"/>
  <c r="W60" i="36" s="1"/>
  <c r="T233" i="35"/>
  <c r="T190" i="35"/>
  <c r="T13" i="37"/>
  <c r="W13" i="37" s="1"/>
  <c r="N13" i="37"/>
  <c r="T52" i="36"/>
  <c r="N52" i="36"/>
  <c r="T51" i="36"/>
  <c r="N51" i="36"/>
  <c r="V28" i="36" s="1"/>
  <c r="W28" i="36" s="1"/>
  <c r="C55" i="36"/>
  <c r="T12" i="37"/>
  <c r="W12" i="37" s="1"/>
  <c r="N12" i="37"/>
  <c r="B15" i="37"/>
  <c r="V3" i="37"/>
  <c r="W3" i="37" s="1"/>
  <c r="AE249" i="35" l="1"/>
  <c r="V143" i="35"/>
  <c r="W143" i="35" s="1"/>
  <c r="W241" i="35"/>
  <c r="V135" i="35"/>
  <c r="W135" i="35" s="1"/>
  <c r="B291" i="35"/>
  <c r="C291" i="35" s="1"/>
  <c r="T291" i="35" s="1"/>
  <c r="W236" i="35"/>
  <c r="T204" i="35"/>
  <c r="AF204" i="35" s="1"/>
  <c r="N204" i="35"/>
  <c r="B260" i="35" s="1"/>
  <c r="C260" i="35" s="1"/>
  <c r="AF303" i="35"/>
  <c r="E204" i="35"/>
  <c r="T245" i="35"/>
  <c r="W245" i="35" s="1"/>
  <c r="N245" i="35"/>
  <c r="B296" i="35" s="1"/>
  <c r="C296" i="35" s="1"/>
  <c r="AF242" i="35"/>
  <c r="W242" i="35"/>
  <c r="T287" i="35"/>
  <c r="AD287" i="35"/>
  <c r="C285" i="35"/>
  <c r="T285" i="35" s="1"/>
  <c r="AD271" i="35"/>
  <c r="T271" i="35"/>
  <c r="C280" i="35"/>
  <c r="AD280" i="35" s="1"/>
  <c r="N283" i="35"/>
  <c r="AE283" i="35" s="1"/>
  <c r="AD283" i="35"/>
  <c r="V129" i="35"/>
  <c r="AE233" i="35"/>
  <c r="N264" i="35"/>
  <c r="AE264" i="35" s="1"/>
  <c r="AD264" i="35"/>
  <c r="N272" i="35"/>
  <c r="AE272" i="35" s="1"/>
  <c r="AD272" i="35"/>
  <c r="W311" i="35"/>
  <c r="AF311" i="35"/>
  <c r="V94" i="35"/>
  <c r="W94" i="35" s="1"/>
  <c r="AE205" i="35"/>
  <c r="N200" i="35"/>
  <c r="AD200" i="35"/>
  <c r="W205" i="35"/>
  <c r="AF205" i="35"/>
  <c r="N232" i="35"/>
  <c r="AD232" i="35"/>
  <c r="W249" i="35"/>
  <c r="AF249" i="35"/>
  <c r="V167" i="35"/>
  <c r="W167" i="35" s="1"/>
  <c r="AE271" i="35"/>
  <c r="B312" i="35"/>
  <c r="T267" i="35"/>
  <c r="AD267" i="35"/>
  <c r="W190" i="35"/>
  <c r="AF190" i="35"/>
  <c r="W233" i="35"/>
  <c r="AF233" i="35"/>
  <c r="N313" i="35"/>
  <c r="AE313" i="35" s="1"/>
  <c r="AD313" i="35"/>
  <c r="T266" i="35"/>
  <c r="AD266" i="35"/>
  <c r="AE287" i="35"/>
  <c r="V198" i="35"/>
  <c r="W198" i="35" s="1"/>
  <c r="N284" i="35"/>
  <c r="AE284" i="35" s="1"/>
  <c r="AD284" i="35"/>
  <c r="W222" i="35"/>
  <c r="AF222" i="35"/>
  <c r="V140" i="35"/>
  <c r="W140" i="35" s="1"/>
  <c r="AE234" i="35"/>
  <c r="B286" i="35"/>
  <c r="V78" i="35"/>
  <c r="W78" i="35" s="1"/>
  <c r="AE190" i="35"/>
  <c r="T275" i="35"/>
  <c r="N275" i="35"/>
  <c r="V144" i="35"/>
  <c r="V146" i="35"/>
  <c r="B265" i="35"/>
  <c r="C265" i="35" s="1"/>
  <c r="N267" i="35"/>
  <c r="B295" i="35"/>
  <c r="C295" i="35" s="1"/>
  <c r="T283" i="35"/>
  <c r="W123" i="35"/>
  <c r="W122" i="35"/>
  <c r="N48" i="36"/>
  <c r="T48" i="36"/>
  <c r="N266" i="35"/>
  <c r="AE266" i="35" s="1"/>
  <c r="T200" i="35"/>
  <c r="T208" i="35"/>
  <c r="N208" i="35"/>
  <c r="AE208" i="35" s="1"/>
  <c r="B211" i="35"/>
  <c r="C211" i="35" s="1"/>
  <c r="T284" i="35"/>
  <c r="T232" i="35"/>
  <c r="N158" i="35"/>
  <c r="T158" i="35"/>
  <c r="AF158" i="35" s="1"/>
  <c r="B238" i="35"/>
  <c r="C238" i="35" s="1"/>
  <c r="B199" i="35"/>
  <c r="C199" i="35" s="1"/>
  <c r="B157" i="35"/>
  <c r="B282" i="35"/>
  <c r="C282" i="35" s="1"/>
  <c r="E156" i="35"/>
  <c r="B107" i="35"/>
  <c r="B106" i="35"/>
  <c r="T264" i="35"/>
  <c r="T50" i="36"/>
  <c r="N50" i="36"/>
  <c r="N47" i="36"/>
  <c r="V18" i="36" s="1"/>
  <c r="W18" i="36" s="1"/>
  <c r="T47" i="36"/>
  <c r="V37" i="36"/>
  <c r="W37" i="36" s="1"/>
  <c r="V38" i="36"/>
  <c r="W38" i="36" s="1"/>
  <c r="C54" i="36"/>
  <c r="T55" i="36"/>
  <c r="W55" i="36" s="1"/>
  <c r="N55" i="36"/>
  <c r="T272" i="35"/>
  <c r="V4" i="37"/>
  <c r="W4" i="37" s="1"/>
  <c r="B16" i="37"/>
  <c r="B63" i="36"/>
  <c r="V23" i="36"/>
  <c r="W23" i="36" s="1"/>
  <c r="T313" i="35"/>
  <c r="V24" i="36"/>
  <c r="W24" i="36" s="1"/>
  <c r="V26" i="36"/>
  <c r="W26" i="36" s="1"/>
  <c r="B17" i="37"/>
  <c r="V5" i="37"/>
  <c r="W5" i="37" s="1"/>
  <c r="T14" i="37"/>
  <c r="W14" i="37" s="1"/>
  <c r="N14" i="37"/>
  <c r="V6" i="37" s="1"/>
  <c r="W6" i="37" s="1"/>
  <c r="V35" i="36"/>
  <c r="W35" i="36" s="1"/>
  <c r="B72" i="36"/>
  <c r="C15" i="37"/>
  <c r="F15" i="37"/>
  <c r="J14" i="20"/>
  <c r="K3" i="20"/>
  <c r="K17" i="20"/>
  <c r="K4" i="20"/>
  <c r="K5" i="20"/>
  <c r="K6" i="20"/>
  <c r="K7" i="20"/>
  <c r="K8" i="20"/>
  <c r="K9" i="20"/>
  <c r="K16" i="20"/>
  <c r="K18" i="20"/>
  <c r="K19" i="20"/>
  <c r="K10" i="20"/>
  <c r="K11" i="20"/>
  <c r="K12" i="20"/>
  <c r="K13" i="20"/>
  <c r="K2" i="20"/>
  <c r="AF245" i="35" l="1"/>
  <c r="N291" i="35"/>
  <c r="AE291" i="35" s="1"/>
  <c r="AD291" i="35"/>
  <c r="AE204" i="35"/>
  <c r="AE245" i="35"/>
  <c r="V141" i="35"/>
  <c r="W141" i="35" s="1"/>
  <c r="W204" i="35"/>
  <c r="N280" i="35"/>
  <c r="V173" i="35" s="1"/>
  <c r="N285" i="35"/>
  <c r="AE285" i="35" s="1"/>
  <c r="AD285" i="35"/>
  <c r="W291" i="35"/>
  <c r="AF291" i="35"/>
  <c r="W287" i="35"/>
  <c r="AF287" i="35"/>
  <c r="AF285" i="35"/>
  <c r="W285" i="35"/>
  <c r="C312" i="35"/>
  <c r="T312" i="35" s="1"/>
  <c r="AF271" i="35"/>
  <c r="W271" i="35"/>
  <c r="T280" i="35"/>
  <c r="C286" i="35"/>
  <c r="T286" i="35" s="1"/>
  <c r="AE200" i="35"/>
  <c r="B258" i="35"/>
  <c r="C258" i="35" s="1"/>
  <c r="V91" i="35"/>
  <c r="W91" i="35" s="1"/>
  <c r="B259" i="35"/>
  <c r="AE275" i="35"/>
  <c r="V163" i="35"/>
  <c r="V90" i="35"/>
  <c r="W90" i="35" s="1"/>
  <c r="W208" i="35"/>
  <c r="AF208" i="35"/>
  <c r="W266" i="35"/>
  <c r="AF266" i="35"/>
  <c r="AE267" i="35"/>
  <c r="N238" i="35"/>
  <c r="AD238" i="35"/>
  <c r="N296" i="35"/>
  <c r="AE296" i="35" s="1"/>
  <c r="AD296" i="35"/>
  <c r="W175" i="35"/>
  <c r="N282" i="35"/>
  <c r="AE282" i="35" s="1"/>
  <c r="AD282" i="35"/>
  <c r="W267" i="35"/>
  <c r="AF267" i="35"/>
  <c r="W313" i="35"/>
  <c r="AF313" i="35"/>
  <c r="V132" i="35"/>
  <c r="W132" i="35" s="1"/>
  <c r="AE232" i="35"/>
  <c r="W264" i="35"/>
  <c r="AF264" i="35"/>
  <c r="W232" i="35"/>
  <c r="AF232" i="35"/>
  <c r="V155" i="35"/>
  <c r="W200" i="35"/>
  <c r="AF200" i="35"/>
  <c r="W272" i="35"/>
  <c r="AF272" i="35"/>
  <c r="B281" i="35"/>
  <c r="N274" i="35"/>
  <c r="AD274" i="35"/>
  <c r="V164" i="35"/>
  <c r="V43" i="35"/>
  <c r="W43" i="35" s="1"/>
  <c r="AE158" i="35"/>
  <c r="B304" i="35"/>
  <c r="C304" i="35" s="1"/>
  <c r="W284" i="35"/>
  <c r="AF284" i="35"/>
  <c r="W283" i="35"/>
  <c r="AF283" i="35"/>
  <c r="V165" i="35"/>
  <c r="W275" i="35"/>
  <c r="AF275" i="35"/>
  <c r="N199" i="35"/>
  <c r="AD199" i="35"/>
  <c r="N211" i="35"/>
  <c r="AE211" i="35" s="1"/>
  <c r="AD211" i="35"/>
  <c r="N295" i="35"/>
  <c r="AE295" i="35" s="1"/>
  <c r="AD295" i="35"/>
  <c r="V168" i="35"/>
  <c r="W168" i="35" s="1"/>
  <c r="B305" i="35"/>
  <c r="C305" i="35" s="1"/>
  <c r="V154" i="35"/>
  <c r="T295" i="35"/>
  <c r="T274" i="35"/>
  <c r="V21" i="36"/>
  <c r="W21" i="36" s="1"/>
  <c r="V20" i="36"/>
  <c r="W20" i="36" s="1"/>
  <c r="V19" i="36"/>
  <c r="W19" i="36" s="1"/>
  <c r="V99" i="35"/>
  <c r="W99" i="35" s="1"/>
  <c r="V98" i="35"/>
  <c r="W98" i="35" s="1"/>
  <c r="J15" i="20"/>
  <c r="T211" i="35"/>
  <c r="AD260" i="35"/>
  <c r="B125" i="35"/>
  <c r="B127" i="35"/>
  <c r="B126" i="35"/>
  <c r="B261" i="35"/>
  <c r="C261" i="35" s="1"/>
  <c r="T199" i="35"/>
  <c r="B103" i="35"/>
  <c r="B102" i="35"/>
  <c r="B226" i="35"/>
  <c r="C226" i="35" s="1"/>
  <c r="B105" i="35"/>
  <c r="T156" i="35"/>
  <c r="AF156" i="35" s="1"/>
  <c r="N156" i="35"/>
  <c r="B56" i="36"/>
  <c r="B57" i="36"/>
  <c r="B61" i="36"/>
  <c r="V27" i="36"/>
  <c r="W27" i="36" s="1"/>
  <c r="T15" i="37"/>
  <c r="W15" i="37" s="1"/>
  <c r="N15" i="37"/>
  <c r="V7" i="37" s="1"/>
  <c r="W7" i="37" s="1"/>
  <c r="N54" i="36"/>
  <c r="T54" i="36"/>
  <c r="C63" i="36"/>
  <c r="T238" i="35"/>
  <c r="C72" i="36"/>
  <c r="F16" i="37"/>
  <c r="C16" i="37"/>
  <c r="C17" i="37"/>
  <c r="F17" i="37"/>
  <c r="T282" i="35"/>
  <c r="T296" i="35"/>
  <c r="AF296" i="35" s="1"/>
  <c r="B67" i="36"/>
  <c r="B68" i="36"/>
  <c r="B69" i="36"/>
  <c r="V34" i="36"/>
  <c r="W34" i="36" s="1"/>
  <c r="W41" i="35" l="1"/>
  <c r="V33" i="35"/>
  <c r="V32" i="35"/>
  <c r="AE274" i="35"/>
  <c r="V170" i="35"/>
  <c r="AE280" i="35"/>
  <c r="N286" i="35"/>
  <c r="AE286" i="35" s="1"/>
  <c r="N312" i="35"/>
  <c r="AE312" i="35" s="1"/>
  <c r="AD312" i="35"/>
  <c r="AF286" i="35"/>
  <c r="W286" i="35"/>
  <c r="W312" i="35"/>
  <c r="AF312" i="35"/>
  <c r="AD286" i="35"/>
  <c r="AF280" i="35"/>
  <c r="W280" i="35"/>
  <c r="C281" i="35"/>
  <c r="T281" i="35" s="1"/>
  <c r="C259" i="35"/>
  <c r="AD259" i="35" s="1"/>
  <c r="V161" i="35"/>
  <c r="W161" i="35" s="1"/>
  <c r="AE199" i="35"/>
  <c r="B247" i="35"/>
  <c r="V84" i="35"/>
  <c r="W84" i="35" s="1"/>
  <c r="AE156" i="35"/>
  <c r="B254" i="35"/>
  <c r="V166" i="35"/>
  <c r="V105" i="35"/>
  <c r="W105" i="35" s="1"/>
  <c r="B253" i="35"/>
  <c r="N304" i="35"/>
  <c r="AE304" i="35" s="1"/>
  <c r="AD304" i="35"/>
  <c r="N226" i="35"/>
  <c r="AE226" i="35" s="1"/>
  <c r="AD226" i="35"/>
  <c r="W282" i="35"/>
  <c r="AF282" i="35"/>
  <c r="W211" i="35"/>
  <c r="AF211" i="35"/>
  <c r="N195" i="35"/>
  <c r="AD195" i="35"/>
  <c r="N193" i="35"/>
  <c r="V81" i="35" s="1"/>
  <c r="W81" i="35" s="1"/>
  <c r="AD193" i="35"/>
  <c r="N261" i="35"/>
  <c r="V151" i="35" s="1"/>
  <c r="W151" i="35" s="1"/>
  <c r="AD261" i="35"/>
  <c r="N305" i="35"/>
  <c r="AE305" i="35" s="1"/>
  <c r="AD305" i="35"/>
  <c r="W199" i="35"/>
  <c r="AF199" i="35"/>
  <c r="W238" i="35"/>
  <c r="AF238" i="35"/>
  <c r="W274" i="35"/>
  <c r="AF274" i="35"/>
  <c r="W295" i="35"/>
  <c r="AF295" i="35"/>
  <c r="V133" i="35"/>
  <c r="W133" i="35" s="1"/>
  <c r="AE238" i="35"/>
  <c r="B289" i="35"/>
  <c r="C289" i="35" s="1"/>
  <c r="T305" i="35"/>
  <c r="B221" i="35"/>
  <c r="C221" i="35" s="1"/>
  <c r="W37" i="35"/>
  <c r="W42" i="35"/>
  <c r="W38" i="35"/>
  <c r="W120" i="35"/>
  <c r="B220" i="35"/>
  <c r="C220" i="35" s="1"/>
  <c r="W77" i="35"/>
  <c r="W76" i="35"/>
  <c r="W74" i="35"/>
  <c r="T260" i="35"/>
  <c r="N260" i="35"/>
  <c r="AE260" i="35" s="1"/>
  <c r="T261" i="35"/>
  <c r="T193" i="35"/>
  <c r="T226" i="35"/>
  <c r="V2" i="35"/>
  <c r="W2" i="35" s="1"/>
  <c r="T195" i="35"/>
  <c r="B71" i="35"/>
  <c r="W6" i="35"/>
  <c r="W296" i="35"/>
  <c r="W19" i="35"/>
  <c r="B123" i="35"/>
  <c r="B124" i="35"/>
  <c r="W46" i="35"/>
  <c r="B246" i="35"/>
  <c r="C246" i="35" s="1"/>
  <c r="B94" i="35"/>
  <c r="B79" i="35"/>
  <c r="T304" i="35"/>
  <c r="C57" i="36"/>
  <c r="C61" i="36"/>
  <c r="C56" i="36"/>
  <c r="T72" i="36"/>
  <c r="W72" i="36" s="1"/>
  <c r="N72" i="36"/>
  <c r="C69" i="36"/>
  <c r="C68" i="36"/>
  <c r="C67" i="36"/>
  <c r="T17" i="37"/>
  <c r="W17" i="37" s="1"/>
  <c r="N17" i="37"/>
  <c r="V9" i="37" s="1"/>
  <c r="W9" i="37" s="1"/>
  <c r="N63" i="36"/>
  <c r="T63" i="36"/>
  <c r="W63" i="36" s="1"/>
  <c r="B64" i="36"/>
  <c r="B65" i="36"/>
  <c r="V30" i="36"/>
  <c r="W30" i="36" s="1"/>
  <c r="T16" i="37"/>
  <c r="W16" i="37" s="1"/>
  <c r="N16" i="37"/>
  <c r="V8" i="37" s="1"/>
  <c r="W8" i="37" s="1"/>
  <c r="T259" i="35" l="1"/>
  <c r="W259" i="35" s="1"/>
  <c r="AD281" i="35"/>
  <c r="N259" i="35"/>
  <c r="AE259" i="35" s="1"/>
  <c r="N281" i="35"/>
  <c r="W170" i="35" s="1"/>
  <c r="W281" i="35"/>
  <c r="AF281" i="35"/>
  <c r="C253" i="35"/>
  <c r="T253" i="35" s="1"/>
  <c r="C254" i="35"/>
  <c r="AD254" i="35" s="1"/>
  <c r="C247" i="35"/>
  <c r="N247" i="35" s="1"/>
  <c r="V147" i="35" s="1"/>
  <c r="V157" i="35"/>
  <c r="W157" i="35" s="1"/>
  <c r="B300" i="35"/>
  <c r="AE195" i="35"/>
  <c r="B252" i="35"/>
  <c r="V79" i="35"/>
  <c r="W79" i="35" s="1"/>
  <c r="V83" i="35"/>
  <c r="W83" i="35" s="1"/>
  <c r="V82" i="35"/>
  <c r="W82" i="35" s="1"/>
  <c r="N289" i="35"/>
  <c r="AE289" i="35" s="1"/>
  <c r="AD289" i="35"/>
  <c r="W195" i="35"/>
  <c r="AF195" i="35"/>
  <c r="AE261" i="35"/>
  <c r="W304" i="35"/>
  <c r="AF304" i="35"/>
  <c r="N246" i="35"/>
  <c r="B290" i="35" s="1"/>
  <c r="C290" i="35" s="1"/>
  <c r="AD246" i="35"/>
  <c r="B244" i="35"/>
  <c r="C244" i="35" s="1"/>
  <c r="AE193" i="35"/>
  <c r="W305" i="35"/>
  <c r="AF305" i="35"/>
  <c r="W193" i="35"/>
  <c r="AF193" i="35"/>
  <c r="N220" i="35"/>
  <c r="AE220" i="35" s="1"/>
  <c r="AD220" i="35"/>
  <c r="W226" i="35"/>
  <c r="AF226" i="35"/>
  <c r="W261" i="35"/>
  <c r="AF261" i="35"/>
  <c r="N221" i="35"/>
  <c r="AE221" i="35" s="1"/>
  <c r="AD221" i="35"/>
  <c r="W260" i="35"/>
  <c r="AF260" i="35"/>
  <c r="V152" i="35"/>
  <c r="V150" i="35"/>
  <c r="T221" i="35"/>
  <c r="T220" i="35"/>
  <c r="W25" i="35"/>
  <c r="T246" i="35"/>
  <c r="B273" i="35"/>
  <c r="C273" i="35" s="1"/>
  <c r="B298" i="35"/>
  <c r="B141" i="35"/>
  <c r="T56" i="36"/>
  <c r="W56" i="36" s="1"/>
  <c r="N56" i="36"/>
  <c r="N61" i="36"/>
  <c r="B73" i="36" s="1"/>
  <c r="T61" i="36"/>
  <c r="W61" i="36" s="1"/>
  <c r="T57" i="36"/>
  <c r="W57" i="36" s="1"/>
  <c r="N57" i="36"/>
  <c r="V40" i="36"/>
  <c r="W40" i="36" s="1"/>
  <c r="B75" i="36"/>
  <c r="B74" i="36"/>
  <c r="T67" i="36"/>
  <c r="W67" i="36" s="1"/>
  <c r="N67" i="36"/>
  <c r="V44" i="36" s="1"/>
  <c r="W44" i="36" s="1"/>
  <c r="C65" i="36"/>
  <c r="C64" i="36"/>
  <c r="T68" i="36"/>
  <c r="W68" i="36" s="1"/>
  <c r="N68" i="36"/>
  <c r="V45" i="36" s="1"/>
  <c r="W45" i="36" s="1"/>
  <c r="T289" i="35"/>
  <c r="T69" i="36"/>
  <c r="W69" i="36" s="1"/>
  <c r="N69" i="36"/>
  <c r="AE281" i="35" l="1"/>
  <c r="AF259" i="35"/>
  <c r="T254" i="35"/>
  <c r="AF254" i="35" s="1"/>
  <c r="N254" i="35"/>
  <c r="AE254" i="35" s="1"/>
  <c r="AD247" i="35"/>
  <c r="N253" i="35"/>
  <c r="AE253" i="35" s="1"/>
  <c r="AF253" i="35"/>
  <c r="W253" i="35"/>
  <c r="C298" i="35"/>
  <c r="AD298" i="35" s="1"/>
  <c r="AD253" i="35"/>
  <c r="T247" i="35"/>
  <c r="W247" i="35" s="1"/>
  <c r="C300" i="35"/>
  <c r="T300" i="35" s="1"/>
  <c r="AF300" i="35" s="1"/>
  <c r="C252" i="35"/>
  <c r="T252" i="35" s="1"/>
  <c r="W252" i="35" s="1"/>
  <c r="AE247" i="35"/>
  <c r="V108" i="35"/>
  <c r="W108" i="35" s="1"/>
  <c r="N273" i="35"/>
  <c r="AE273" i="35" s="1"/>
  <c r="AD273" i="35"/>
  <c r="N290" i="35"/>
  <c r="AE290" i="35" s="1"/>
  <c r="AD290" i="35"/>
  <c r="W246" i="35"/>
  <c r="AF246" i="35"/>
  <c r="W221" i="35"/>
  <c r="AF221" i="35"/>
  <c r="AD244" i="35"/>
  <c r="T244" i="35"/>
  <c r="N244" i="35"/>
  <c r="AE244" i="35" s="1"/>
  <c r="W289" i="35"/>
  <c r="AF289" i="35"/>
  <c r="W220" i="35"/>
  <c r="AF220" i="35"/>
  <c r="B263" i="35"/>
  <c r="V109" i="35"/>
  <c r="W109" i="35" s="1"/>
  <c r="V137" i="35"/>
  <c r="W137" i="35" s="1"/>
  <c r="AE246" i="35"/>
  <c r="W164" i="35"/>
  <c r="W165" i="35"/>
  <c r="W163" i="35"/>
  <c r="V33" i="36"/>
  <c r="W33" i="36" s="1"/>
  <c r="V32" i="36"/>
  <c r="W32" i="36" s="1"/>
  <c r="T290" i="35"/>
  <c r="W33" i="35"/>
  <c r="T273" i="35"/>
  <c r="W30" i="35"/>
  <c r="B112" i="35"/>
  <c r="B71" i="36"/>
  <c r="B70" i="36"/>
  <c r="V31" i="36"/>
  <c r="W31" i="36" s="1"/>
  <c r="C73" i="36"/>
  <c r="C74" i="36"/>
  <c r="C75" i="36"/>
  <c r="T64" i="36"/>
  <c r="W64" i="36" s="1"/>
  <c r="N64" i="36"/>
  <c r="T65" i="36"/>
  <c r="W65" i="36" s="1"/>
  <c r="N65" i="36"/>
  <c r="S18" i="30"/>
  <c r="S20" i="30"/>
  <c r="S21" i="30"/>
  <c r="S22" i="30"/>
  <c r="S23" i="30"/>
  <c r="S24" i="30"/>
  <c r="S25" i="30"/>
  <c r="S26" i="30"/>
  <c r="S27" i="30"/>
  <c r="S28" i="30"/>
  <c r="S29" i="30"/>
  <c r="S30" i="30"/>
  <c r="S31" i="30"/>
  <c r="S32" i="30"/>
  <c r="S33" i="30"/>
  <c r="S34" i="30"/>
  <c r="S17" i="30"/>
  <c r="S16" i="30"/>
  <c r="W254" i="35" l="1"/>
  <c r="N298" i="35"/>
  <c r="AE298" i="35" s="1"/>
  <c r="AF247" i="35"/>
  <c r="AD300" i="35"/>
  <c r="N300" i="35"/>
  <c r="AE300" i="35" s="1"/>
  <c r="T298" i="35"/>
  <c r="W298" i="35" s="1"/>
  <c r="B302" i="35"/>
  <c r="C302" i="35" s="1"/>
  <c r="AD302" i="35" s="1"/>
  <c r="C263" i="35"/>
  <c r="T263" i="35" s="1"/>
  <c r="AD252" i="35"/>
  <c r="N252" i="35"/>
  <c r="AE252" i="35" s="1"/>
  <c r="AF252" i="35"/>
  <c r="W300" i="35"/>
  <c r="W244" i="35"/>
  <c r="AF244" i="35"/>
  <c r="W273" i="35"/>
  <c r="AF273" i="35"/>
  <c r="W290" i="35"/>
  <c r="AF290" i="35"/>
  <c r="N73" i="36"/>
  <c r="V50" i="36" s="1"/>
  <c r="W50" i="36" s="1"/>
  <c r="T73" i="36"/>
  <c r="W73" i="36" s="1"/>
  <c r="C70" i="36"/>
  <c r="C71" i="36"/>
  <c r="V41" i="36"/>
  <c r="W41" i="36" s="1"/>
  <c r="V43" i="36"/>
  <c r="W43" i="36" s="1"/>
  <c r="T74" i="36"/>
  <c r="W74" i="36" s="1"/>
  <c r="N74" i="36"/>
  <c r="V51" i="36" s="1"/>
  <c r="W51" i="36" s="1"/>
  <c r="B77" i="36"/>
  <c r="V42" i="36"/>
  <c r="W42" i="36" s="1"/>
  <c r="T75" i="36"/>
  <c r="W75" i="36" s="1"/>
  <c r="N75" i="36"/>
  <c r="V52" i="36" s="1"/>
  <c r="W52" i="36" s="1"/>
  <c r="N14" i="30"/>
  <c r="N13" i="30"/>
  <c r="N12" i="30"/>
  <c r="N11" i="30"/>
  <c r="N10" i="30"/>
  <c r="N9" i="30"/>
  <c r="N8" i="30"/>
  <c r="N7" i="30"/>
  <c r="N6" i="30"/>
  <c r="N5" i="30"/>
  <c r="N4" i="30"/>
  <c r="N3" i="30"/>
  <c r="N2" i="30"/>
  <c r="T302" i="35" l="1"/>
  <c r="W302" i="35" s="1"/>
  <c r="AF298" i="35"/>
  <c r="N302" i="35"/>
  <c r="AE302" i="35" s="1"/>
  <c r="V149" i="35"/>
  <c r="W263" i="35"/>
  <c r="AF263" i="35"/>
  <c r="AD263" i="35"/>
  <c r="N263" i="35"/>
  <c r="B301" i="35" s="1"/>
  <c r="C301" i="35" s="1"/>
  <c r="N71" i="36"/>
  <c r="V48" i="36" s="1"/>
  <c r="T71" i="36"/>
  <c r="W71" i="36" s="1"/>
  <c r="N70" i="36"/>
  <c r="V47" i="36" s="1"/>
  <c r="T70" i="36"/>
  <c r="W70" i="36" s="1"/>
  <c r="C77" i="36"/>
  <c r="AF302" i="35" l="1"/>
  <c r="V162" i="35"/>
  <c r="W162" i="35" s="1"/>
  <c r="V156" i="35"/>
  <c r="AE263" i="35"/>
  <c r="N301" i="35"/>
  <c r="AE301" i="35" s="1"/>
  <c r="AD301" i="35"/>
  <c r="T301" i="35"/>
  <c r="W47" i="36"/>
  <c r="W46" i="36"/>
  <c r="T77" i="36"/>
  <c r="W77" i="36" s="1"/>
  <c r="N77" i="36"/>
  <c r="V54" i="36" s="1"/>
  <c r="W54" i="36" s="1"/>
  <c r="W301" i="35" l="1"/>
  <c r="AF301" i="35"/>
  <c r="M19" i="34"/>
  <c r="K19" i="34" s="1"/>
  <c r="N19" i="34"/>
  <c r="R19" i="34"/>
  <c r="S19" i="34"/>
  <c r="M18" i="34"/>
  <c r="K18" i="34" s="1"/>
  <c r="N18" i="34"/>
  <c r="R18" i="34"/>
  <c r="S18" i="34"/>
  <c r="F18" i="34" s="1"/>
  <c r="C17" i="34"/>
  <c r="M17" i="34"/>
  <c r="R17" i="34"/>
  <c r="C16" i="34"/>
  <c r="M16" i="34"/>
  <c r="B18" i="34" s="1"/>
  <c r="C18" i="34" s="1"/>
  <c r="N16" i="34"/>
  <c r="R16" i="34"/>
  <c r="S16" i="34"/>
  <c r="F16" i="34" s="1"/>
  <c r="C15" i="34"/>
  <c r="R15" i="34"/>
  <c r="R10" i="34"/>
  <c r="C5" i="34"/>
  <c r="N3" i="34"/>
  <c r="N5" i="34"/>
  <c r="N8" i="34"/>
  <c r="N14" i="34"/>
  <c r="N2" i="34"/>
  <c r="M5" i="34"/>
  <c r="K5" i="34" s="1"/>
  <c r="M8" i="34"/>
  <c r="M14" i="34"/>
  <c r="M2" i="34"/>
  <c r="K2" i="34" s="1"/>
  <c r="D13" i="34"/>
  <c r="D12" i="34"/>
  <c r="M12" i="34" s="1"/>
  <c r="D11" i="34"/>
  <c r="M10" i="34"/>
  <c r="K10" i="34" s="1"/>
  <c r="S9" i="34"/>
  <c r="S8" i="34"/>
  <c r="M7" i="34"/>
  <c r="K7" i="34" s="1"/>
  <c r="M6" i="34"/>
  <c r="R14" i="34"/>
  <c r="S14" i="34"/>
  <c r="C14" i="34"/>
  <c r="R13" i="34"/>
  <c r="C13" i="34"/>
  <c r="R12" i="34"/>
  <c r="C12" i="34"/>
  <c r="R11" i="34"/>
  <c r="C11" i="34"/>
  <c r="C10" i="34"/>
  <c r="C9" i="34"/>
  <c r="C8" i="34"/>
  <c r="C7" i="34"/>
  <c r="C6" i="34"/>
  <c r="C4" i="34"/>
  <c r="C3" i="34"/>
  <c r="S2" i="34"/>
  <c r="F2" i="34" s="1"/>
  <c r="C2" i="34"/>
  <c r="S12" i="34" l="1"/>
  <c r="N11" i="34"/>
  <c r="M11" i="34"/>
  <c r="K11" i="34" s="1"/>
  <c r="S13" i="34"/>
  <c r="N13" i="34"/>
  <c r="M13" i="34"/>
  <c r="K17" i="34"/>
  <c r="B19" i="34"/>
  <c r="C19" i="34" s="1"/>
  <c r="K16" i="34"/>
  <c r="V18" i="34"/>
  <c r="V16" i="34"/>
  <c r="F19" i="34"/>
  <c r="V19" i="34"/>
  <c r="S17" i="34"/>
  <c r="N17" i="34"/>
  <c r="S15" i="34"/>
  <c r="F15" i="34" s="1"/>
  <c r="N15" i="34"/>
  <c r="M15" i="34"/>
  <c r="K15" i="34" s="1"/>
  <c r="N12" i="34"/>
  <c r="N10" i="34"/>
  <c r="S10" i="34"/>
  <c r="V10" i="34" s="1"/>
  <c r="N9" i="34"/>
  <c r="M9" i="34"/>
  <c r="N7" i="34"/>
  <c r="S7" i="34"/>
  <c r="F7" i="34" s="1"/>
  <c r="S6" i="34"/>
  <c r="N6" i="34"/>
  <c r="M4" i="34"/>
  <c r="K4" i="34" s="1"/>
  <c r="N4" i="34"/>
  <c r="S4" i="34"/>
  <c r="F4" i="34" s="1"/>
  <c r="M3" i="34"/>
  <c r="K3" i="34" s="1"/>
  <c r="S3" i="34"/>
  <c r="F3" i="34" s="1"/>
  <c r="S5" i="34"/>
  <c r="F5" i="34" s="1"/>
  <c r="K6" i="34"/>
  <c r="V9" i="34"/>
  <c r="V2" i="34"/>
  <c r="V14" i="34"/>
  <c r="F14" i="34"/>
  <c r="F9" i="34"/>
  <c r="S11" i="34"/>
  <c r="F11" i="34" s="1"/>
  <c r="F8" i="34"/>
  <c r="V5" i="34"/>
  <c r="V12" i="34" l="1"/>
  <c r="F12" i="34"/>
  <c r="F13" i="34"/>
  <c r="V13" i="34"/>
  <c r="F6" i="34"/>
  <c r="U6" i="34"/>
  <c r="V6" i="34" s="1"/>
  <c r="V17" i="34"/>
  <c r="F17" i="34"/>
  <c r="V15" i="34"/>
  <c r="F10" i="34"/>
  <c r="V8" i="34"/>
  <c r="K14" i="34"/>
  <c r="K12" i="34"/>
  <c r="V3" i="34"/>
  <c r="K8" i="34"/>
  <c r="V11" i="34"/>
  <c r="K13" i="34"/>
  <c r="V7" i="34"/>
  <c r="V4" i="34"/>
  <c r="K9" i="34"/>
  <c r="Z6" i="17" l="1"/>
  <c r="Z5" i="17"/>
  <c r="V6" i="17"/>
  <c r="V5" i="17"/>
  <c r="V7" i="17" s="1"/>
  <c r="AB5" i="17" l="1"/>
  <c r="Z7" i="17"/>
  <c r="F72" i="27" l="1"/>
  <c r="C72" i="27"/>
  <c r="K48" i="27"/>
  <c r="K52" i="27"/>
  <c r="F65" i="27"/>
  <c r="F64" i="27"/>
  <c r="C65" i="27"/>
  <c r="C64" i="27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F16" i="24"/>
  <c r="F15" i="24"/>
  <c r="F14" i="24"/>
  <c r="F13" i="24"/>
  <c r="F12" i="24"/>
  <c r="F11" i="24"/>
  <c r="F10" i="24"/>
  <c r="F9" i="24"/>
  <c r="F8" i="24"/>
  <c r="F7" i="24"/>
  <c r="F6" i="24"/>
  <c r="F5" i="24"/>
  <c r="F4" i="24"/>
  <c r="F3" i="24"/>
  <c r="H2" i="24"/>
  <c r="F2" i="24"/>
  <c r="H17" i="15" l="1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2" i="15"/>
  <c r="F34" i="30" l="1"/>
  <c r="F33" i="30"/>
  <c r="F32" i="30"/>
  <c r="F31" i="30"/>
  <c r="F30" i="30"/>
  <c r="F29" i="30"/>
  <c r="F28" i="30"/>
  <c r="F27" i="30"/>
  <c r="F26" i="30"/>
  <c r="F25" i="30"/>
  <c r="F24" i="30"/>
  <c r="F23" i="30"/>
  <c r="F21" i="30"/>
  <c r="F22" i="30"/>
  <c r="F20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F6" i="30"/>
  <c r="F5" i="30"/>
  <c r="F4" i="30"/>
  <c r="F3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1" i="30"/>
  <c r="H22" i="30"/>
  <c r="H20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H4" i="30"/>
  <c r="H3" i="30"/>
  <c r="F2" i="30"/>
  <c r="H2" i="30"/>
  <c r="H151" i="33" l="1"/>
  <c r="I151" i="33"/>
  <c r="D14" i="20" l="1"/>
  <c r="N14" i="20" s="1"/>
  <c r="O14" i="20" s="1"/>
  <c r="D15" i="20" l="1"/>
  <c r="N15" i="20" s="1"/>
  <c r="O15" i="20" s="1"/>
  <c r="K14" i="20"/>
  <c r="K15" i="20" l="1"/>
  <c r="P8" i="15"/>
  <c r="R17" i="15"/>
  <c r="P10" i="15"/>
  <c r="P13" i="15"/>
  <c r="P6" i="15"/>
  <c r="R2" i="15"/>
  <c r="R2" i="24"/>
  <c r="R14" i="15"/>
  <c r="R6" i="15"/>
  <c r="R5" i="15"/>
  <c r="P2" i="15"/>
  <c r="P14" i="15"/>
  <c r="P15" i="15"/>
  <c r="R16" i="15"/>
  <c r="P17" i="15"/>
  <c r="R13" i="15"/>
  <c r="R15" i="15"/>
  <c r="P5" i="15"/>
  <c r="R11" i="15"/>
  <c r="P3" i="15"/>
  <c r="R8" i="15"/>
  <c r="R10" i="15"/>
  <c r="R4" i="15"/>
  <c r="P12" i="15"/>
  <c r="R9" i="15"/>
  <c r="R7" i="15"/>
  <c r="P7" i="15"/>
  <c r="P4" i="15"/>
  <c r="R3" i="15"/>
  <c r="P11" i="15"/>
  <c r="R12" i="15"/>
  <c r="P16" i="15"/>
  <c r="P9" i="15"/>
  <c r="P2" i="24"/>
  <c r="T2" i="30" l="1"/>
  <c r="V2" i="30" s="1"/>
  <c r="Q2" i="30"/>
  <c r="O2" i="30"/>
  <c r="P2" i="30" l="1"/>
  <c r="R2" i="30"/>
  <c r="E2" i="30"/>
  <c r="W2" i="30"/>
  <c r="Q4" i="30" l="1"/>
  <c r="Q5" i="30"/>
  <c r="Q6" i="30"/>
  <c r="Q7" i="30"/>
  <c r="Q8" i="30"/>
  <c r="Q9" i="30"/>
  <c r="Q10" i="30"/>
  <c r="Q11" i="30"/>
  <c r="Q12" i="30"/>
  <c r="Y12" i="30" s="1"/>
  <c r="Q13" i="30"/>
  <c r="Y13" i="30" s="1"/>
  <c r="Q14" i="30"/>
  <c r="Y14" i="30" s="1"/>
  <c r="Q15" i="30"/>
  <c r="Y15" i="30" s="1"/>
  <c r="Q16" i="30"/>
  <c r="Y16" i="30" s="1"/>
  <c r="Y17" i="30"/>
  <c r="Y18" i="30"/>
  <c r="Y20" i="30"/>
  <c r="Y22" i="30"/>
  <c r="Y21" i="30"/>
  <c r="Y23" i="30"/>
  <c r="Q24" i="30"/>
  <c r="Q25" i="30"/>
  <c r="Y25" i="30" s="1"/>
  <c r="Q26" i="30"/>
  <c r="Y26" i="30" s="1"/>
  <c r="Q27" i="30"/>
  <c r="Y27" i="30" s="1"/>
  <c r="Q28" i="30"/>
  <c r="Y28" i="30" s="1"/>
  <c r="Q29" i="30"/>
  <c r="Y29" i="30" s="1"/>
  <c r="Q30" i="30"/>
  <c r="Y30" i="30" s="1"/>
  <c r="Q31" i="30"/>
  <c r="Y31" i="30" s="1"/>
  <c r="Q32" i="30"/>
  <c r="Y32" i="30" s="1"/>
  <c r="Q33" i="30"/>
  <c r="Y33" i="30" s="1"/>
  <c r="Q34" i="30"/>
  <c r="Y34" i="30" s="1"/>
  <c r="Q3" i="30"/>
  <c r="C15" i="30"/>
  <c r="N15" i="30" s="1"/>
  <c r="O6" i="30"/>
  <c r="O7" i="30"/>
  <c r="O8" i="30"/>
  <c r="O9" i="30"/>
  <c r="O10" i="30"/>
  <c r="O11" i="30"/>
  <c r="O12" i="30"/>
  <c r="O14" i="30"/>
  <c r="O15" i="30"/>
  <c r="O5" i="30"/>
  <c r="O4" i="30"/>
  <c r="O3" i="30"/>
  <c r="Y24" i="30" l="1"/>
  <c r="P24" i="30"/>
  <c r="P13" i="30"/>
  <c r="R13" i="30"/>
  <c r="P12" i="30"/>
  <c r="R12" i="30"/>
  <c r="P27" i="30"/>
  <c r="R27" i="30"/>
  <c r="P10" i="30"/>
  <c r="R10" i="30"/>
  <c r="P28" i="30"/>
  <c r="R28" i="30"/>
  <c r="P3" i="30"/>
  <c r="R3" i="30"/>
  <c r="R24" i="30"/>
  <c r="P9" i="30"/>
  <c r="R9" i="30"/>
  <c r="P14" i="30"/>
  <c r="R14" i="30"/>
  <c r="P15" i="30"/>
  <c r="R15" i="30"/>
  <c r="P31" i="30"/>
  <c r="R31" i="30"/>
  <c r="P4" i="30"/>
  <c r="R4" i="30"/>
  <c r="P25" i="30"/>
  <c r="R25" i="30"/>
  <c r="P11" i="30"/>
  <c r="R11" i="30"/>
  <c r="P21" i="30"/>
  <c r="R21" i="30"/>
  <c r="P32" i="30"/>
  <c r="R32" i="30"/>
  <c r="P20" i="30"/>
  <c r="R20" i="30"/>
  <c r="P7" i="30"/>
  <c r="R7" i="30"/>
  <c r="R30" i="30"/>
  <c r="P30" i="30"/>
  <c r="R18" i="30"/>
  <c r="P18" i="30"/>
  <c r="R6" i="30"/>
  <c r="P6" i="30"/>
  <c r="P16" i="30"/>
  <c r="R16" i="30"/>
  <c r="R26" i="30"/>
  <c r="P26" i="30"/>
  <c r="P23" i="30"/>
  <c r="R23" i="30"/>
  <c r="P34" i="30"/>
  <c r="R34" i="30"/>
  <c r="P33" i="30"/>
  <c r="R33" i="30"/>
  <c r="P22" i="30"/>
  <c r="R22" i="30"/>
  <c r="P8" i="30"/>
  <c r="R8" i="30"/>
  <c r="P29" i="30"/>
  <c r="R29" i="30"/>
  <c r="P17" i="30"/>
  <c r="R17" i="30"/>
  <c r="P5" i="30"/>
  <c r="R5" i="30"/>
  <c r="T24" i="30"/>
  <c r="T21" i="30"/>
  <c r="V21" i="30" s="1"/>
  <c r="T22" i="30"/>
  <c r="V22" i="30" s="1"/>
  <c r="T20" i="30"/>
  <c r="V20" i="30" s="1"/>
  <c r="T18" i="30"/>
  <c r="T17" i="30"/>
  <c r="V17" i="30" s="1"/>
  <c r="T16" i="30"/>
  <c r="V16" i="30" s="1"/>
  <c r="T15" i="30"/>
  <c r="V15" i="30" s="1"/>
  <c r="T14" i="30"/>
  <c r="T13" i="30"/>
  <c r="V13" i="30" s="1"/>
  <c r="T11" i="30"/>
  <c r="V11" i="30" s="1"/>
  <c r="T10" i="30"/>
  <c r="V10" i="30" s="1"/>
  <c r="T9" i="30"/>
  <c r="T8" i="30"/>
  <c r="T7" i="30"/>
  <c r="V7" i="30" s="1"/>
  <c r="T6" i="30"/>
  <c r="T5" i="30"/>
  <c r="V5" i="30" s="1"/>
  <c r="T4" i="30"/>
  <c r="T3" i="30"/>
  <c r="D52" i="27"/>
  <c r="C52" i="27"/>
  <c r="N49" i="27"/>
  <c r="F49" i="27"/>
  <c r="C49" i="27"/>
  <c r="K37" i="27"/>
  <c r="K5" i="27"/>
  <c r="K4" i="27"/>
  <c r="D82" i="27"/>
  <c r="N82" i="27" s="1"/>
  <c r="C82" i="27"/>
  <c r="D81" i="27"/>
  <c r="N81" i="27" s="1"/>
  <c r="C81" i="27"/>
  <c r="D80" i="27"/>
  <c r="N80" i="27" s="1"/>
  <c r="C80" i="27"/>
  <c r="D79" i="27"/>
  <c r="C79" i="27"/>
  <c r="D78" i="27"/>
  <c r="C78" i="27"/>
  <c r="D77" i="27"/>
  <c r="C77" i="27"/>
  <c r="K32" i="27"/>
  <c r="K31" i="27"/>
  <c r="N68" i="27"/>
  <c r="N67" i="27"/>
  <c r="N66" i="27"/>
  <c r="F68" i="27"/>
  <c r="C68" i="27"/>
  <c r="F67" i="27"/>
  <c r="C67" i="27"/>
  <c r="F66" i="27"/>
  <c r="C66" i="27"/>
  <c r="K36" i="27"/>
  <c r="K53" i="27"/>
  <c r="K51" i="27"/>
  <c r="K47" i="27"/>
  <c r="K46" i="27"/>
  <c r="K45" i="27"/>
  <c r="K44" i="27"/>
  <c r="K29" i="27"/>
  <c r="K28" i="27"/>
  <c r="K27" i="27"/>
  <c r="K39" i="27"/>
  <c r="K38" i="27"/>
  <c r="K35" i="27"/>
  <c r="K33" i="27"/>
  <c r="K26" i="27"/>
  <c r="D37" i="27"/>
  <c r="N37" i="27" s="1"/>
  <c r="K25" i="27"/>
  <c r="K24" i="27"/>
  <c r="X14" i="30" l="1"/>
  <c r="V14" i="30"/>
  <c r="X24" i="30"/>
  <c r="V24" i="30"/>
  <c r="X18" i="30"/>
  <c r="V18" i="30"/>
  <c r="X15" i="30"/>
  <c r="E21" i="30"/>
  <c r="X21" i="30"/>
  <c r="E22" i="30"/>
  <c r="X22" i="30"/>
  <c r="E20" i="30"/>
  <c r="X20" i="30"/>
  <c r="E17" i="30"/>
  <c r="X17" i="30"/>
  <c r="E16" i="30"/>
  <c r="X16" i="30"/>
  <c r="W13" i="30"/>
  <c r="X13" i="30"/>
  <c r="F80" i="27"/>
  <c r="F82" i="27"/>
  <c r="K62" i="27"/>
  <c r="K61" i="27"/>
  <c r="K60" i="27"/>
  <c r="N78" i="27"/>
  <c r="K59" i="27"/>
  <c r="K58" i="27"/>
  <c r="N79" i="27"/>
  <c r="K57" i="27"/>
  <c r="F78" i="27"/>
  <c r="F79" i="27"/>
  <c r="F37" i="27"/>
  <c r="F81" i="27"/>
  <c r="N52" i="27"/>
  <c r="F52" i="27"/>
  <c r="E3" i="30"/>
  <c r="V3" i="30"/>
  <c r="E9" i="30"/>
  <c r="V9" i="30"/>
  <c r="W9" i="30" s="1"/>
  <c r="E15" i="30"/>
  <c r="E7" i="30"/>
  <c r="W7" i="30"/>
  <c r="E13" i="30"/>
  <c r="E4" i="30"/>
  <c r="V4" i="30"/>
  <c r="W4" i="30" s="1"/>
  <c r="E5" i="30"/>
  <c r="W5" i="30"/>
  <c r="V8" i="30"/>
  <c r="W8" i="30" s="1"/>
  <c r="E10" i="30"/>
  <c r="W10" i="30"/>
  <c r="E6" i="30"/>
  <c r="V6" i="30"/>
  <c r="W6" i="30" s="1"/>
  <c r="E8" i="30"/>
  <c r="E14" i="30"/>
  <c r="T12" i="30"/>
  <c r="X12" i="30" s="1"/>
  <c r="T23" i="30"/>
  <c r="V23" i="30" s="1"/>
  <c r="E24" i="30"/>
  <c r="E18" i="30"/>
  <c r="T26" i="30"/>
  <c r="V26" i="30" s="1"/>
  <c r="E11" i="30"/>
  <c r="W11" i="30"/>
  <c r="T27" i="30"/>
  <c r="V27" i="30" s="1"/>
  <c r="N77" i="27"/>
  <c r="F77" i="27"/>
  <c r="K23" i="27"/>
  <c r="K22" i="27"/>
  <c r="K21" i="27"/>
  <c r="K20" i="27"/>
  <c r="K19" i="27"/>
  <c r="K18" i="27"/>
  <c r="K17" i="27"/>
  <c r="C30" i="27"/>
  <c r="D30" i="27"/>
  <c r="F30" i="27" s="1"/>
  <c r="K16" i="27"/>
  <c r="C18" i="27"/>
  <c r="D18" i="27"/>
  <c r="N18" i="27" s="1"/>
  <c r="K15" i="27"/>
  <c r="K14" i="27"/>
  <c r="K12" i="27"/>
  <c r="K9" i="27"/>
  <c r="C11" i="27"/>
  <c r="D11" i="27"/>
  <c r="N11" i="27" s="1"/>
  <c r="K7" i="27"/>
  <c r="D36" i="27"/>
  <c r="K6" i="27"/>
  <c r="D26" i="27"/>
  <c r="F26" i="27" s="1"/>
  <c r="C7" i="27"/>
  <c r="D7" i="27"/>
  <c r="F7" i="27" s="1"/>
  <c r="K3" i="27"/>
  <c r="K2" i="27"/>
  <c r="D20" i="27"/>
  <c r="F20" i="27" s="1"/>
  <c r="D19" i="27"/>
  <c r="F19" i="27" s="1"/>
  <c r="G188" i="26"/>
  <c r="P188" i="26"/>
  <c r="W188" i="26"/>
  <c r="G183" i="26"/>
  <c r="P183" i="26"/>
  <c r="W183" i="26"/>
  <c r="G184" i="26"/>
  <c r="P184" i="26"/>
  <c r="W184" i="26"/>
  <c r="E23" i="30" l="1"/>
  <c r="X23" i="30"/>
  <c r="W26" i="30"/>
  <c r="X26" i="30"/>
  <c r="W27" i="30"/>
  <c r="X27" i="30"/>
  <c r="F18" i="27"/>
  <c r="W15" i="30"/>
  <c r="V12" i="30"/>
  <c r="W12" i="30" s="1"/>
  <c r="E26" i="30"/>
  <c r="E12" i="30"/>
  <c r="E27" i="30"/>
  <c r="W3" i="30"/>
  <c r="W18" i="30"/>
  <c r="W17" i="30"/>
  <c r="W14" i="30"/>
  <c r="T25" i="30"/>
  <c r="V25" i="30" s="1"/>
  <c r="F36" i="27"/>
  <c r="N36" i="27"/>
  <c r="N19" i="27"/>
  <c r="N30" i="27"/>
  <c r="N7" i="27"/>
  <c r="N20" i="27"/>
  <c r="N26" i="27"/>
  <c r="M11" i="27"/>
  <c r="K11" i="27" s="1"/>
  <c r="Q19" i="29"/>
  <c r="Q13" i="29"/>
  <c r="Q12" i="29"/>
  <c r="Q11" i="29"/>
  <c r="Q10" i="29"/>
  <c r="Q8" i="29"/>
  <c r="C8" i="29"/>
  <c r="R8" i="29" s="1"/>
  <c r="Q7" i="29"/>
  <c r="C7" i="29"/>
  <c r="Q6" i="29"/>
  <c r="C6" i="29"/>
  <c r="R5" i="29"/>
  <c r="E5" i="29" s="1"/>
  <c r="Q5" i="29"/>
  <c r="M5" i="29"/>
  <c r="J5" i="29" s="1"/>
  <c r="R4" i="29"/>
  <c r="E4" i="29" s="1"/>
  <c r="M4" i="29"/>
  <c r="J4" i="29" s="1"/>
  <c r="C3" i="29"/>
  <c r="R2" i="29"/>
  <c r="E2" i="29" s="1"/>
  <c r="M2" i="29"/>
  <c r="J2" i="29" s="1"/>
  <c r="W25" i="30" l="1"/>
  <c r="X25" i="30"/>
  <c r="R7" i="29"/>
  <c r="E7" i="29" s="1"/>
  <c r="T31" i="30"/>
  <c r="X31" i="30" s="1"/>
  <c r="M6" i="29"/>
  <c r="B9" i="29" s="1"/>
  <c r="C9" i="29" s="1"/>
  <c r="R9" i="29" s="1"/>
  <c r="R6" i="29"/>
  <c r="E6" i="29" s="1"/>
  <c r="R3" i="29"/>
  <c r="E3" i="29" s="1"/>
  <c r="E25" i="30"/>
  <c r="W16" i="30"/>
  <c r="E8" i="29"/>
  <c r="M8" i="29"/>
  <c r="B11" i="29" s="1"/>
  <c r="C11" i="29" s="1"/>
  <c r="M3" i="29"/>
  <c r="J3" i="29" s="1"/>
  <c r="M7" i="29"/>
  <c r="B10" i="29" s="1"/>
  <c r="C10" i="29" s="1"/>
  <c r="E9" i="29" l="1"/>
  <c r="T9" i="29"/>
  <c r="U9" i="29" s="1"/>
  <c r="M9" i="29"/>
  <c r="B12" i="29" s="1"/>
  <c r="C12" i="29" s="1"/>
  <c r="R10" i="29"/>
  <c r="T10" i="29" s="1"/>
  <c r="U10" i="29" s="1"/>
  <c r="E10" i="29"/>
  <c r="M10" i="29"/>
  <c r="B13" i="29" s="1"/>
  <c r="M11" i="29"/>
  <c r="T5" i="29" s="1"/>
  <c r="U5" i="29" s="1"/>
  <c r="R11" i="29"/>
  <c r="E11" i="29" s="1"/>
  <c r="E31" i="30"/>
  <c r="W31" i="30"/>
  <c r="W22" i="30"/>
  <c r="T2" i="29"/>
  <c r="U2" i="29" s="1"/>
  <c r="T30" i="30"/>
  <c r="T28" i="30"/>
  <c r="V28" i="30" s="1"/>
  <c r="T3" i="29"/>
  <c r="U3" i="29" s="1"/>
  <c r="T11" i="29" l="1"/>
  <c r="U11" i="29" s="1"/>
  <c r="M12" i="29"/>
  <c r="T6" i="29" s="1"/>
  <c r="U6" i="29" s="1"/>
  <c r="R12" i="29"/>
  <c r="T4" i="29"/>
  <c r="U4" i="29" s="1"/>
  <c r="B15" i="29"/>
  <c r="C15" i="29" s="1"/>
  <c r="W30" i="30"/>
  <c r="X30" i="30"/>
  <c r="W28" i="30"/>
  <c r="X28" i="30"/>
  <c r="W21" i="30"/>
  <c r="E30" i="30"/>
  <c r="E28" i="30"/>
  <c r="T29" i="30"/>
  <c r="V29" i="30" s="1"/>
  <c r="T12" i="29" l="1"/>
  <c r="U12" i="29" s="1"/>
  <c r="E12" i="29"/>
  <c r="M15" i="29"/>
  <c r="R15" i="29"/>
  <c r="T15" i="29" s="1"/>
  <c r="U15" i="29" s="1"/>
  <c r="W29" i="30"/>
  <c r="X29" i="30"/>
  <c r="T34" i="30"/>
  <c r="X34" i="30" s="1"/>
  <c r="T32" i="30"/>
  <c r="E29" i="30"/>
  <c r="D33" i="20"/>
  <c r="E33" i="20"/>
  <c r="E15" i="29" l="1"/>
  <c r="W32" i="30"/>
  <c r="X32" i="30"/>
  <c r="E32" i="30"/>
  <c r="E34" i="30"/>
  <c r="W34" i="30"/>
  <c r="T33" i="30"/>
  <c r="X33" i="30" s="1"/>
  <c r="E33" i="30" l="1"/>
  <c r="W33" i="30"/>
  <c r="W23" i="30"/>
  <c r="W24" i="30" l="1"/>
  <c r="Q111" i="27"/>
  <c r="F111" i="27"/>
  <c r="C111" i="27"/>
  <c r="Q110" i="27"/>
  <c r="C110" i="27"/>
  <c r="Q109" i="27"/>
  <c r="C109" i="27"/>
  <c r="Q108" i="27"/>
  <c r="C108" i="27"/>
  <c r="Q105" i="27"/>
  <c r="C105" i="27"/>
  <c r="Q104" i="27"/>
  <c r="C104" i="27"/>
  <c r="Q103" i="27"/>
  <c r="R103" i="27"/>
  <c r="T103" i="27" s="1"/>
  <c r="C103" i="27"/>
  <c r="Q102" i="27"/>
  <c r="R102" i="27"/>
  <c r="T102" i="27" s="1"/>
  <c r="C102" i="27"/>
  <c r="Q100" i="27"/>
  <c r="C100" i="27"/>
  <c r="Q99" i="27"/>
  <c r="C99" i="27"/>
  <c r="Q94" i="27"/>
  <c r="C94" i="27"/>
  <c r="Q93" i="27"/>
  <c r="R93" i="27"/>
  <c r="T93" i="27" s="1"/>
  <c r="C93" i="27"/>
  <c r="Q92" i="27"/>
  <c r="C92" i="27"/>
  <c r="Q90" i="27"/>
  <c r="C90" i="27"/>
  <c r="Q96" i="27"/>
  <c r="C96" i="27"/>
  <c r="Q89" i="27"/>
  <c r="C89" i="27"/>
  <c r="Q88" i="27"/>
  <c r="C88" i="27"/>
  <c r="Q84" i="27"/>
  <c r="D84" i="27"/>
  <c r="C84" i="27"/>
  <c r="Q83" i="27"/>
  <c r="D83" i="27"/>
  <c r="C83" i="27"/>
  <c r="Q86" i="27"/>
  <c r="C86" i="27"/>
  <c r="Q85" i="27"/>
  <c r="C85" i="27"/>
  <c r="Q75" i="27"/>
  <c r="C75" i="27"/>
  <c r="Q74" i="27"/>
  <c r="C74" i="27"/>
  <c r="Q73" i="27"/>
  <c r="C73" i="27"/>
  <c r="Q76" i="27"/>
  <c r="C76" i="27"/>
  <c r="Q71" i="27"/>
  <c r="D71" i="27"/>
  <c r="C71" i="27"/>
  <c r="Q70" i="27"/>
  <c r="D70" i="27"/>
  <c r="C70" i="27"/>
  <c r="Q69" i="27"/>
  <c r="D69" i="27"/>
  <c r="C69" i="27"/>
  <c r="Q63" i="27"/>
  <c r="D63" i="27"/>
  <c r="C63" i="27"/>
  <c r="Q62" i="27"/>
  <c r="C62" i="27"/>
  <c r="Q61" i="27"/>
  <c r="C61" i="27"/>
  <c r="Q60" i="27"/>
  <c r="C60" i="27"/>
  <c r="Q59" i="27"/>
  <c r="D59" i="27"/>
  <c r="C59" i="27"/>
  <c r="Q58" i="27"/>
  <c r="D58" i="27"/>
  <c r="C58" i="27"/>
  <c r="Q57" i="27"/>
  <c r="D57" i="27"/>
  <c r="C57" i="27"/>
  <c r="Q56" i="27"/>
  <c r="D56" i="27"/>
  <c r="C56" i="27"/>
  <c r="Q55" i="27"/>
  <c r="D55" i="27"/>
  <c r="C55" i="27"/>
  <c r="Q54" i="27"/>
  <c r="D54" i="27"/>
  <c r="C54" i="27"/>
  <c r="D53" i="27"/>
  <c r="C53" i="27"/>
  <c r="D51" i="27"/>
  <c r="R51" i="27" s="1"/>
  <c r="T51" i="27" s="1"/>
  <c r="C51" i="27"/>
  <c r="D50" i="27"/>
  <c r="C50" i="27"/>
  <c r="D48" i="27"/>
  <c r="C48" i="27"/>
  <c r="D47" i="27"/>
  <c r="C47" i="27"/>
  <c r="N46" i="27"/>
  <c r="C46" i="27"/>
  <c r="D45" i="27"/>
  <c r="C45" i="27"/>
  <c r="D44" i="27"/>
  <c r="C44" i="27"/>
  <c r="D43" i="27"/>
  <c r="C43" i="27"/>
  <c r="D42" i="27"/>
  <c r="C42" i="27"/>
  <c r="D41" i="27"/>
  <c r="K41" i="27" s="1"/>
  <c r="C41" i="27"/>
  <c r="D40" i="27"/>
  <c r="K40" i="27" s="1"/>
  <c r="C40" i="27"/>
  <c r="D39" i="27"/>
  <c r="C39" i="27"/>
  <c r="D38" i="27"/>
  <c r="C38" i="27"/>
  <c r="D35" i="27"/>
  <c r="C35" i="27"/>
  <c r="D34" i="27"/>
  <c r="C34" i="27"/>
  <c r="D33" i="27"/>
  <c r="N33" i="27" s="1"/>
  <c r="C33" i="27"/>
  <c r="D32" i="27"/>
  <c r="C32" i="27"/>
  <c r="D31" i="27"/>
  <c r="C31" i="27"/>
  <c r="D29" i="27"/>
  <c r="C29" i="27"/>
  <c r="D28" i="27"/>
  <c r="C28" i="27"/>
  <c r="D27" i="27"/>
  <c r="C27" i="27"/>
  <c r="D25" i="27"/>
  <c r="N25" i="27" s="1"/>
  <c r="C25" i="27"/>
  <c r="D24" i="27"/>
  <c r="C24" i="27"/>
  <c r="D23" i="27"/>
  <c r="R23" i="27" s="1"/>
  <c r="C23" i="27"/>
  <c r="D22" i="27"/>
  <c r="C22" i="27"/>
  <c r="D21" i="27"/>
  <c r="R21" i="27" s="1"/>
  <c r="C21" i="27"/>
  <c r="D17" i="27"/>
  <c r="C17" i="27"/>
  <c r="D16" i="27"/>
  <c r="N16" i="27" s="1"/>
  <c r="C16" i="27"/>
  <c r="D15" i="27"/>
  <c r="C15" i="27"/>
  <c r="D14" i="27"/>
  <c r="C14" i="27"/>
  <c r="D13" i="27"/>
  <c r="N13" i="27" s="1"/>
  <c r="C13" i="27"/>
  <c r="D12" i="27"/>
  <c r="C12" i="27"/>
  <c r="D10" i="27"/>
  <c r="C10" i="27"/>
  <c r="D9" i="27"/>
  <c r="N9" i="27" s="1"/>
  <c r="C9" i="27"/>
  <c r="D8" i="27"/>
  <c r="C8" i="27"/>
  <c r="D6" i="27"/>
  <c r="N6" i="27" s="1"/>
  <c r="C6" i="27"/>
  <c r="D5" i="27"/>
  <c r="C5" i="27"/>
  <c r="D4" i="27"/>
  <c r="C4" i="27"/>
  <c r="N3" i="27"/>
  <c r="F3" i="27"/>
  <c r="C3" i="27"/>
  <c r="F2" i="27"/>
  <c r="N2" i="27"/>
  <c r="C2" i="27"/>
  <c r="N22" i="27" l="1"/>
  <c r="R22" i="27"/>
  <c r="F22" i="27" s="1"/>
  <c r="K65" i="27"/>
  <c r="K64" i="27"/>
  <c r="K71" i="27"/>
  <c r="K63" i="27"/>
  <c r="F84" i="27"/>
  <c r="K70" i="27"/>
  <c r="K69" i="27"/>
  <c r="K30" i="27"/>
  <c r="F48" i="27"/>
  <c r="N38" i="27"/>
  <c r="N54" i="27"/>
  <c r="F54" i="27"/>
  <c r="N70" i="27"/>
  <c r="F70" i="27"/>
  <c r="N4" i="27"/>
  <c r="N5" i="27"/>
  <c r="N8" i="27"/>
  <c r="M8" i="27"/>
  <c r="N10" i="27"/>
  <c r="M10" i="27"/>
  <c r="K10" i="27" s="1"/>
  <c r="N12" i="27"/>
  <c r="N14" i="27"/>
  <c r="T15" i="27"/>
  <c r="N15" i="27"/>
  <c r="N17" i="27"/>
  <c r="N21" i="27"/>
  <c r="N23" i="27"/>
  <c r="N24" i="27"/>
  <c r="N27" i="27"/>
  <c r="F28" i="27"/>
  <c r="N28" i="27"/>
  <c r="N31" i="27"/>
  <c r="F32" i="27"/>
  <c r="N32" i="27"/>
  <c r="N34" i="27"/>
  <c r="M34" i="27"/>
  <c r="K34" i="27" s="1"/>
  <c r="N35" i="27"/>
  <c r="N39" i="27"/>
  <c r="N40" i="27"/>
  <c r="N42" i="27"/>
  <c r="F42" i="27"/>
  <c r="F43" i="27"/>
  <c r="N44" i="27"/>
  <c r="F45" i="27"/>
  <c r="N45" i="27"/>
  <c r="N47" i="27"/>
  <c r="N48" i="27"/>
  <c r="N50" i="27"/>
  <c r="F50" i="27"/>
  <c r="F51" i="27"/>
  <c r="N51" i="27"/>
  <c r="F53" i="27"/>
  <c r="N53" i="27"/>
  <c r="M55" i="27"/>
  <c r="N55" i="27"/>
  <c r="F56" i="27"/>
  <c r="N56" i="27"/>
  <c r="M56" i="27"/>
  <c r="N57" i="27"/>
  <c r="F57" i="27"/>
  <c r="N59" i="27"/>
  <c r="F59" i="27"/>
  <c r="F60" i="27"/>
  <c r="N60" i="27"/>
  <c r="N61" i="27"/>
  <c r="T18" i="27"/>
  <c r="F69" i="27"/>
  <c r="N69" i="27"/>
  <c r="N71" i="27"/>
  <c r="F76" i="27"/>
  <c r="N76" i="27"/>
  <c r="M76" i="27"/>
  <c r="F73" i="27"/>
  <c r="N73" i="27"/>
  <c r="M73" i="27"/>
  <c r="T23" i="27" s="1"/>
  <c r="F74" i="27"/>
  <c r="N74" i="27"/>
  <c r="N85" i="27"/>
  <c r="F85" i="27"/>
  <c r="M85" i="27"/>
  <c r="F86" i="27"/>
  <c r="N86" i="27"/>
  <c r="M86" i="27"/>
  <c r="N83" i="27"/>
  <c r="M83" i="27"/>
  <c r="T27" i="27" s="1"/>
  <c r="F89" i="27"/>
  <c r="N89" i="27"/>
  <c r="M89" i="27"/>
  <c r="M96" i="27"/>
  <c r="N96" i="27"/>
  <c r="R90" i="27"/>
  <c r="N90" i="27"/>
  <c r="M90" i="27"/>
  <c r="R92" i="27"/>
  <c r="N92" i="27"/>
  <c r="N94" i="27"/>
  <c r="R94" i="27"/>
  <c r="M94" i="27"/>
  <c r="F99" i="27"/>
  <c r="N99" i="27"/>
  <c r="M99" i="27"/>
  <c r="N100" i="27"/>
  <c r="M100" i="27"/>
  <c r="R104" i="27"/>
  <c r="N104" i="27"/>
  <c r="M104" i="27"/>
  <c r="R105" i="27"/>
  <c r="N105" i="27"/>
  <c r="M108" i="27"/>
  <c r="N108" i="27"/>
  <c r="F109" i="27"/>
  <c r="N109" i="27"/>
  <c r="M109" i="27"/>
  <c r="F110" i="27"/>
  <c r="N110" i="27"/>
  <c r="M110" i="27"/>
  <c r="T7" i="27"/>
  <c r="F71" i="27"/>
  <c r="F75" i="27"/>
  <c r="M88" i="27"/>
  <c r="F96" i="27"/>
  <c r="F93" i="27"/>
  <c r="F4" i="27"/>
  <c r="F8" i="27"/>
  <c r="F10" i="27"/>
  <c r="F14" i="27"/>
  <c r="F17" i="27"/>
  <c r="F23" i="27"/>
  <c r="F34" i="27"/>
  <c r="F39" i="27"/>
  <c r="M41" i="27"/>
  <c r="F47" i="27"/>
  <c r="F61" i="27"/>
  <c r="N63" i="27"/>
  <c r="M75" i="27"/>
  <c r="K75" i="27" s="1"/>
  <c r="F83" i="27"/>
  <c r="N88" i="27"/>
  <c r="M93" i="27"/>
  <c r="F100" i="27"/>
  <c r="N103" i="27"/>
  <c r="F103" i="27"/>
  <c r="F41" i="27"/>
  <c r="F58" i="27"/>
  <c r="M103" i="27"/>
  <c r="F108" i="27"/>
  <c r="F29" i="27"/>
  <c r="F44" i="27"/>
  <c r="M13" i="27"/>
  <c r="K13" i="27" s="1"/>
  <c r="N41" i="27"/>
  <c r="M54" i="27"/>
  <c r="N58" i="27"/>
  <c r="N75" i="27"/>
  <c r="N93" i="27"/>
  <c r="M105" i="27"/>
  <c r="K105" i="27" s="1"/>
  <c r="F88" i="27"/>
  <c r="N29" i="27"/>
  <c r="F62" i="27"/>
  <c r="F5" i="27"/>
  <c r="F6" i="27"/>
  <c r="F12" i="27"/>
  <c r="F13" i="27"/>
  <c r="F21" i="27"/>
  <c r="F24" i="27"/>
  <c r="F25" i="27"/>
  <c r="F33" i="27"/>
  <c r="F35" i="27"/>
  <c r="F40" i="27"/>
  <c r="F46" i="27"/>
  <c r="M84" i="27"/>
  <c r="M102" i="27"/>
  <c r="F63" i="27"/>
  <c r="N43" i="27"/>
  <c r="F102" i="27"/>
  <c r="M40" i="27"/>
  <c r="T11" i="27"/>
  <c r="N62" i="27"/>
  <c r="M74" i="27"/>
  <c r="K74" i="27" s="1"/>
  <c r="N84" i="27"/>
  <c r="M92" i="27"/>
  <c r="N102" i="27"/>
  <c r="M111" i="27"/>
  <c r="N111" i="27"/>
  <c r="F55" i="27"/>
  <c r="F92" i="27" l="1"/>
  <c r="T92" i="27"/>
  <c r="F90" i="27"/>
  <c r="T90" i="27"/>
  <c r="T34" i="27"/>
  <c r="K93" i="27"/>
  <c r="T46" i="27"/>
  <c r="T45" i="27"/>
  <c r="T47" i="27"/>
  <c r="T44" i="27"/>
  <c r="K102" i="27"/>
  <c r="K103" i="27" s="1"/>
  <c r="K104" i="27" s="1"/>
  <c r="T31" i="27"/>
  <c r="K90" i="27"/>
  <c r="T35" i="27"/>
  <c r="K94" i="27"/>
  <c r="T38" i="27"/>
  <c r="K96" i="27"/>
  <c r="K84" i="27"/>
  <c r="T29" i="27"/>
  <c r="T28" i="27"/>
  <c r="F104" i="27"/>
  <c r="T104" i="27"/>
  <c r="F94" i="27"/>
  <c r="T94" i="27"/>
  <c r="T33" i="27"/>
  <c r="K92" i="27"/>
  <c r="F105" i="27"/>
  <c r="T105" i="27"/>
  <c r="K83" i="27"/>
  <c r="K73" i="27"/>
  <c r="T3" i="27"/>
  <c r="T2" i="27"/>
  <c r="F15" i="27"/>
  <c r="F38" i="27"/>
  <c r="F16" i="27"/>
  <c r="T17" i="27"/>
  <c r="T12" i="27"/>
  <c r="F9" i="27"/>
  <c r="T10" i="27"/>
  <c r="T14" i="27"/>
  <c r="F27" i="27"/>
  <c r="T21" i="27"/>
  <c r="F31" i="27"/>
  <c r="T22" i="27"/>
  <c r="T16" i="27"/>
  <c r="T6" i="27"/>
  <c r="T8" i="27"/>
  <c r="T4" i="27"/>
  <c r="T5" i="27"/>
  <c r="T9" i="27"/>
  <c r="T13" i="27"/>
  <c r="C130" i="26" l="1"/>
  <c r="F130" i="26"/>
  <c r="G130" i="26"/>
  <c r="M130" i="26"/>
  <c r="N130" i="26"/>
  <c r="X130" i="26" s="1"/>
  <c r="P130" i="26"/>
  <c r="S130" i="26"/>
  <c r="V130" i="26" s="1"/>
  <c r="W130" i="26"/>
  <c r="W131" i="26"/>
  <c r="S131" i="26"/>
  <c r="V131" i="26" s="1"/>
  <c r="P131" i="26"/>
  <c r="N131" i="26"/>
  <c r="X131" i="26" s="1"/>
  <c r="M131" i="26"/>
  <c r="G131" i="26"/>
  <c r="F131" i="26"/>
  <c r="C131" i="26"/>
  <c r="P128" i="26"/>
  <c r="M124" i="26" l="1"/>
  <c r="M133" i="26"/>
  <c r="M135" i="26"/>
  <c r="M169" i="26" l="1"/>
  <c r="W221" i="26" l="1"/>
  <c r="P221" i="26"/>
  <c r="G221" i="26"/>
  <c r="D221" i="26"/>
  <c r="S221" i="26" s="1"/>
  <c r="V221" i="26" s="1"/>
  <c r="C221" i="26"/>
  <c r="X56" i="26"/>
  <c r="F221" i="26" l="1"/>
  <c r="M221" i="26"/>
  <c r="B267" i="26" s="1"/>
  <c r="N221" i="26"/>
  <c r="C118" i="26" l="1"/>
  <c r="F118" i="26"/>
  <c r="G118" i="26"/>
  <c r="M118" i="26"/>
  <c r="N118" i="26"/>
  <c r="X118" i="26" s="1"/>
  <c r="P118" i="26"/>
  <c r="S118" i="26"/>
  <c r="V118" i="26" s="1"/>
  <c r="W118" i="26"/>
  <c r="P127" i="26" l="1"/>
  <c r="P125" i="26"/>
  <c r="W101" i="26" l="1"/>
  <c r="W102" i="26"/>
  <c r="W103" i="26"/>
  <c r="W104" i="26"/>
  <c r="W105" i="26"/>
  <c r="W106" i="26"/>
  <c r="W107" i="26"/>
  <c r="W108" i="26"/>
  <c r="W109" i="26"/>
  <c r="W110" i="26"/>
  <c r="W111" i="26"/>
  <c r="W112" i="26"/>
  <c r="W113" i="26"/>
  <c r="W114" i="26"/>
  <c r="W115" i="26"/>
  <c r="W116" i="26"/>
  <c r="W117" i="26"/>
  <c r="W119" i="26"/>
  <c r="W120" i="26"/>
  <c r="W121" i="26"/>
  <c r="W122" i="26"/>
  <c r="W123" i="26"/>
  <c r="W125" i="26"/>
  <c r="W126" i="26"/>
  <c r="W124" i="26"/>
  <c r="W129" i="26"/>
  <c r="W132" i="26"/>
  <c r="W133" i="26"/>
  <c r="W134" i="26"/>
  <c r="W135" i="26"/>
  <c r="W136" i="26"/>
  <c r="W137" i="26"/>
  <c r="W138" i="26"/>
  <c r="W139" i="26"/>
  <c r="W140" i="26"/>
  <c r="W141" i="26"/>
  <c r="W142" i="26"/>
  <c r="W143" i="26"/>
  <c r="W144" i="26"/>
  <c r="W145" i="26"/>
  <c r="W146" i="26"/>
  <c r="W147" i="26"/>
  <c r="W148" i="26"/>
  <c r="W149" i="26"/>
  <c r="W150" i="26"/>
  <c r="W151" i="26"/>
  <c r="W152" i="26"/>
  <c r="W153" i="26"/>
  <c r="W154" i="26"/>
  <c r="W155" i="26"/>
  <c r="W156" i="26"/>
  <c r="W157" i="26"/>
  <c r="W158" i="26"/>
  <c r="W159" i="26"/>
  <c r="W160" i="26"/>
  <c r="W161" i="26"/>
  <c r="W162" i="26"/>
  <c r="W163" i="26"/>
  <c r="W164" i="26"/>
  <c r="W165" i="26"/>
  <c r="W166" i="26"/>
  <c r="W167" i="26"/>
  <c r="W168" i="26"/>
  <c r="W169" i="26"/>
  <c r="W170" i="26"/>
  <c r="W171" i="26"/>
  <c r="W172" i="26"/>
  <c r="W173" i="26"/>
  <c r="W174" i="26"/>
  <c r="W175" i="26"/>
  <c r="W176" i="26"/>
  <c r="W177" i="26"/>
  <c r="W178" i="26"/>
  <c r="W179" i="26"/>
  <c r="W180" i="26"/>
  <c r="W185" i="26"/>
  <c r="W186" i="26"/>
  <c r="W189" i="26"/>
  <c r="W190" i="26"/>
  <c r="W181" i="26"/>
  <c r="W182" i="26"/>
  <c r="W191" i="26"/>
  <c r="W192" i="26"/>
  <c r="W195" i="26"/>
  <c r="W187" i="26"/>
  <c r="W204" i="26"/>
  <c r="W199" i="26"/>
  <c r="W194" i="26"/>
  <c r="W196" i="26"/>
  <c r="W197" i="26"/>
  <c r="W198" i="26"/>
  <c r="W193" i="26"/>
  <c r="W200" i="26"/>
  <c r="W208" i="26"/>
  <c r="W201" i="26"/>
  <c r="W202" i="26"/>
  <c r="W203" i="26"/>
  <c r="W205" i="26"/>
  <c r="W206" i="26"/>
  <c r="W209" i="26"/>
  <c r="W210" i="26"/>
  <c r="W211" i="26"/>
  <c r="W207" i="26"/>
  <c r="W212" i="26"/>
  <c r="W213" i="26"/>
  <c r="W214" i="26"/>
  <c r="W215" i="26"/>
  <c r="W216" i="26"/>
  <c r="W217" i="26"/>
  <c r="W222" i="26"/>
  <c r="W235" i="26"/>
  <c r="W218" i="26"/>
  <c r="W219" i="26"/>
  <c r="W220" i="26"/>
  <c r="W224" i="26"/>
  <c r="W225" i="26"/>
  <c r="W226" i="26"/>
  <c r="W223" i="26"/>
  <c r="W232" i="26"/>
  <c r="W233" i="26"/>
  <c r="W230" i="26"/>
  <c r="W231" i="26"/>
  <c r="W229" i="26"/>
  <c r="W238" i="26"/>
  <c r="W227" i="26"/>
  <c r="W228" i="26"/>
  <c r="W237" i="26"/>
  <c r="W239" i="26"/>
  <c r="W240" i="26"/>
  <c r="W236" i="26"/>
  <c r="W241" i="26"/>
  <c r="W242" i="26"/>
  <c r="W254" i="26"/>
  <c r="W255" i="26"/>
  <c r="W234" i="26"/>
  <c r="W243" i="26"/>
  <c r="W244" i="26"/>
  <c r="W245" i="26"/>
  <c r="W247" i="26"/>
  <c r="W248" i="26"/>
  <c r="W249" i="26"/>
  <c r="W246" i="26"/>
  <c r="W250" i="26"/>
  <c r="W251" i="26"/>
  <c r="W257" i="26"/>
  <c r="W252" i="26"/>
  <c r="W267" i="26"/>
  <c r="W253" i="26"/>
  <c r="W258" i="26"/>
  <c r="W256" i="26"/>
  <c r="W260" i="26"/>
  <c r="W259" i="26"/>
  <c r="W261" i="26"/>
  <c r="W262" i="26"/>
  <c r="W263" i="26"/>
  <c r="W268" i="26"/>
  <c r="W264" i="26"/>
  <c r="W265" i="26"/>
  <c r="W275" i="26"/>
  <c r="W266" i="26"/>
  <c r="W269" i="26"/>
  <c r="W274" i="26"/>
  <c r="W271" i="26"/>
  <c r="W272" i="26"/>
  <c r="W273" i="26"/>
  <c r="W278" i="26"/>
  <c r="W277" i="26"/>
  <c r="W280" i="26"/>
  <c r="W281" i="26"/>
  <c r="W279" i="26"/>
  <c r="W270" i="26"/>
  <c r="W283" i="26"/>
  <c r="W282" i="26"/>
  <c r="W276" i="26"/>
  <c r="W284" i="26"/>
  <c r="W285" i="26"/>
  <c r="W286" i="26"/>
  <c r="W287" i="26"/>
  <c r="W288" i="26"/>
  <c r="W289" i="26"/>
  <c r="W290" i="26"/>
  <c r="R290" i="26" l="1"/>
  <c r="P290" i="26"/>
  <c r="G290" i="26"/>
  <c r="R289" i="26"/>
  <c r="P289" i="26"/>
  <c r="G289" i="26"/>
  <c r="R288" i="26"/>
  <c r="P288" i="26"/>
  <c r="G288" i="26"/>
  <c r="R287" i="26"/>
  <c r="P287" i="26"/>
  <c r="G287" i="26"/>
  <c r="R286" i="26"/>
  <c r="P286" i="26"/>
  <c r="G286" i="26"/>
  <c r="R285" i="26"/>
  <c r="P285" i="26"/>
  <c r="G285" i="26"/>
  <c r="R284" i="26"/>
  <c r="P284" i="26"/>
  <c r="G284" i="26"/>
  <c r="R276" i="26"/>
  <c r="P276" i="26"/>
  <c r="G276" i="26"/>
  <c r="R282" i="26"/>
  <c r="P282" i="26"/>
  <c r="G282" i="26"/>
  <c r="R283" i="26"/>
  <c r="P283" i="26"/>
  <c r="G283" i="26"/>
  <c r="R270" i="26"/>
  <c r="P270" i="26"/>
  <c r="G270" i="26"/>
  <c r="R279" i="26"/>
  <c r="P279" i="26"/>
  <c r="G279" i="26"/>
  <c r="R281" i="26"/>
  <c r="P281" i="26"/>
  <c r="G281" i="26"/>
  <c r="R280" i="26"/>
  <c r="P280" i="26"/>
  <c r="G280" i="26"/>
  <c r="R277" i="26"/>
  <c r="P277" i="26"/>
  <c r="G277" i="26"/>
  <c r="R278" i="26"/>
  <c r="P278" i="26"/>
  <c r="G278" i="26"/>
  <c r="R273" i="26"/>
  <c r="P273" i="26"/>
  <c r="G273" i="26"/>
  <c r="R272" i="26"/>
  <c r="P272" i="26"/>
  <c r="G272" i="26"/>
  <c r="R271" i="26"/>
  <c r="P271" i="26"/>
  <c r="G271" i="26"/>
  <c r="R274" i="26"/>
  <c r="P274" i="26"/>
  <c r="G274" i="26"/>
  <c r="R269" i="26"/>
  <c r="P269" i="26"/>
  <c r="G269" i="26"/>
  <c r="R266" i="26"/>
  <c r="P266" i="26"/>
  <c r="G266" i="26"/>
  <c r="R275" i="26"/>
  <c r="P275" i="26"/>
  <c r="G275" i="26"/>
  <c r="R265" i="26"/>
  <c r="P265" i="26"/>
  <c r="G265" i="26"/>
  <c r="R264" i="26"/>
  <c r="P264" i="26"/>
  <c r="G264" i="26"/>
  <c r="R268" i="26"/>
  <c r="P268" i="26"/>
  <c r="G268" i="26"/>
  <c r="R263" i="26"/>
  <c r="P263" i="26"/>
  <c r="G263" i="26"/>
  <c r="R262" i="26"/>
  <c r="P262" i="26"/>
  <c r="G262" i="26"/>
  <c r="S261" i="26"/>
  <c r="V261" i="26" s="1"/>
  <c r="R261" i="26"/>
  <c r="P261" i="26"/>
  <c r="N261" i="26"/>
  <c r="M261" i="26"/>
  <c r="B288" i="26" s="1"/>
  <c r="C288" i="26" s="1"/>
  <c r="G261" i="26"/>
  <c r="F261" i="26"/>
  <c r="R259" i="26"/>
  <c r="P259" i="26"/>
  <c r="G259" i="26"/>
  <c r="R260" i="26"/>
  <c r="P260" i="26"/>
  <c r="G260" i="26"/>
  <c r="R256" i="26"/>
  <c r="P256" i="26"/>
  <c r="G256" i="26"/>
  <c r="R258" i="26"/>
  <c r="P258" i="26"/>
  <c r="G258" i="26"/>
  <c r="R253" i="26"/>
  <c r="P253" i="26"/>
  <c r="G253" i="26"/>
  <c r="D253" i="26"/>
  <c r="M253" i="26" s="1"/>
  <c r="B289" i="26" s="1"/>
  <c r="C253" i="26"/>
  <c r="P267" i="26"/>
  <c r="G267" i="26"/>
  <c r="R252" i="26"/>
  <c r="P252" i="26"/>
  <c r="G252" i="26"/>
  <c r="R257" i="26"/>
  <c r="P257" i="26"/>
  <c r="G257" i="26"/>
  <c r="P251" i="26"/>
  <c r="G251" i="26"/>
  <c r="P250" i="26"/>
  <c r="G250" i="26"/>
  <c r="R246" i="26"/>
  <c r="P246" i="26"/>
  <c r="G246" i="26"/>
  <c r="R249" i="26"/>
  <c r="P249" i="26"/>
  <c r="G249" i="26"/>
  <c r="P248" i="26"/>
  <c r="G248" i="26"/>
  <c r="P247" i="26"/>
  <c r="G247" i="26"/>
  <c r="R245" i="26"/>
  <c r="P245" i="26"/>
  <c r="G245" i="26"/>
  <c r="P244" i="26"/>
  <c r="G244" i="26"/>
  <c r="P243" i="26"/>
  <c r="G243" i="26"/>
  <c r="R234" i="26"/>
  <c r="P234" i="26"/>
  <c r="G234" i="26"/>
  <c r="P255" i="26"/>
  <c r="G255" i="26"/>
  <c r="P254" i="26"/>
  <c r="G254" i="26"/>
  <c r="P242" i="26"/>
  <c r="G242" i="26"/>
  <c r="P241" i="26"/>
  <c r="G241" i="26"/>
  <c r="P236" i="26"/>
  <c r="G236" i="26"/>
  <c r="P240" i="26"/>
  <c r="G240" i="26"/>
  <c r="R239" i="26"/>
  <c r="P239" i="26"/>
  <c r="G239" i="26"/>
  <c r="P237" i="26"/>
  <c r="G237" i="26"/>
  <c r="P228" i="26"/>
  <c r="G228" i="26"/>
  <c r="P227" i="26"/>
  <c r="G227" i="26"/>
  <c r="R238" i="26"/>
  <c r="P238" i="26"/>
  <c r="G238" i="26"/>
  <c r="R229" i="26"/>
  <c r="P229" i="26"/>
  <c r="G229" i="26"/>
  <c r="P231" i="26"/>
  <c r="G231" i="26"/>
  <c r="P230" i="26"/>
  <c r="G230" i="26"/>
  <c r="R233" i="26"/>
  <c r="P233" i="26"/>
  <c r="G233" i="26"/>
  <c r="E233" i="26"/>
  <c r="D233" i="26"/>
  <c r="F233" i="26" s="1"/>
  <c r="C233" i="26"/>
  <c r="R232" i="26"/>
  <c r="P232" i="26"/>
  <c r="G232" i="26"/>
  <c r="D232" i="26"/>
  <c r="N232" i="26" s="1"/>
  <c r="C232" i="26"/>
  <c r="R223" i="26"/>
  <c r="P223" i="26"/>
  <c r="G223" i="26"/>
  <c r="P226" i="26"/>
  <c r="G226" i="26"/>
  <c r="P225" i="26"/>
  <c r="G225" i="26"/>
  <c r="R224" i="26"/>
  <c r="P224" i="26"/>
  <c r="G224" i="26"/>
  <c r="P220" i="26"/>
  <c r="G220" i="26"/>
  <c r="P219" i="26"/>
  <c r="G219" i="26"/>
  <c r="P218" i="26"/>
  <c r="G218" i="26"/>
  <c r="P235" i="26"/>
  <c r="G235" i="26"/>
  <c r="R222" i="26"/>
  <c r="P222" i="26"/>
  <c r="G222" i="26"/>
  <c r="P217" i="26"/>
  <c r="G217" i="26"/>
  <c r="R216" i="26"/>
  <c r="P216" i="26"/>
  <c r="G216" i="26"/>
  <c r="P215" i="26"/>
  <c r="G215" i="26"/>
  <c r="P214" i="26"/>
  <c r="G214" i="26"/>
  <c r="R213" i="26"/>
  <c r="P213" i="26"/>
  <c r="G213" i="26"/>
  <c r="R212" i="26"/>
  <c r="P212" i="26"/>
  <c r="G212" i="26"/>
  <c r="P207" i="26"/>
  <c r="G207" i="26"/>
  <c r="P211" i="26"/>
  <c r="G211" i="26"/>
  <c r="P210" i="26"/>
  <c r="G210" i="26"/>
  <c r="P209" i="26"/>
  <c r="G209" i="26"/>
  <c r="P206" i="26"/>
  <c r="G206" i="26"/>
  <c r="P205" i="26"/>
  <c r="G205" i="26"/>
  <c r="P203" i="26"/>
  <c r="G203" i="26"/>
  <c r="P202" i="26"/>
  <c r="G202" i="26"/>
  <c r="P201" i="26"/>
  <c r="G201" i="26"/>
  <c r="R208" i="26"/>
  <c r="P208" i="26"/>
  <c r="G208" i="26"/>
  <c r="R200" i="26"/>
  <c r="P200" i="26"/>
  <c r="G200" i="26"/>
  <c r="R193" i="26"/>
  <c r="P193" i="26"/>
  <c r="G193" i="26"/>
  <c r="P198" i="26"/>
  <c r="G198" i="26"/>
  <c r="P197" i="26"/>
  <c r="G197" i="26"/>
  <c r="P196" i="26"/>
  <c r="G196" i="26"/>
  <c r="P194" i="26"/>
  <c r="G194" i="26"/>
  <c r="P199" i="26"/>
  <c r="G199" i="26"/>
  <c r="P204" i="26"/>
  <c r="G204" i="26"/>
  <c r="D204" i="26"/>
  <c r="F204" i="26" s="1"/>
  <c r="C204" i="26"/>
  <c r="P187" i="26"/>
  <c r="G187" i="26"/>
  <c r="R195" i="26"/>
  <c r="P195" i="26"/>
  <c r="G195" i="26"/>
  <c r="R192" i="26"/>
  <c r="P192" i="26"/>
  <c r="G192" i="26"/>
  <c r="P191" i="26"/>
  <c r="G191" i="26"/>
  <c r="P182" i="26"/>
  <c r="G182" i="26"/>
  <c r="P181" i="26"/>
  <c r="G181" i="26"/>
  <c r="P190" i="26"/>
  <c r="G190" i="26"/>
  <c r="P189" i="26"/>
  <c r="G189" i="26"/>
  <c r="P186" i="26"/>
  <c r="G186" i="26"/>
  <c r="P185" i="26"/>
  <c r="G185" i="26"/>
  <c r="R180" i="26"/>
  <c r="P180" i="26"/>
  <c r="G180" i="26"/>
  <c r="P179" i="26"/>
  <c r="G179" i="26"/>
  <c r="P178" i="26"/>
  <c r="G178" i="26"/>
  <c r="P177" i="26"/>
  <c r="G177" i="26"/>
  <c r="P176" i="26"/>
  <c r="G176" i="26"/>
  <c r="S175" i="26"/>
  <c r="V175" i="26" s="1"/>
  <c r="P175" i="26"/>
  <c r="N175" i="26"/>
  <c r="M175" i="26"/>
  <c r="B223" i="26" s="1"/>
  <c r="G175" i="26"/>
  <c r="F175" i="26"/>
  <c r="S174" i="26"/>
  <c r="V174" i="26" s="1"/>
  <c r="P174" i="26"/>
  <c r="N174" i="26"/>
  <c r="X174" i="26" s="1"/>
  <c r="M174" i="26"/>
  <c r="G174" i="26"/>
  <c r="F174" i="26"/>
  <c r="S173" i="26"/>
  <c r="V173" i="26" s="1"/>
  <c r="P173" i="26"/>
  <c r="N173" i="26"/>
  <c r="X173" i="26" s="1"/>
  <c r="M173" i="26"/>
  <c r="G173" i="26"/>
  <c r="F173" i="26"/>
  <c r="S172" i="26"/>
  <c r="V172" i="26" s="1"/>
  <c r="P172" i="26"/>
  <c r="N172" i="26"/>
  <c r="X172" i="26" s="1"/>
  <c r="M172" i="26"/>
  <c r="G172" i="26"/>
  <c r="F172" i="26"/>
  <c r="S171" i="26"/>
  <c r="V171" i="26" s="1"/>
  <c r="P171" i="26"/>
  <c r="N171" i="26"/>
  <c r="X171" i="26" s="1"/>
  <c r="M171" i="26"/>
  <c r="G171" i="26"/>
  <c r="F171" i="26"/>
  <c r="S170" i="26"/>
  <c r="V170" i="26" s="1"/>
  <c r="P170" i="26"/>
  <c r="N170" i="26"/>
  <c r="X170" i="26" s="1"/>
  <c r="M170" i="26"/>
  <c r="G170" i="26"/>
  <c r="F170" i="26"/>
  <c r="S169" i="26"/>
  <c r="V169" i="26" s="1"/>
  <c r="P169" i="26"/>
  <c r="N169" i="26"/>
  <c r="X169" i="26" s="1"/>
  <c r="G169" i="26"/>
  <c r="F169" i="26"/>
  <c r="S168" i="26"/>
  <c r="V168" i="26" s="1"/>
  <c r="P168" i="26"/>
  <c r="N168" i="26"/>
  <c r="X168" i="26" s="1"/>
  <c r="M168" i="26"/>
  <c r="B225" i="26" s="1"/>
  <c r="G168" i="26"/>
  <c r="F168" i="26"/>
  <c r="S167" i="26"/>
  <c r="V167" i="26" s="1"/>
  <c r="P167" i="26"/>
  <c r="N167" i="26"/>
  <c r="X167" i="26" s="1"/>
  <c r="M167" i="26"/>
  <c r="B222" i="26" s="1"/>
  <c r="G167" i="26"/>
  <c r="F167" i="26"/>
  <c r="S166" i="26"/>
  <c r="V166" i="26" s="1"/>
  <c r="R166" i="26"/>
  <c r="P166" i="26"/>
  <c r="N166" i="26"/>
  <c r="X166" i="26" s="1"/>
  <c r="M166" i="26"/>
  <c r="G166" i="26"/>
  <c r="F166" i="26"/>
  <c r="C166" i="26"/>
  <c r="S165" i="26"/>
  <c r="V165" i="26" s="1"/>
  <c r="P165" i="26"/>
  <c r="N165" i="26"/>
  <c r="X165" i="26" s="1"/>
  <c r="M165" i="26"/>
  <c r="G165" i="26"/>
  <c r="F165" i="26"/>
  <c r="S164" i="26"/>
  <c r="V164" i="26" s="1"/>
  <c r="P164" i="26"/>
  <c r="N164" i="26"/>
  <c r="X164" i="26" s="1"/>
  <c r="M164" i="26"/>
  <c r="B213" i="26" s="1"/>
  <c r="G164" i="26"/>
  <c r="F164" i="26"/>
  <c r="S163" i="26"/>
  <c r="V163" i="26" s="1"/>
  <c r="R163" i="26"/>
  <c r="P163" i="26"/>
  <c r="N163" i="26"/>
  <c r="X163" i="26" s="1"/>
  <c r="M163" i="26"/>
  <c r="G163" i="26"/>
  <c r="F163" i="26"/>
  <c r="C163" i="26"/>
  <c r="S162" i="26"/>
  <c r="V162" i="26" s="1"/>
  <c r="P162" i="26"/>
  <c r="N162" i="26"/>
  <c r="X162" i="26" s="1"/>
  <c r="M162" i="26"/>
  <c r="B217" i="26" s="1"/>
  <c r="G162" i="26"/>
  <c r="F162" i="26"/>
  <c r="S161" i="26"/>
  <c r="V161" i="26" s="1"/>
  <c r="P161" i="26"/>
  <c r="N161" i="26"/>
  <c r="X161" i="26" s="1"/>
  <c r="M161" i="26"/>
  <c r="B212" i="26" s="1"/>
  <c r="G161" i="26"/>
  <c r="F161" i="26"/>
  <c r="S160" i="26"/>
  <c r="V160" i="26" s="1"/>
  <c r="R160" i="26"/>
  <c r="P160" i="26"/>
  <c r="N160" i="26"/>
  <c r="X160" i="26" s="1"/>
  <c r="M160" i="26"/>
  <c r="B208" i="26" s="1"/>
  <c r="D208" i="26" s="1"/>
  <c r="G160" i="26"/>
  <c r="F160" i="26"/>
  <c r="C160" i="26"/>
  <c r="S159" i="26"/>
  <c r="V159" i="26" s="1"/>
  <c r="P159" i="26"/>
  <c r="N159" i="26"/>
  <c r="X159" i="26" s="1"/>
  <c r="M159" i="26"/>
  <c r="G159" i="26"/>
  <c r="F159" i="26"/>
  <c r="S158" i="26"/>
  <c r="V158" i="26" s="1"/>
  <c r="P158" i="26"/>
  <c r="N158" i="26"/>
  <c r="X158" i="26" s="1"/>
  <c r="M158" i="26"/>
  <c r="B214" i="26" s="1"/>
  <c r="G158" i="26"/>
  <c r="F158" i="26"/>
  <c r="S157" i="26"/>
  <c r="V157" i="26" s="1"/>
  <c r="P157" i="26"/>
  <c r="N157" i="26"/>
  <c r="X157" i="26" s="1"/>
  <c r="M157" i="26"/>
  <c r="G157" i="26"/>
  <c r="F157" i="26"/>
  <c r="S156" i="26"/>
  <c r="V156" i="26" s="1"/>
  <c r="P156" i="26"/>
  <c r="N156" i="26"/>
  <c r="X156" i="26" s="1"/>
  <c r="M156" i="26"/>
  <c r="B216" i="26" s="1"/>
  <c r="D216" i="26" s="1"/>
  <c r="F216" i="26" s="1"/>
  <c r="G156" i="26"/>
  <c r="F156" i="26"/>
  <c r="S155" i="26"/>
  <c r="V155" i="26" s="1"/>
  <c r="P155" i="26"/>
  <c r="N155" i="26"/>
  <c r="X155" i="26" s="1"/>
  <c r="M155" i="26"/>
  <c r="F155" i="26"/>
  <c r="S154" i="26"/>
  <c r="V154" i="26" s="1"/>
  <c r="P154" i="26"/>
  <c r="N154" i="26"/>
  <c r="X154" i="26" s="1"/>
  <c r="M154" i="26"/>
  <c r="F154" i="26"/>
  <c r="S153" i="26"/>
  <c r="V153" i="26" s="1"/>
  <c r="R153" i="26"/>
  <c r="P153" i="26"/>
  <c r="N153" i="26"/>
  <c r="X153" i="26" s="1"/>
  <c r="M153" i="26"/>
  <c r="G153" i="26"/>
  <c r="F153" i="26"/>
  <c r="S152" i="26"/>
  <c r="V152" i="26" s="1"/>
  <c r="P152" i="26"/>
  <c r="N152" i="26"/>
  <c r="X152" i="26" s="1"/>
  <c r="M152" i="26"/>
  <c r="B209" i="26" s="1"/>
  <c r="G152" i="26"/>
  <c r="F152" i="26"/>
  <c r="S151" i="26"/>
  <c r="V151" i="26" s="1"/>
  <c r="P151" i="26"/>
  <c r="N151" i="26"/>
  <c r="X151" i="26" s="1"/>
  <c r="M151" i="26"/>
  <c r="B207" i="26" s="1"/>
  <c r="G151" i="26"/>
  <c r="F151" i="26"/>
  <c r="S150" i="26"/>
  <c r="V150" i="26" s="1"/>
  <c r="P150" i="26"/>
  <c r="N150" i="26"/>
  <c r="X150" i="26" s="1"/>
  <c r="M150" i="26"/>
  <c r="G150" i="26"/>
  <c r="F150" i="26"/>
  <c r="S149" i="26"/>
  <c r="V149" i="26" s="1"/>
  <c r="P149" i="26"/>
  <c r="N149" i="26"/>
  <c r="X149" i="26" s="1"/>
  <c r="M149" i="26"/>
  <c r="B205" i="26" s="1"/>
  <c r="G149" i="26"/>
  <c r="F149" i="26"/>
  <c r="S148" i="26"/>
  <c r="V148" i="26" s="1"/>
  <c r="P148" i="26"/>
  <c r="N148" i="26"/>
  <c r="X148" i="26" s="1"/>
  <c r="M148" i="26"/>
  <c r="G148" i="26"/>
  <c r="F148" i="26"/>
  <c r="S147" i="26"/>
  <c r="V147" i="26" s="1"/>
  <c r="P147" i="26"/>
  <c r="N147" i="26"/>
  <c r="X147" i="26" s="1"/>
  <c r="M147" i="26"/>
  <c r="G147" i="26"/>
  <c r="F147" i="26"/>
  <c r="S146" i="26"/>
  <c r="V146" i="26" s="1"/>
  <c r="P146" i="26"/>
  <c r="N146" i="26"/>
  <c r="X146" i="26" s="1"/>
  <c r="M146" i="26"/>
  <c r="B201" i="26" s="1"/>
  <c r="G146" i="26"/>
  <c r="F146" i="26"/>
  <c r="S145" i="26"/>
  <c r="V145" i="26" s="1"/>
  <c r="P145" i="26"/>
  <c r="N145" i="26"/>
  <c r="X145" i="26" s="1"/>
  <c r="M145" i="26"/>
  <c r="G145" i="26"/>
  <c r="F145" i="26"/>
  <c r="S144" i="26"/>
  <c r="V144" i="26" s="1"/>
  <c r="P144" i="26"/>
  <c r="N144" i="26"/>
  <c r="X144" i="26" s="1"/>
  <c r="M144" i="26"/>
  <c r="G144" i="26"/>
  <c r="F144" i="26"/>
  <c r="S143" i="26"/>
  <c r="V143" i="26" s="1"/>
  <c r="P143" i="26"/>
  <c r="N143" i="26"/>
  <c r="X143" i="26" s="1"/>
  <c r="M143" i="26"/>
  <c r="G143" i="26"/>
  <c r="F143" i="26"/>
  <c r="S142" i="26"/>
  <c r="V142" i="26" s="1"/>
  <c r="P142" i="26"/>
  <c r="N142" i="26"/>
  <c r="X142" i="26" s="1"/>
  <c r="M142" i="26"/>
  <c r="B195" i="26" s="1"/>
  <c r="G142" i="26"/>
  <c r="F142" i="26"/>
  <c r="S141" i="26"/>
  <c r="V141" i="26" s="1"/>
  <c r="P141" i="26"/>
  <c r="N141" i="26"/>
  <c r="X141" i="26" s="1"/>
  <c r="M141" i="26"/>
  <c r="B200" i="26" s="1"/>
  <c r="G141" i="26"/>
  <c r="F141" i="26"/>
  <c r="S140" i="26"/>
  <c r="V140" i="26" s="1"/>
  <c r="P140" i="26"/>
  <c r="N140" i="26"/>
  <c r="X140" i="26" s="1"/>
  <c r="M140" i="26"/>
  <c r="G140" i="26"/>
  <c r="F140" i="26"/>
  <c r="C140" i="26"/>
  <c r="S139" i="26"/>
  <c r="V139" i="26" s="1"/>
  <c r="P139" i="26"/>
  <c r="N139" i="26"/>
  <c r="X139" i="26" s="1"/>
  <c r="M139" i="26"/>
  <c r="B194" i="26" s="1"/>
  <c r="G139" i="26"/>
  <c r="F139" i="26"/>
  <c r="C139" i="26"/>
  <c r="S138" i="26"/>
  <c r="V138" i="26" s="1"/>
  <c r="P138" i="26"/>
  <c r="N138" i="26"/>
  <c r="X138" i="26" s="1"/>
  <c r="M138" i="26"/>
  <c r="G138" i="26"/>
  <c r="F138" i="26"/>
  <c r="C138" i="26"/>
  <c r="S137" i="26"/>
  <c r="V137" i="26" s="1"/>
  <c r="P137" i="26"/>
  <c r="N137" i="26"/>
  <c r="X137" i="26" s="1"/>
  <c r="M137" i="26"/>
  <c r="G137" i="26"/>
  <c r="F137" i="26"/>
  <c r="C137" i="26"/>
  <c r="S136" i="26"/>
  <c r="V136" i="26" s="1"/>
  <c r="P136" i="26"/>
  <c r="N136" i="26"/>
  <c r="X136" i="26" s="1"/>
  <c r="M136" i="26"/>
  <c r="B199" i="26" s="1"/>
  <c r="G136" i="26"/>
  <c r="F136" i="26"/>
  <c r="C136" i="26"/>
  <c r="S135" i="26"/>
  <c r="V135" i="26" s="1"/>
  <c r="R135" i="26"/>
  <c r="P135" i="26"/>
  <c r="N135" i="26"/>
  <c r="X135" i="26" s="1"/>
  <c r="G135" i="26"/>
  <c r="F135" i="26"/>
  <c r="C135" i="26"/>
  <c r="S134" i="26"/>
  <c r="V134" i="26" s="1"/>
  <c r="P134" i="26"/>
  <c r="N134" i="26"/>
  <c r="X134" i="26" s="1"/>
  <c r="M134" i="26"/>
  <c r="G134" i="26"/>
  <c r="F134" i="26"/>
  <c r="C134" i="26"/>
  <c r="S133" i="26"/>
  <c r="V133" i="26" s="1"/>
  <c r="R133" i="26"/>
  <c r="P133" i="26"/>
  <c r="N133" i="26"/>
  <c r="X133" i="26" s="1"/>
  <c r="G133" i="26"/>
  <c r="F133" i="26"/>
  <c r="C133" i="26"/>
  <c r="S132" i="26"/>
  <c r="V132" i="26" s="1"/>
  <c r="P132" i="26"/>
  <c r="N132" i="26"/>
  <c r="X132" i="26" s="1"/>
  <c r="M132" i="26"/>
  <c r="G132" i="26"/>
  <c r="F132" i="26"/>
  <c r="C132" i="26"/>
  <c r="S129" i="26"/>
  <c r="V129" i="26" s="1"/>
  <c r="P129" i="26"/>
  <c r="N129" i="26"/>
  <c r="X129" i="26" s="1"/>
  <c r="M129" i="26"/>
  <c r="B191" i="26" s="1"/>
  <c r="G129" i="26"/>
  <c r="F129" i="26"/>
  <c r="C129" i="26"/>
  <c r="S124" i="26"/>
  <c r="V124" i="26" s="1"/>
  <c r="R124" i="26"/>
  <c r="P124" i="26"/>
  <c r="N124" i="26"/>
  <c r="X124" i="26" s="1"/>
  <c r="G124" i="26"/>
  <c r="F124" i="26"/>
  <c r="C124" i="26"/>
  <c r="S126" i="26"/>
  <c r="V126" i="26" s="1"/>
  <c r="P126" i="26"/>
  <c r="N126" i="26"/>
  <c r="X126" i="26" s="1"/>
  <c r="M126" i="26"/>
  <c r="B192" i="26" s="1"/>
  <c r="G126" i="26"/>
  <c r="F126" i="26"/>
  <c r="C126" i="26"/>
  <c r="S125" i="26"/>
  <c r="V125" i="26" s="1"/>
  <c r="N125" i="26"/>
  <c r="X125" i="26" s="1"/>
  <c r="M125" i="26"/>
  <c r="G125" i="26"/>
  <c r="F125" i="26"/>
  <c r="C125" i="26"/>
  <c r="S127" i="26"/>
  <c r="V127" i="26" s="1"/>
  <c r="N127" i="26"/>
  <c r="X127" i="26" s="1"/>
  <c r="M127" i="26"/>
  <c r="G127" i="26"/>
  <c r="F127" i="26"/>
  <c r="C127" i="26"/>
  <c r="S128" i="26"/>
  <c r="V128" i="26" s="1"/>
  <c r="N128" i="26"/>
  <c r="X128" i="26" s="1"/>
  <c r="M128" i="26"/>
  <c r="G128" i="26"/>
  <c r="F128" i="26"/>
  <c r="C128" i="26"/>
  <c r="S123" i="26"/>
  <c r="V123" i="26" s="1"/>
  <c r="R123" i="26"/>
  <c r="P123" i="26"/>
  <c r="N123" i="26"/>
  <c r="X123" i="26" s="1"/>
  <c r="M123" i="26"/>
  <c r="B180" i="26" s="1"/>
  <c r="G123" i="26"/>
  <c r="F123" i="26"/>
  <c r="C123" i="26"/>
  <c r="S122" i="26"/>
  <c r="V122" i="26" s="1"/>
  <c r="P122" i="26"/>
  <c r="N122" i="26"/>
  <c r="X122" i="26" s="1"/>
  <c r="M122" i="26"/>
  <c r="G122" i="26"/>
  <c r="F122" i="26"/>
  <c r="C122" i="26"/>
  <c r="S121" i="26"/>
  <c r="V121" i="26" s="1"/>
  <c r="P121" i="26"/>
  <c r="N121" i="26"/>
  <c r="X121" i="26" s="1"/>
  <c r="M121" i="26"/>
  <c r="G121" i="26"/>
  <c r="F121" i="26"/>
  <c r="C121" i="26"/>
  <c r="S120" i="26"/>
  <c r="V120" i="26" s="1"/>
  <c r="P120" i="26"/>
  <c r="N120" i="26"/>
  <c r="X120" i="26" s="1"/>
  <c r="M120" i="26"/>
  <c r="B177" i="26" s="1"/>
  <c r="G120" i="26"/>
  <c r="F120" i="26"/>
  <c r="C120" i="26"/>
  <c r="S119" i="26"/>
  <c r="V119" i="26" s="1"/>
  <c r="P119" i="26"/>
  <c r="N119" i="26"/>
  <c r="X119" i="26" s="1"/>
  <c r="M119" i="26"/>
  <c r="G119" i="26"/>
  <c r="F119" i="26"/>
  <c r="C119" i="26"/>
  <c r="S117" i="26"/>
  <c r="V117" i="26" s="1"/>
  <c r="P117" i="26"/>
  <c r="N117" i="26"/>
  <c r="X117" i="26" s="1"/>
  <c r="M117" i="26"/>
  <c r="B185" i="26" s="1"/>
  <c r="G117" i="26"/>
  <c r="F117" i="26"/>
  <c r="C117" i="26"/>
  <c r="S116" i="26"/>
  <c r="V116" i="26" s="1"/>
  <c r="P116" i="26"/>
  <c r="N116" i="26"/>
  <c r="X116" i="26" s="1"/>
  <c r="M116" i="26"/>
  <c r="G116" i="26"/>
  <c r="F116" i="26"/>
  <c r="C116" i="26"/>
  <c r="S115" i="26"/>
  <c r="V115" i="26" s="1"/>
  <c r="P115" i="26"/>
  <c r="N115" i="26"/>
  <c r="X115" i="26" s="1"/>
  <c r="M115" i="26"/>
  <c r="B174" i="26" s="1"/>
  <c r="C174" i="26" s="1"/>
  <c r="G115" i="26"/>
  <c r="F115" i="26"/>
  <c r="C115" i="26"/>
  <c r="S114" i="26"/>
  <c r="V114" i="26" s="1"/>
  <c r="P114" i="26"/>
  <c r="N114" i="26"/>
  <c r="X114" i="26" s="1"/>
  <c r="M114" i="26"/>
  <c r="G114" i="26"/>
  <c r="F114" i="26"/>
  <c r="C114" i="26"/>
  <c r="S113" i="26"/>
  <c r="V113" i="26" s="1"/>
  <c r="P113" i="26"/>
  <c r="N113" i="26"/>
  <c r="X113" i="26" s="1"/>
  <c r="M113" i="26"/>
  <c r="G113" i="26"/>
  <c r="F113" i="26"/>
  <c r="C113" i="26"/>
  <c r="S112" i="26"/>
  <c r="V112" i="26" s="1"/>
  <c r="P112" i="26"/>
  <c r="N112" i="26"/>
  <c r="X112" i="26" s="1"/>
  <c r="M112" i="26"/>
  <c r="G112" i="26"/>
  <c r="F112" i="26"/>
  <c r="C112" i="26"/>
  <c r="S111" i="26"/>
  <c r="V111" i="26" s="1"/>
  <c r="P111" i="26"/>
  <c r="N111" i="26"/>
  <c r="X111" i="26" s="1"/>
  <c r="M111" i="26"/>
  <c r="G111" i="26"/>
  <c r="F111" i="26"/>
  <c r="C111" i="26"/>
  <c r="S110" i="26"/>
  <c r="V110" i="26" s="1"/>
  <c r="P110" i="26"/>
  <c r="N110" i="26"/>
  <c r="X110" i="26" s="1"/>
  <c r="M110" i="26"/>
  <c r="G110" i="26"/>
  <c r="F110" i="26"/>
  <c r="C110" i="26"/>
  <c r="S109" i="26"/>
  <c r="V109" i="26" s="1"/>
  <c r="P109" i="26"/>
  <c r="N109" i="26"/>
  <c r="X109" i="26" s="1"/>
  <c r="M109" i="26"/>
  <c r="G109" i="26"/>
  <c r="F109" i="26"/>
  <c r="C109" i="26"/>
  <c r="S108" i="26"/>
  <c r="V108" i="26" s="1"/>
  <c r="P108" i="26"/>
  <c r="N108" i="26"/>
  <c r="X108" i="26" s="1"/>
  <c r="M108" i="26"/>
  <c r="G108" i="26"/>
  <c r="F108" i="26"/>
  <c r="C108" i="26"/>
  <c r="S107" i="26"/>
  <c r="V107" i="26" s="1"/>
  <c r="P107" i="26"/>
  <c r="N107" i="26"/>
  <c r="X107" i="26" s="1"/>
  <c r="M107" i="26"/>
  <c r="G107" i="26"/>
  <c r="F107" i="26"/>
  <c r="C107" i="26"/>
  <c r="S106" i="26"/>
  <c r="V106" i="26" s="1"/>
  <c r="P106" i="26"/>
  <c r="N106" i="26"/>
  <c r="X106" i="26" s="1"/>
  <c r="M106" i="26"/>
  <c r="G106" i="26"/>
  <c r="F106" i="26"/>
  <c r="C106" i="26"/>
  <c r="S105" i="26"/>
  <c r="V105" i="26" s="1"/>
  <c r="P105" i="26"/>
  <c r="N105" i="26"/>
  <c r="X105" i="26" s="1"/>
  <c r="M105" i="26"/>
  <c r="G105" i="26"/>
  <c r="F105" i="26"/>
  <c r="C105" i="26"/>
  <c r="S104" i="26"/>
  <c r="V104" i="26" s="1"/>
  <c r="P104" i="26"/>
  <c r="N104" i="26"/>
  <c r="X104" i="26" s="1"/>
  <c r="M104" i="26"/>
  <c r="B170" i="26" s="1"/>
  <c r="C170" i="26" s="1"/>
  <c r="G104" i="26"/>
  <c r="F104" i="26"/>
  <c r="C104" i="26"/>
  <c r="S103" i="26"/>
  <c r="V103" i="26" s="1"/>
  <c r="P103" i="26"/>
  <c r="N103" i="26"/>
  <c r="X103" i="26" s="1"/>
  <c r="M103" i="26"/>
  <c r="B162" i="26" s="1"/>
  <c r="C162" i="26" s="1"/>
  <c r="G103" i="26"/>
  <c r="F103" i="26"/>
  <c r="C103" i="26"/>
  <c r="S102" i="26"/>
  <c r="V102" i="26" s="1"/>
  <c r="P102" i="26"/>
  <c r="N102" i="26"/>
  <c r="X102" i="26" s="1"/>
  <c r="M102" i="26"/>
  <c r="G102" i="26"/>
  <c r="F102" i="26"/>
  <c r="C102" i="26"/>
  <c r="S101" i="26"/>
  <c r="V101" i="26" s="1"/>
  <c r="P101" i="26"/>
  <c r="N101" i="26"/>
  <c r="X101" i="26" s="1"/>
  <c r="M101" i="26"/>
  <c r="B167" i="26" s="1"/>
  <c r="C167" i="26" s="1"/>
  <c r="G101" i="26"/>
  <c r="F101" i="26"/>
  <c r="C101" i="26"/>
  <c r="W100" i="26"/>
  <c r="S100" i="26"/>
  <c r="V100" i="26" s="1"/>
  <c r="P100" i="26"/>
  <c r="N100" i="26"/>
  <c r="X100" i="26" s="1"/>
  <c r="M100" i="26"/>
  <c r="G100" i="26"/>
  <c r="F100" i="26"/>
  <c r="C100" i="26"/>
  <c r="W99" i="26"/>
  <c r="S99" i="26"/>
  <c r="V99" i="26" s="1"/>
  <c r="P99" i="26"/>
  <c r="N99" i="26"/>
  <c r="X99" i="26" s="1"/>
  <c r="M99" i="26"/>
  <c r="B158" i="26" s="1"/>
  <c r="C158" i="26" s="1"/>
  <c r="G99" i="26"/>
  <c r="F99" i="26"/>
  <c r="C99" i="26"/>
  <c r="W98" i="26"/>
  <c r="S98" i="26"/>
  <c r="V98" i="26" s="1"/>
  <c r="P98" i="26"/>
  <c r="N98" i="26"/>
  <c r="X98" i="26" s="1"/>
  <c r="M98" i="26"/>
  <c r="G98" i="26"/>
  <c r="F98" i="26"/>
  <c r="C98" i="26"/>
  <c r="W97" i="26"/>
  <c r="S97" i="26"/>
  <c r="V97" i="26" s="1"/>
  <c r="P97" i="26"/>
  <c r="N97" i="26"/>
  <c r="X97" i="26" s="1"/>
  <c r="M97" i="26"/>
  <c r="G97" i="26"/>
  <c r="F97" i="26"/>
  <c r="C97" i="26"/>
  <c r="W96" i="26"/>
  <c r="S96" i="26"/>
  <c r="V96" i="26" s="1"/>
  <c r="P96" i="26"/>
  <c r="N96" i="26"/>
  <c r="X96" i="26" s="1"/>
  <c r="M96" i="26"/>
  <c r="G96" i="26"/>
  <c r="F96" i="26"/>
  <c r="C96" i="26"/>
  <c r="W95" i="26"/>
  <c r="S95" i="26"/>
  <c r="V95" i="26" s="1"/>
  <c r="P95" i="26"/>
  <c r="N95" i="26"/>
  <c r="X95" i="26" s="1"/>
  <c r="M95" i="26"/>
  <c r="G95" i="26"/>
  <c r="F95" i="26"/>
  <c r="C95" i="26"/>
  <c r="W94" i="26"/>
  <c r="S94" i="26"/>
  <c r="V94" i="26" s="1"/>
  <c r="P94" i="26"/>
  <c r="N94" i="26"/>
  <c r="X94" i="26" s="1"/>
  <c r="M94" i="26"/>
  <c r="G94" i="26"/>
  <c r="F94" i="26"/>
  <c r="C94" i="26"/>
  <c r="W93" i="26"/>
  <c r="S93" i="26"/>
  <c r="V93" i="26" s="1"/>
  <c r="P93" i="26"/>
  <c r="N93" i="26"/>
  <c r="X93" i="26" s="1"/>
  <c r="M93" i="26"/>
  <c r="G93" i="26"/>
  <c r="F93" i="26"/>
  <c r="C93" i="26"/>
  <c r="W92" i="26"/>
  <c r="S92" i="26"/>
  <c r="V92" i="26" s="1"/>
  <c r="P92" i="26"/>
  <c r="N92" i="26"/>
  <c r="X92" i="26" s="1"/>
  <c r="M92" i="26"/>
  <c r="G92" i="26"/>
  <c r="F92" i="26"/>
  <c r="C92" i="26"/>
  <c r="W91" i="26"/>
  <c r="S91" i="26"/>
  <c r="V91" i="26" s="1"/>
  <c r="P91" i="26"/>
  <c r="N91" i="26"/>
  <c r="X91" i="26" s="1"/>
  <c r="M91" i="26"/>
  <c r="B157" i="26" s="1"/>
  <c r="C157" i="26" s="1"/>
  <c r="G91" i="26"/>
  <c r="F91" i="26"/>
  <c r="C91" i="26"/>
  <c r="W90" i="26"/>
  <c r="S90" i="26"/>
  <c r="V90" i="26" s="1"/>
  <c r="R90" i="26"/>
  <c r="P90" i="26"/>
  <c r="N90" i="26"/>
  <c r="X90" i="26" s="1"/>
  <c r="M90" i="26"/>
  <c r="B153" i="26" s="1"/>
  <c r="C153" i="26" s="1"/>
  <c r="G90" i="26"/>
  <c r="F90" i="26"/>
  <c r="C90" i="26"/>
  <c r="W89" i="26"/>
  <c r="S89" i="26"/>
  <c r="V89" i="26" s="1"/>
  <c r="P89" i="26"/>
  <c r="N89" i="26"/>
  <c r="X89" i="26" s="1"/>
  <c r="M89" i="26"/>
  <c r="G89" i="26"/>
  <c r="F89" i="26"/>
  <c r="C89" i="26"/>
  <c r="W88" i="26"/>
  <c r="S88" i="26"/>
  <c r="V88" i="26" s="1"/>
  <c r="P88" i="26"/>
  <c r="N88" i="26"/>
  <c r="X88" i="26" s="1"/>
  <c r="M88" i="26"/>
  <c r="B152" i="26" s="1"/>
  <c r="C152" i="26" s="1"/>
  <c r="G88" i="26"/>
  <c r="F88" i="26"/>
  <c r="C88" i="26"/>
  <c r="W87" i="26"/>
  <c r="S87" i="26"/>
  <c r="V87" i="26" s="1"/>
  <c r="P87" i="26"/>
  <c r="N87" i="26"/>
  <c r="X87" i="26" s="1"/>
  <c r="M87" i="26"/>
  <c r="B161" i="26" s="1"/>
  <c r="C161" i="26" s="1"/>
  <c r="G87" i="26"/>
  <c r="F87" i="26"/>
  <c r="C87" i="26"/>
  <c r="W86" i="26"/>
  <c r="S86" i="26"/>
  <c r="V86" i="26" s="1"/>
  <c r="P86" i="26"/>
  <c r="N86" i="26"/>
  <c r="X86" i="26" s="1"/>
  <c r="M86" i="26"/>
  <c r="G86" i="26"/>
  <c r="F86" i="26"/>
  <c r="C86" i="26"/>
  <c r="W85" i="26"/>
  <c r="S85" i="26"/>
  <c r="V85" i="26" s="1"/>
  <c r="P85" i="26"/>
  <c r="N85" i="26"/>
  <c r="X85" i="26" s="1"/>
  <c r="M85" i="26"/>
  <c r="B151" i="26" s="1"/>
  <c r="C151" i="26" s="1"/>
  <c r="G85" i="26"/>
  <c r="F85" i="26"/>
  <c r="C85" i="26"/>
  <c r="W84" i="26"/>
  <c r="S84" i="26"/>
  <c r="V84" i="26" s="1"/>
  <c r="P84" i="26"/>
  <c r="N84" i="26"/>
  <c r="X84" i="26" s="1"/>
  <c r="M84" i="26"/>
  <c r="G84" i="26"/>
  <c r="F84" i="26"/>
  <c r="C84" i="26"/>
  <c r="W83" i="26"/>
  <c r="S83" i="26"/>
  <c r="V83" i="26" s="1"/>
  <c r="P83" i="26"/>
  <c r="N83" i="26"/>
  <c r="X83" i="26" s="1"/>
  <c r="M83" i="26"/>
  <c r="G83" i="26"/>
  <c r="F83" i="26"/>
  <c r="C83" i="26"/>
  <c r="W82" i="26"/>
  <c r="S82" i="26"/>
  <c r="V82" i="26" s="1"/>
  <c r="P82" i="26"/>
  <c r="N82" i="26"/>
  <c r="X82" i="26" s="1"/>
  <c r="M82" i="26"/>
  <c r="B146" i="26" s="1"/>
  <c r="C146" i="26" s="1"/>
  <c r="G82" i="26"/>
  <c r="F82" i="26"/>
  <c r="C82" i="26"/>
  <c r="W81" i="26"/>
  <c r="S81" i="26"/>
  <c r="V81" i="26" s="1"/>
  <c r="P81" i="26"/>
  <c r="N81" i="26"/>
  <c r="X81" i="26" s="1"/>
  <c r="M81" i="26"/>
  <c r="G81" i="26"/>
  <c r="F81" i="26"/>
  <c r="C81" i="26"/>
  <c r="W80" i="26"/>
  <c r="S80" i="26"/>
  <c r="V80" i="26" s="1"/>
  <c r="P80" i="26"/>
  <c r="N80" i="26"/>
  <c r="X80" i="26" s="1"/>
  <c r="M80" i="26"/>
  <c r="G80" i="26"/>
  <c r="F80" i="26"/>
  <c r="C80" i="26"/>
  <c r="W79" i="26"/>
  <c r="S79" i="26"/>
  <c r="V79" i="26" s="1"/>
  <c r="P79" i="26"/>
  <c r="N79" i="26"/>
  <c r="X79" i="26" s="1"/>
  <c r="M79" i="26"/>
  <c r="G79" i="26"/>
  <c r="F79" i="26"/>
  <c r="C79" i="26"/>
  <c r="W78" i="26"/>
  <c r="S78" i="26"/>
  <c r="V78" i="26" s="1"/>
  <c r="P78" i="26"/>
  <c r="N78" i="26"/>
  <c r="X78" i="26" s="1"/>
  <c r="M78" i="26"/>
  <c r="G78" i="26"/>
  <c r="F78" i="26"/>
  <c r="C78" i="26"/>
  <c r="W77" i="26"/>
  <c r="S77" i="26"/>
  <c r="V77" i="26" s="1"/>
  <c r="P77" i="26"/>
  <c r="N77" i="26"/>
  <c r="X77" i="26" s="1"/>
  <c r="M77" i="26"/>
  <c r="G77" i="26"/>
  <c r="F77" i="26"/>
  <c r="C77" i="26"/>
  <c r="W76" i="26"/>
  <c r="S76" i="26"/>
  <c r="V76" i="26" s="1"/>
  <c r="P76" i="26"/>
  <c r="N76" i="26"/>
  <c r="X76" i="26" s="1"/>
  <c r="M76" i="26"/>
  <c r="B141" i="26" s="1"/>
  <c r="C141" i="26" s="1"/>
  <c r="G76" i="26"/>
  <c r="F76" i="26"/>
  <c r="C76" i="26"/>
  <c r="W75" i="26"/>
  <c r="S75" i="26"/>
  <c r="V75" i="26" s="1"/>
  <c r="P75" i="26"/>
  <c r="N75" i="26"/>
  <c r="X75" i="26" s="1"/>
  <c r="M75" i="26"/>
  <c r="G75" i="26"/>
  <c r="F75" i="26"/>
  <c r="C75" i="26"/>
  <c r="W74" i="26"/>
  <c r="S74" i="26"/>
  <c r="V74" i="26" s="1"/>
  <c r="P74" i="26"/>
  <c r="N74" i="26"/>
  <c r="X74" i="26" s="1"/>
  <c r="M74" i="26"/>
  <c r="G74" i="26"/>
  <c r="F74" i="26"/>
  <c r="C74" i="26"/>
  <c r="W73" i="26"/>
  <c r="S73" i="26"/>
  <c r="V73" i="26" s="1"/>
  <c r="P73" i="26"/>
  <c r="N73" i="26"/>
  <c r="X73" i="26" s="1"/>
  <c r="M73" i="26"/>
  <c r="B145" i="26" s="1"/>
  <c r="C145" i="26" s="1"/>
  <c r="G73" i="26"/>
  <c r="F73" i="26"/>
  <c r="C73" i="26"/>
  <c r="W72" i="26"/>
  <c r="S72" i="26"/>
  <c r="P72" i="26"/>
  <c r="N72" i="26"/>
  <c r="X72" i="26" s="1"/>
  <c r="M72" i="26"/>
  <c r="B144" i="26" s="1"/>
  <c r="C144" i="26" s="1"/>
  <c r="G72" i="26"/>
  <c r="F72" i="26"/>
  <c r="C72" i="26"/>
  <c r="W71" i="26"/>
  <c r="S71" i="26"/>
  <c r="R71" i="26"/>
  <c r="P71" i="26"/>
  <c r="N71" i="26"/>
  <c r="X71" i="26" s="1"/>
  <c r="M71" i="26"/>
  <c r="G71" i="26"/>
  <c r="F71" i="26"/>
  <c r="C71" i="26"/>
  <c r="W70" i="26"/>
  <c r="S70" i="26"/>
  <c r="P70" i="26"/>
  <c r="N70" i="26"/>
  <c r="X70" i="26" s="1"/>
  <c r="M70" i="26"/>
  <c r="B142" i="26" s="1"/>
  <c r="C142" i="26" s="1"/>
  <c r="G70" i="26"/>
  <c r="F70" i="26"/>
  <c r="C70" i="26"/>
  <c r="W69" i="26"/>
  <c r="S69" i="26"/>
  <c r="P69" i="26"/>
  <c r="N69" i="26"/>
  <c r="X69" i="26" s="1"/>
  <c r="M69" i="26"/>
  <c r="G69" i="26"/>
  <c r="F69" i="26"/>
  <c r="C69" i="26"/>
  <c r="W68" i="26"/>
  <c r="S68" i="26"/>
  <c r="P68" i="26"/>
  <c r="N68" i="26"/>
  <c r="X68" i="26" s="1"/>
  <c r="M68" i="26"/>
  <c r="G68" i="26"/>
  <c r="F68" i="26"/>
  <c r="C68" i="26"/>
  <c r="W67" i="26"/>
  <c r="S67" i="26"/>
  <c r="P67" i="26"/>
  <c r="N67" i="26"/>
  <c r="X67" i="26" s="1"/>
  <c r="M67" i="26"/>
  <c r="G67" i="26"/>
  <c r="F67" i="26"/>
  <c r="C67" i="26"/>
  <c r="W66" i="26"/>
  <c r="S66" i="26"/>
  <c r="P66" i="26"/>
  <c r="N66" i="26"/>
  <c r="X66" i="26" s="1"/>
  <c r="M66" i="26"/>
  <c r="G66" i="26"/>
  <c r="F66" i="26"/>
  <c r="C66" i="26"/>
  <c r="W65" i="26"/>
  <c r="S65" i="26"/>
  <c r="P65" i="26"/>
  <c r="N65" i="26"/>
  <c r="X65" i="26" s="1"/>
  <c r="M65" i="26"/>
  <c r="G65" i="26"/>
  <c r="F65" i="26"/>
  <c r="C65" i="26"/>
  <c r="W64" i="26"/>
  <c r="S64" i="26"/>
  <c r="P64" i="26"/>
  <c r="N64" i="26"/>
  <c r="X64" i="26" s="1"/>
  <c r="M64" i="26"/>
  <c r="G64" i="26"/>
  <c r="F64" i="26"/>
  <c r="C64" i="26"/>
  <c r="W63" i="26"/>
  <c r="S63" i="26"/>
  <c r="R63" i="26"/>
  <c r="P63" i="26"/>
  <c r="N63" i="26"/>
  <c r="X63" i="26" s="1"/>
  <c r="M63" i="26"/>
  <c r="G63" i="26"/>
  <c r="F63" i="26"/>
  <c r="C63" i="26"/>
  <c r="W62" i="26"/>
  <c r="S62" i="26"/>
  <c r="R62" i="26"/>
  <c r="P62" i="26"/>
  <c r="N62" i="26"/>
  <c r="X62" i="26" s="1"/>
  <c r="M62" i="26"/>
  <c r="G62" i="26"/>
  <c r="F62" i="26"/>
  <c r="C62" i="26"/>
  <c r="W61" i="26"/>
  <c r="S61" i="26"/>
  <c r="P61" i="26"/>
  <c r="N61" i="26"/>
  <c r="X61" i="26" s="1"/>
  <c r="M61" i="26"/>
  <c r="G61" i="26"/>
  <c r="F61" i="26"/>
  <c r="C61" i="26"/>
  <c r="W60" i="26"/>
  <c r="S60" i="26"/>
  <c r="P60" i="26"/>
  <c r="N60" i="26"/>
  <c r="X60" i="26" s="1"/>
  <c r="M60" i="26"/>
  <c r="G60" i="26"/>
  <c r="F60" i="26"/>
  <c r="C60" i="26"/>
  <c r="W59" i="26"/>
  <c r="S59" i="26"/>
  <c r="P59" i="26"/>
  <c r="N59" i="26"/>
  <c r="X59" i="26" s="1"/>
  <c r="M59" i="26"/>
  <c r="G59" i="26"/>
  <c r="F59" i="26"/>
  <c r="C59" i="26"/>
  <c r="W58" i="26"/>
  <c r="S58" i="26"/>
  <c r="P58" i="26"/>
  <c r="N58" i="26"/>
  <c r="X58" i="26" s="1"/>
  <c r="M58" i="26"/>
  <c r="G58" i="26"/>
  <c r="F58" i="26"/>
  <c r="C58" i="26"/>
  <c r="W57" i="26"/>
  <c r="S57" i="26"/>
  <c r="P57" i="26"/>
  <c r="N57" i="26"/>
  <c r="X57" i="26" s="1"/>
  <c r="M57" i="26"/>
  <c r="G57" i="26"/>
  <c r="F57" i="26"/>
  <c r="C57" i="26"/>
  <c r="W56" i="26"/>
  <c r="S56" i="26"/>
  <c r="P56" i="26"/>
  <c r="F56" i="26"/>
  <c r="W55" i="26"/>
  <c r="S55" i="26"/>
  <c r="P55" i="26"/>
  <c r="N55" i="26"/>
  <c r="X55" i="26" s="1"/>
  <c r="K55" i="26"/>
  <c r="G55" i="26"/>
  <c r="F55" i="26"/>
  <c r="C55" i="26"/>
  <c r="W54" i="26"/>
  <c r="S54" i="26"/>
  <c r="R54" i="26"/>
  <c r="P54" i="26"/>
  <c r="N54" i="26"/>
  <c r="X54" i="26" s="1"/>
  <c r="M54" i="26"/>
  <c r="G54" i="26"/>
  <c r="F54" i="26"/>
  <c r="C54" i="26"/>
  <c r="W53" i="26"/>
  <c r="S53" i="26"/>
  <c r="P53" i="26"/>
  <c r="N53" i="26"/>
  <c r="X53" i="26" s="1"/>
  <c r="M53" i="26"/>
  <c r="G53" i="26"/>
  <c r="F53" i="26"/>
  <c r="C53" i="26"/>
  <c r="W52" i="26"/>
  <c r="S52" i="26"/>
  <c r="P52" i="26"/>
  <c r="N52" i="26"/>
  <c r="X52" i="26" s="1"/>
  <c r="M52" i="26"/>
  <c r="G52" i="26"/>
  <c r="F52" i="26"/>
  <c r="C52" i="26"/>
  <c r="W51" i="26"/>
  <c r="S51" i="26"/>
  <c r="P51" i="26"/>
  <c r="N51" i="26"/>
  <c r="X51" i="26" s="1"/>
  <c r="M51" i="26"/>
  <c r="G51" i="26"/>
  <c r="F51" i="26"/>
  <c r="C51" i="26"/>
  <c r="W50" i="26"/>
  <c r="S50" i="26"/>
  <c r="P50" i="26"/>
  <c r="N50" i="26"/>
  <c r="X50" i="26" s="1"/>
  <c r="M50" i="26"/>
  <c r="G50" i="26"/>
  <c r="F50" i="26"/>
  <c r="C50" i="26"/>
  <c r="W49" i="26"/>
  <c r="S49" i="26"/>
  <c r="P49" i="26"/>
  <c r="N49" i="26"/>
  <c r="X49" i="26" s="1"/>
  <c r="M49" i="26"/>
  <c r="G49" i="26"/>
  <c r="F49" i="26"/>
  <c r="C49" i="26"/>
  <c r="W48" i="26"/>
  <c r="S48" i="26"/>
  <c r="P48" i="26"/>
  <c r="N48" i="26"/>
  <c r="X48" i="26" s="1"/>
  <c r="M48" i="26"/>
  <c r="G48" i="26"/>
  <c r="F48" i="26"/>
  <c r="C48" i="26"/>
  <c r="W47" i="26"/>
  <c r="S47" i="26"/>
  <c r="P47" i="26"/>
  <c r="N47" i="26"/>
  <c r="X47" i="26" s="1"/>
  <c r="M47" i="26"/>
  <c r="G47" i="26"/>
  <c r="F47" i="26"/>
  <c r="C47" i="26"/>
  <c r="W46" i="26"/>
  <c r="S46" i="26"/>
  <c r="P46" i="26"/>
  <c r="N46" i="26"/>
  <c r="X46" i="26" s="1"/>
  <c r="M46" i="26"/>
  <c r="G46" i="26"/>
  <c r="F46" i="26"/>
  <c r="C46" i="26"/>
  <c r="W45" i="26"/>
  <c r="S45" i="26"/>
  <c r="P45" i="26"/>
  <c r="N45" i="26"/>
  <c r="X45" i="26" s="1"/>
  <c r="M45" i="26"/>
  <c r="G45" i="26"/>
  <c r="F45" i="26"/>
  <c r="C45" i="26"/>
  <c r="W44" i="26"/>
  <c r="S44" i="26"/>
  <c r="P44" i="26"/>
  <c r="N44" i="26"/>
  <c r="X44" i="26" s="1"/>
  <c r="M44" i="26"/>
  <c r="G44" i="26"/>
  <c r="F44" i="26"/>
  <c r="C44" i="26"/>
  <c r="W43" i="26"/>
  <c r="S43" i="26"/>
  <c r="P43" i="26"/>
  <c r="N43" i="26"/>
  <c r="X43" i="26" s="1"/>
  <c r="M43" i="26"/>
  <c r="G43" i="26"/>
  <c r="F43" i="26"/>
  <c r="C43" i="26"/>
  <c r="W42" i="26"/>
  <c r="S42" i="26"/>
  <c r="P42" i="26"/>
  <c r="N42" i="26"/>
  <c r="X42" i="26" s="1"/>
  <c r="M42" i="26"/>
  <c r="G42" i="26"/>
  <c r="F42" i="26"/>
  <c r="C42" i="26"/>
  <c r="W41" i="26"/>
  <c r="S41" i="26"/>
  <c r="R41" i="26"/>
  <c r="P41" i="26"/>
  <c r="N41" i="26"/>
  <c r="X41" i="26" s="1"/>
  <c r="M41" i="26"/>
  <c r="G41" i="26"/>
  <c r="F41" i="26"/>
  <c r="C41" i="26"/>
  <c r="W40" i="26"/>
  <c r="S40" i="26"/>
  <c r="P40" i="26"/>
  <c r="N40" i="26"/>
  <c r="X40" i="26" s="1"/>
  <c r="M40" i="26"/>
  <c r="G40" i="26"/>
  <c r="F40" i="26"/>
  <c r="C40" i="26"/>
  <c r="W39" i="26"/>
  <c r="S39" i="26"/>
  <c r="P39" i="26"/>
  <c r="N39" i="26"/>
  <c r="X39" i="26" s="1"/>
  <c r="M39" i="26"/>
  <c r="G39" i="26"/>
  <c r="F39" i="26"/>
  <c r="C39" i="26"/>
  <c r="W38" i="26"/>
  <c r="S38" i="26"/>
  <c r="P38" i="26"/>
  <c r="N38" i="26"/>
  <c r="X38" i="26" s="1"/>
  <c r="M38" i="26"/>
  <c r="G38" i="26"/>
  <c r="F38" i="26"/>
  <c r="C38" i="26"/>
  <c r="W37" i="26"/>
  <c r="S37" i="26"/>
  <c r="P37" i="26"/>
  <c r="N37" i="26"/>
  <c r="X37" i="26" s="1"/>
  <c r="M37" i="26"/>
  <c r="G37" i="26"/>
  <c r="F37" i="26"/>
  <c r="C37" i="26"/>
  <c r="W36" i="26"/>
  <c r="S36" i="26"/>
  <c r="P36" i="26"/>
  <c r="N36" i="26"/>
  <c r="X36" i="26" s="1"/>
  <c r="M36" i="26"/>
  <c r="G36" i="26"/>
  <c r="F36" i="26"/>
  <c r="C36" i="26"/>
  <c r="W35" i="26"/>
  <c r="S35" i="26"/>
  <c r="P35" i="26"/>
  <c r="N35" i="26"/>
  <c r="X35" i="26" s="1"/>
  <c r="M35" i="26"/>
  <c r="G35" i="26"/>
  <c r="F35" i="26"/>
  <c r="C35" i="26"/>
  <c r="W34" i="26"/>
  <c r="S34" i="26"/>
  <c r="P34" i="26"/>
  <c r="N34" i="26"/>
  <c r="X34" i="26" s="1"/>
  <c r="M34" i="26"/>
  <c r="G34" i="26"/>
  <c r="F34" i="26"/>
  <c r="C34" i="26"/>
  <c r="W33" i="26"/>
  <c r="S33" i="26"/>
  <c r="P33" i="26"/>
  <c r="N33" i="26"/>
  <c r="X33" i="26" s="1"/>
  <c r="M33" i="26"/>
  <c r="G33" i="26"/>
  <c r="F33" i="26"/>
  <c r="C33" i="26"/>
  <c r="W32" i="26"/>
  <c r="S32" i="26"/>
  <c r="P32" i="26"/>
  <c r="N32" i="26"/>
  <c r="X32" i="26" s="1"/>
  <c r="M32" i="26"/>
  <c r="G32" i="26"/>
  <c r="F32" i="26"/>
  <c r="C32" i="26"/>
  <c r="W31" i="26"/>
  <c r="S31" i="26"/>
  <c r="P31" i="26"/>
  <c r="N31" i="26"/>
  <c r="X31" i="26" s="1"/>
  <c r="M31" i="26"/>
  <c r="G31" i="26"/>
  <c r="F31" i="26"/>
  <c r="C31" i="26"/>
  <c r="W30" i="26"/>
  <c r="S30" i="26"/>
  <c r="P30" i="26"/>
  <c r="N30" i="26"/>
  <c r="X30" i="26" s="1"/>
  <c r="M30" i="26"/>
  <c r="G30" i="26"/>
  <c r="F30" i="26"/>
  <c r="C30" i="26"/>
  <c r="W29" i="26"/>
  <c r="S29" i="26"/>
  <c r="P29" i="26"/>
  <c r="N29" i="26"/>
  <c r="X29" i="26" s="1"/>
  <c r="M29" i="26"/>
  <c r="G29" i="26"/>
  <c r="F29" i="26"/>
  <c r="C29" i="26"/>
  <c r="W28" i="26"/>
  <c r="S28" i="26"/>
  <c r="P28" i="26"/>
  <c r="N28" i="26"/>
  <c r="X28" i="26" s="1"/>
  <c r="M28" i="26"/>
  <c r="G28" i="26"/>
  <c r="F28" i="26"/>
  <c r="C28" i="26"/>
  <c r="W27" i="26"/>
  <c r="S27" i="26"/>
  <c r="P27" i="26"/>
  <c r="N27" i="26"/>
  <c r="X27" i="26" s="1"/>
  <c r="M27" i="26"/>
  <c r="G27" i="26"/>
  <c r="F27" i="26"/>
  <c r="C27" i="26"/>
  <c r="W26" i="26"/>
  <c r="S26" i="26"/>
  <c r="P26" i="26"/>
  <c r="N26" i="26"/>
  <c r="X26" i="26" s="1"/>
  <c r="M26" i="26"/>
  <c r="G26" i="26"/>
  <c r="F26" i="26"/>
  <c r="C26" i="26"/>
  <c r="W25" i="26"/>
  <c r="S25" i="26"/>
  <c r="P25" i="26"/>
  <c r="N25" i="26"/>
  <c r="X25" i="26" s="1"/>
  <c r="M25" i="26"/>
  <c r="G25" i="26"/>
  <c r="F25" i="26"/>
  <c r="C25" i="26"/>
  <c r="W24" i="26"/>
  <c r="S24" i="26"/>
  <c r="P24" i="26"/>
  <c r="N24" i="26"/>
  <c r="X24" i="26" s="1"/>
  <c r="M24" i="26"/>
  <c r="G24" i="26"/>
  <c r="F24" i="26"/>
  <c r="C24" i="26"/>
  <c r="W23" i="26"/>
  <c r="S23" i="26"/>
  <c r="P23" i="26"/>
  <c r="N23" i="26"/>
  <c r="X23" i="26" s="1"/>
  <c r="M23" i="26"/>
  <c r="G23" i="26"/>
  <c r="F23" i="26"/>
  <c r="C23" i="26"/>
  <c r="W22" i="26"/>
  <c r="S22" i="26"/>
  <c r="P22" i="26"/>
  <c r="N22" i="26"/>
  <c r="X22" i="26" s="1"/>
  <c r="M22" i="26"/>
  <c r="G22" i="26"/>
  <c r="F22" i="26"/>
  <c r="C22" i="26"/>
  <c r="W21" i="26"/>
  <c r="S21" i="26"/>
  <c r="P21" i="26"/>
  <c r="N21" i="26"/>
  <c r="X21" i="26" s="1"/>
  <c r="M21" i="26"/>
  <c r="G21" i="26"/>
  <c r="F21" i="26"/>
  <c r="C21" i="26"/>
  <c r="W20" i="26"/>
  <c r="S20" i="26"/>
  <c r="P20" i="26"/>
  <c r="N20" i="26"/>
  <c r="X20" i="26" s="1"/>
  <c r="M20" i="26"/>
  <c r="G20" i="26"/>
  <c r="F20" i="26"/>
  <c r="C20" i="26"/>
  <c r="W19" i="26"/>
  <c r="S19" i="26"/>
  <c r="P19" i="26"/>
  <c r="N19" i="26"/>
  <c r="X19" i="26" s="1"/>
  <c r="M19" i="26"/>
  <c r="G19" i="26"/>
  <c r="F19" i="26"/>
  <c r="C19" i="26"/>
  <c r="W18" i="26"/>
  <c r="S18" i="26"/>
  <c r="P18" i="26"/>
  <c r="N18" i="26"/>
  <c r="X18" i="26" s="1"/>
  <c r="M18" i="26"/>
  <c r="G18" i="26"/>
  <c r="F18" i="26"/>
  <c r="C18" i="26"/>
  <c r="W17" i="26"/>
  <c r="S17" i="26"/>
  <c r="P17" i="26"/>
  <c r="N17" i="26"/>
  <c r="X17" i="26" s="1"/>
  <c r="M17" i="26"/>
  <c r="G17" i="26"/>
  <c r="F17" i="26"/>
  <c r="C17" i="26"/>
  <c r="W16" i="26"/>
  <c r="S16" i="26"/>
  <c r="P16" i="26"/>
  <c r="N16" i="26"/>
  <c r="X16" i="26" s="1"/>
  <c r="M16" i="26"/>
  <c r="G16" i="26"/>
  <c r="F16" i="26"/>
  <c r="C16" i="26"/>
  <c r="W15" i="26"/>
  <c r="S15" i="26"/>
  <c r="P15" i="26"/>
  <c r="N15" i="26"/>
  <c r="X15" i="26" s="1"/>
  <c r="M15" i="26"/>
  <c r="G15" i="26"/>
  <c r="F15" i="26"/>
  <c r="C15" i="26"/>
  <c r="W14" i="26"/>
  <c r="S14" i="26"/>
  <c r="P14" i="26"/>
  <c r="N14" i="26"/>
  <c r="X14" i="26" s="1"/>
  <c r="M14" i="26"/>
  <c r="G14" i="26"/>
  <c r="F14" i="26"/>
  <c r="C14" i="26"/>
  <c r="W13" i="26"/>
  <c r="S13" i="26"/>
  <c r="P13" i="26"/>
  <c r="N13" i="26"/>
  <c r="X13" i="26" s="1"/>
  <c r="M13" i="26"/>
  <c r="G13" i="26"/>
  <c r="F13" i="26"/>
  <c r="C13" i="26"/>
  <c r="W12" i="26"/>
  <c r="S12" i="26"/>
  <c r="U12" i="26" s="1"/>
  <c r="R12" i="26"/>
  <c r="P12" i="26"/>
  <c r="N12" i="26"/>
  <c r="X12" i="26" s="1"/>
  <c r="M12" i="26"/>
  <c r="G12" i="26"/>
  <c r="F12" i="26"/>
  <c r="C12" i="26"/>
  <c r="W11" i="26"/>
  <c r="S11" i="26"/>
  <c r="P11" i="26"/>
  <c r="N11" i="26"/>
  <c r="X11" i="26" s="1"/>
  <c r="M11" i="26"/>
  <c r="G11" i="26"/>
  <c r="F11" i="26"/>
  <c r="C11" i="26"/>
  <c r="W10" i="26"/>
  <c r="S10" i="26"/>
  <c r="P10" i="26"/>
  <c r="N10" i="26"/>
  <c r="X10" i="26" s="1"/>
  <c r="M10" i="26"/>
  <c r="G10" i="26"/>
  <c r="F10" i="26"/>
  <c r="C10" i="26"/>
  <c r="W9" i="26"/>
  <c r="S9" i="26"/>
  <c r="P9" i="26"/>
  <c r="N9" i="26"/>
  <c r="X9" i="26" s="1"/>
  <c r="M9" i="26"/>
  <c r="G9" i="26"/>
  <c r="F9" i="26"/>
  <c r="C9" i="26"/>
  <c r="W8" i="26"/>
  <c r="S8" i="26"/>
  <c r="P8" i="26"/>
  <c r="N8" i="26"/>
  <c r="X8" i="26" s="1"/>
  <c r="M8" i="26"/>
  <c r="G8" i="26"/>
  <c r="F8" i="26"/>
  <c r="C8" i="26"/>
  <c r="W7" i="26"/>
  <c r="S7" i="26"/>
  <c r="P7" i="26"/>
  <c r="N7" i="26"/>
  <c r="X7" i="26" s="1"/>
  <c r="M7" i="26"/>
  <c r="G7" i="26"/>
  <c r="F7" i="26"/>
  <c r="C7" i="26"/>
  <c r="W6" i="26"/>
  <c r="S6" i="26"/>
  <c r="P6" i="26"/>
  <c r="N6" i="26"/>
  <c r="X6" i="26" s="1"/>
  <c r="M6" i="26"/>
  <c r="G6" i="26"/>
  <c r="F6" i="26"/>
  <c r="C6" i="26"/>
  <c r="W5" i="26"/>
  <c r="S5" i="26"/>
  <c r="P5" i="26"/>
  <c r="N5" i="26"/>
  <c r="X5" i="26" s="1"/>
  <c r="M5" i="26"/>
  <c r="G5" i="26"/>
  <c r="F5" i="26"/>
  <c r="C5" i="26"/>
  <c r="W4" i="26"/>
  <c r="S4" i="26"/>
  <c r="R4" i="26"/>
  <c r="P4" i="26"/>
  <c r="N4" i="26"/>
  <c r="M4" i="26"/>
  <c r="G4" i="26"/>
  <c r="F4" i="26"/>
  <c r="C4" i="26"/>
  <c r="W3" i="26"/>
  <c r="S3" i="26"/>
  <c r="P3" i="26"/>
  <c r="N3" i="26"/>
  <c r="M3" i="26"/>
  <c r="K3" i="26" s="1"/>
  <c r="G3" i="26"/>
  <c r="F3" i="26"/>
  <c r="C3" i="26"/>
  <c r="W2" i="26"/>
  <c r="S2" i="26"/>
  <c r="P2" i="26"/>
  <c r="N2" i="26"/>
  <c r="M2" i="26"/>
  <c r="G2" i="26"/>
  <c r="F2" i="26"/>
  <c r="C2" i="26"/>
  <c r="B203" i="26" l="1"/>
  <c r="B202" i="26"/>
  <c r="B197" i="26"/>
  <c r="B196" i="26"/>
  <c r="C196" i="26" s="1"/>
  <c r="B198" i="26"/>
  <c r="B187" i="26"/>
  <c r="B188" i="26"/>
  <c r="B184" i="26"/>
  <c r="C184" i="26" s="1"/>
  <c r="B183" i="26"/>
  <c r="C195" i="26"/>
  <c r="B218" i="26"/>
  <c r="D218" i="26" s="1"/>
  <c r="M218" i="26" s="1"/>
  <c r="B271" i="26" s="1"/>
  <c r="D271" i="26" s="1"/>
  <c r="U55" i="26"/>
  <c r="U33" i="26"/>
  <c r="V33" i="26" s="1"/>
  <c r="B228" i="26"/>
  <c r="B227" i="26"/>
  <c r="U27" i="26"/>
  <c r="V27" i="26" s="1"/>
  <c r="U25" i="26"/>
  <c r="V25" i="26" s="1"/>
  <c r="B179" i="26"/>
  <c r="C179" i="26" s="1"/>
  <c r="B178" i="26"/>
  <c r="B181" i="26"/>
  <c r="S181" i="26" s="1"/>
  <c r="V181" i="26" s="1"/>
  <c r="B182" i="26"/>
  <c r="B211" i="26"/>
  <c r="E211" i="26" s="1"/>
  <c r="B210" i="26"/>
  <c r="U20" i="26"/>
  <c r="V20" i="26" s="1"/>
  <c r="B193" i="26"/>
  <c r="C193" i="26" s="1"/>
  <c r="U17" i="26"/>
  <c r="V17" i="26" s="1"/>
  <c r="B176" i="26"/>
  <c r="C176" i="26" s="1"/>
  <c r="U19" i="26"/>
  <c r="V19" i="26" s="1"/>
  <c r="U11" i="26"/>
  <c r="V11" i="26" s="1"/>
  <c r="U3" i="26"/>
  <c r="V3" i="26" s="1"/>
  <c r="B186" i="26"/>
  <c r="U13" i="26"/>
  <c r="V13" i="26" s="1"/>
  <c r="B175" i="26"/>
  <c r="C175" i="26" s="1"/>
  <c r="U7" i="26"/>
  <c r="V7" i="26" s="1"/>
  <c r="U44" i="26"/>
  <c r="V44" i="26" s="1"/>
  <c r="U23" i="26"/>
  <c r="V23" i="26" s="1"/>
  <c r="U21" i="26"/>
  <c r="V21" i="26" s="1"/>
  <c r="U35" i="26"/>
  <c r="V35" i="26" s="1"/>
  <c r="U49" i="26"/>
  <c r="V49" i="26" s="1"/>
  <c r="B219" i="26"/>
  <c r="C219" i="26" s="1"/>
  <c r="U31" i="26"/>
  <c r="V31" i="26" s="1"/>
  <c r="B215" i="26"/>
  <c r="C215" i="26" s="1"/>
  <c r="U15" i="26"/>
  <c r="V15" i="26" s="1"/>
  <c r="U48" i="26"/>
  <c r="V48" i="26" s="1"/>
  <c r="U53" i="26"/>
  <c r="V53" i="26" s="1"/>
  <c r="N204" i="26"/>
  <c r="B156" i="26"/>
  <c r="C156" i="26" s="1"/>
  <c r="U9" i="26"/>
  <c r="V9" i="26" s="1"/>
  <c r="V12" i="26"/>
  <c r="U51" i="26"/>
  <c r="V51" i="26" s="1"/>
  <c r="U14" i="26"/>
  <c r="V14" i="26" s="1"/>
  <c r="U2" i="26"/>
  <c r="V2" i="26" s="1"/>
  <c r="B143" i="26"/>
  <c r="C143" i="26" s="1"/>
  <c r="S232" i="26"/>
  <c r="V232" i="26" s="1"/>
  <c r="E216" i="26"/>
  <c r="M232" i="26"/>
  <c r="B284" i="26" s="1"/>
  <c r="C284" i="26" s="1"/>
  <c r="D212" i="26"/>
  <c r="S212" i="26" s="1"/>
  <c r="V212" i="26" s="1"/>
  <c r="C216" i="26"/>
  <c r="F232" i="26"/>
  <c r="N233" i="26"/>
  <c r="S253" i="26"/>
  <c r="V253" i="26" s="1"/>
  <c r="U26" i="26"/>
  <c r="V26" i="26" s="1"/>
  <c r="U29" i="26"/>
  <c r="V29" i="26" s="1"/>
  <c r="U45" i="26"/>
  <c r="V45" i="26" s="1"/>
  <c r="N253" i="26"/>
  <c r="C191" i="26"/>
  <c r="F253" i="26"/>
  <c r="U10" i="26"/>
  <c r="V10" i="26" s="1"/>
  <c r="M233" i="26"/>
  <c r="B275" i="26" s="1"/>
  <c r="D275" i="26" s="1"/>
  <c r="U50" i="26"/>
  <c r="V50" i="26" s="1"/>
  <c r="U39" i="26"/>
  <c r="V39" i="26" s="1"/>
  <c r="U36" i="26"/>
  <c r="V36" i="26" s="1"/>
  <c r="B159" i="26"/>
  <c r="C159" i="26" s="1"/>
  <c r="S178" i="26"/>
  <c r="V178" i="26" s="1"/>
  <c r="U28" i="26"/>
  <c r="V28" i="26" s="1"/>
  <c r="U22" i="26"/>
  <c r="V22" i="26" s="1"/>
  <c r="U38" i="26"/>
  <c r="V38" i="26" s="1"/>
  <c r="M208" i="26"/>
  <c r="B261" i="26" s="1"/>
  <c r="C261" i="26" s="1"/>
  <c r="F208" i="26"/>
  <c r="N208" i="26"/>
  <c r="S208" i="26"/>
  <c r="V208" i="26" s="1"/>
  <c r="B206" i="26"/>
  <c r="C222" i="26"/>
  <c r="D222" i="26"/>
  <c r="E222" i="26"/>
  <c r="B169" i="26"/>
  <c r="C169" i="26" s="1"/>
  <c r="D207" i="26"/>
  <c r="C207" i="26"/>
  <c r="E207" i="26"/>
  <c r="U41" i="26"/>
  <c r="V41" i="26" s="1"/>
  <c r="B224" i="26"/>
  <c r="U52" i="26"/>
  <c r="V52" i="26" s="1"/>
  <c r="B165" i="26"/>
  <c r="C165" i="26" s="1"/>
  <c r="B164" i="26"/>
  <c r="C164" i="26" s="1"/>
  <c r="U40" i="26"/>
  <c r="V40" i="26" s="1"/>
  <c r="E214" i="26"/>
  <c r="C214" i="26"/>
  <c r="D214" i="26"/>
  <c r="U43" i="26"/>
  <c r="V43" i="26" s="1"/>
  <c r="U47" i="26"/>
  <c r="V47" i="26" s="1"/>
  <c r="U58" i="26"/>
  <c r="V58" i="26" s="1"/>
  <c r="B172" i="26"/>
  <c r="C172" i="26" s="1"/>
  <c r="B173" i="26"/>
  <c r="C173" i="26" s="1"/>
  <c r="B168" i="26"/>
  <c r="C168" i="26" s="1"/>
  <c r="U42" i="26"/>
  <c r="V42" i="26" s="1"/>
  <c r="U37" i="26"/>
  <c r="V37" i="26" s="1"/>
  <c r="B148" i="26"/>
  <c r="C148" i="26" s="1"/>
  <c r="B147" i="26"/>
  <c r="C147" i="26" s="1"/>
  <c r="U5" i="26"/>
  <c r="V5" i="26" s="1"/>
  <c r="C208" i="26"/>
  <c r="U4" i="26"/>
  <c r="V4" i="26" s="1"/>
  <c r="U16" i="26"/>
  <c r="V16" i="26" s="1"/>
  <c r="U32" i="26"/>
  <c r="V32" i="26" s="1"/>
  <c r="U8" i="26"/>
  <c r="V8" i="26" s="1"/>
  <c r="N216" i="26"/>
  <c r="S216" i="26"/>
  <c r="V216" i="26" s="1"/>
  <c r="M216" i="26"/>
  <c r="B263" i="26" s="1"/>
  <c r="U30" i="26"/>
  <c r="V30" i="26" s="1"/>
  <c r="B171" i="26"/>
  <c r="C171" i="26" s="1"/>
  <c r="D200" i="26"/>
  <c r="C200" i="26"/>
  <c r="B149" i="26"/>
  <c r="C149" i="26" s="1"/>
  <c r="B150" i="26"/>
  <c r="C150" i="26" s="1"/>
  <c r="U24" i="26"/>
  <c r="V24" i="26" s="1"/>
  <c r="E209" i="26"/>
  <c r="D209" i="26"/>
  <c r="C209" i="26"/>
  <c r="C289" i="26"/>
  <c r="D289" i="26"/>
  <c r="E289" i="26"/>
  <c r="U56" i="26"/>
  <c r="V56" i="26" s="1"/>
  <c r="U34" i="26"/>
  <c r="V34" i="26" s="1"/>
  <c r="U46" i="26"/>
  <c r="V46" i="26" s="1"/>
  <c r="U6" i="26"/>
  <c r="V6" i="26" s="1"/>
  <c r="C223" i="26"/>
  <c r="E223" i="26"/>
  <c r="B220" i="26"/>
  <c r="D223" i="26"/>
  <c r="U18" i="26"/>
  <c r="V18" i="26" s="1"/>
  <c r="D217" i="26"/>
  <c r="C217" i="26"/>
  <c r="B226" i="26"/>
  <c r="C177" i="26"/>
  <c r="S233" i="26"/>
  <c r="V233" i="26" s="1"/>
  <c r="M204" i="26"/>
  <c r="S204" i="26"/>
  <c r="V204" i="26" s="1"/>
  <c r="D288" i="26"/>
  <c r="E288" i="26"/>
  <c r="D196" i="26" l="1"/>
  <c r="M196" i="26" s="1"/>
  <c r="C187" i="26"/>
  <c r="N184" i="26"/>
  <c r="C188" i="26"/>
  <c r="C183" i="26"/>
  <c r="S195" i="26"/>
  <c r="V195" i="26" s="1"/>
  <c r="E271" i="26"/>
  <c r="C271" i="26"/>
  <c r="S218" i="26"/>
  <c r="V218" i="26" s="1"/>
  <c r="N218" i="26"/>
  <c r="F218" i="26"/>
  <c r="C218" i="26"/>
  <c r="C194" i="26"/>
  <c r="D199" i="26"/>
  <c r="F199" i="26" s="1"/>
  <c r="C199" i="26"/>
  <c r="D211" i="26"/>
  <c r="S211" i="26" s="1"/>
  <c r="V211" i="26" s="1"/>
  <c r="C211" i="26"/>
  <c r="N193" i="26"/>
  <c r="C186" i="26"/>
  <c r="N195" i="26"/>
  <c r="M181" i="26"/>
  <c r="D215" i="26"/>
  <c r="M215" i="26" s="1"/>
  <c r="E215" i="26"/>
  <c r="N212" i="26"/>
  <c r="C182" i="26"/>
  <c r="F212" i="26"/>
  <c r="F181" i="26"/>
  <c r="D219" i="26"/>
  <c r="F219" i="26" s="1"/>
  <c r="C178" i="26"/>
  <c r="F178" i="26"/>
  <c r="N191" i="26"/>
  <c r="M212" i="26"/>
  <c r="B264" i="26" s="1"/>
  <c r="E264" i="26" s="1"/>
  <c r="C197" i="26"/>
  <c r="N178" i="26"/>
  <c r="D197" i="26"/>
  <c r="F197" i="26" s="1"/>
  <c r="M178" i="26"/>
  <c r="B240" i="26" s="1"/>
  <c r="C240" i="26" s="1"/>
  <c r="C212" i="26"/>
  <c r="C275" i="26"/>
  <c r="C190" i="26"/>
  <c r="N181" i="26"/>
  <c r="E284" i="26"/>
  <c r="D284" i="26"/>
  <c r="N284" i="26" s="1"/>
  <c r="C181" i="26"/>
  <c r="B255" i="26"/>
  <c r="B254" i="26"/>
  <c r="N187" i="26"/>
  <c r="M187" i="26"/>
  <c r="S187" i="26"/>
  <c r="V187" i="26" s="1"/>
  <c r="F187" i="26"/>
  <c r="D225" i="26"/>
  <c r="C225" i="26"/>
  <c r="N200" i="26"/>
  <c r="S200" i="26"/>
  <c r="V200" i="26" s="1"/>
  <c r="F200" i="26"/>
  <c r="M200" i="26"/>
  <c r="B250" i="26" s="1"/>
  <c r="F222" i="26"/>
  <c r="N222" i="26"/>
  <c r="M222" i="26"/>
  <c r="B268" i="26" s="1"/>
  <c r="S222" i="26"/>
  <c r="V222" i="26" s="1"/>
  <c r="F194" i="26"/>
  <c r="M194" i="26"/>
  <c r="U71" i="26" s="1"/>
  <c r="V71" i="26" s="1"/>
  <c r="N194" i="26"/>
  <c r="S194" i="26"/>
  <c r="V194" i="26" s="1"/>
  <c r="N182" i="26"/>
  <c r="M182" i="26"/>
  <c r="S182" i="26"/>
  <c r="V182" i="26" s="1"/>
  <c r="F182" i="26"/>
  <c r="C205" i="26"/>
  <c r="D205" i="26"/>
  <c r="E205" i="26"/>
  <c r="C198" i="26"/>
  <c r="D198" i="26"/>
  <c r="C202" i="26"/>
  <c r="D202" i="26"/>
  <c r="F289" i="26"/>
  <c r="S289" i="26"/>
  <c r="V289" i="26" s="1"/>
  <c r="M289" i="26"/>
  <c r="N289" i="26"/>
  <c r="D203" i="26"/>
  <c r="C203" i="26"/>
  <c r="S179" i="26"/>
  <c r="V179" i="26" s="1"/>
  <c r="F179" i="26"/>
  <c r="N179" i="26"/>
  <c r="M179" i="26"/>
  <c r="S190" i="26"/>
  <c r="V190" i="26" s="1"/>
  <c r="M190" i="26"/>
  <c r="U69" i="26" s="1"/>
  <c r="V69" i="26" s="1"/>
  <c r="N190" i="26"/>
  <c r="F190" i="26"/>
  <c r="C185" i="26"/>
  <c r="D213" i="26"/>
  <c r="C213" i="26"/>
  <c r="M176" i="26"/>
  <c r="U54" i="26" s="1"/>
  <c r="V54" i="26" s="1"/>
  <c r="F176" i="26"/>
  <c r="S176" i="26"/>
  <c r="V176" i="26" s="1"/>
  <c r="N176" i="26"/>
  <c r="S209" i="26"/>
  <c r="V209" i="26" s="1"/>
  <c r="N209" i="26"/>
  <c r="M209" i="26"/>
  <c r="B258" i="26" s="1"/>
  <c r="F209" i="26"/>
  <c r="C267" i="26"/>
  <c r="D267" i="26"/>
  <c r="M207" i="26"/>
  <c r="B259" i="26" s="1"/>
  <c r="N207" i="26"/>
  <c r="F207" i="26"/>
  <c r="S207" i="26"/>
  <c r="V207" i="26" s="1"/>
  <c r="C189" i="26"/>
  <c r="M223" i="26"/>
  <c r="B277" i="26" s="1"/>
  <c r="F223" i="26"/>
  <c r="N223" i="26"/>
  <c r="S223" i="26"/>
  <c r="V223" i="26" s="1"/>
  <c r="C263" i="26"/>
  <c r="E263" i="26"/>
  <c r="D263" i="26"/>
  <c r="F271" i="26"/>
  <c r="N271" i="26"/>
  <c r="M271" i="26"/>
  <c r="S271" i="26"/>
  <c r="V271" i="26" s="1"/>
  <c r="F186" i="26"/>
  <c r="S186" i="26"/>
  <c r="V186" i="26" s="1"/>
  <c r="N186" i="26"/>
  <c r="M186" i="26"/>
  <c r="D220" i="26"/>
  <c r="C220" i="26"/>
  <c r="S214" i="26"/>
  <c r="V214" i="26" s="1"/>
  <c r="M214" i="26"/>
  <c r="B262" i="26" s="1"/>
  <c r="F214" i="26"/>
  <c r="N214" i="26"/>
  <c r="D226" i="26"/>
  <c r="C226" i="26"/>
  <c r="C180" i="26"/>
  <c r="D206" i="26"/>
  <c r="C206" i="26"/>
  <c r="E206" i="26"/>
  <c r="F217" i="26"/>
  <c r="N217" i="26"/>
  <c r="M217" i="26"/>
  <c r="B265" i="26" s="1"/>
  <c r="S217" i="26"/>
  <c r="V217" i="26" s="1"/>
  <c r="C224" i="26"/>
  <c r="E224" i="26"/>
  <c r="D224" i="26"/>
  <c r="S288" i="26"/>
  <c r="V288" i="26" s="1"/>
  <c r="M288" i="26"/>
  <c r="F288" i="26"/>
  <c r="N288" i="26"/>
  <c r="D201" i="26"/>
  <c r="C201" i="26"/>
  <c r="E210" i="26"/>
  <c r="D210" i="26"/>
  <c r="C210" i="26"/>
  <c r="C192" i="26"/>
  <c r="N177" i="26"/>
  <c r="S177" i="26"/>
  <c r="V177" i="26" s="1"/>
  <c r="M177" i="26"/>
  <c r="F177" i="26"/>
  <c r="N275" i="26"/>
  <c r="M275" i="26"/>
  <c r="S275" i="26"/>
  <c r="V275" i="26" s="1"/>
  <c r="F275" i="26"/>
  <c r="F196" i="26" l="1"/>
  <c r="S196" i="26"/>
  <c r="V196" i="26" s="1"/>
  <c r="N196" i="26"/>
  <c r="F184" i="26"/>
  <c r="S184" i="26"/>
  <c r="V184" i="26" s="1"/>
  <c r="M184" i="26"/>
  <c r="F188" i="26"/>
  <c r="N188" i="26"/>
  <c r="M188" i="26"/>
  <c r="U61" i="26" s="1"/>
  <c r="V61" i="26" s="1"/>
  <c r="S188" i="26"/>
  <c r="V188" i="26" s="1"/>
  <c r="N183" i="26"/>
  <c r="M183" i="26"/>
  <c r="U57" i="26" s="1"/>
  <c r="V57" i="26" s="1"/>
  <c r="S183" i="26"/>
  <c r="V183" i="26" s="1"/>
  <c r="F183" i="26"/>
  <c r="F195" i="26"/>
  <c r="B234" i="26"/>
  <c r="C234" i="26" s="1"/>
  <c r="U60" i="26"/>
  <c r="V60" i="26" s="1"/>
  <c r="U67" i="26"/>
  <c r="V67" i="26" s="1"/>
  <c r="B230" i="26"/>
  <c r="C230" i="26" s="1"/>
  <c r="M195" i="26"/>
  <c r="U64" i="26"/>
  <c r="V64" i="26" s="1"/>
  <c r="U63" i="26"/>
  <c r="V63" i="26" s="1"/>
  <c r="U66" i="26"/>
  <c r="V66" i="26" s="1"/>
  <c r="U65" i="26"/>
  <c r="V65" i="26" s="1"/>
  <c r="S199" i="26"/>
  <c r="V199" i="26" s="1"/>
  <c r="N199" i="26"/>
  <c r="M199" i="26"/>
  <c r="B245" i="26" s="1"/>
  <c r="E245" i="26" s="1"/>
  <c r="B236" i="26"/>
  <c r="D236" i="26" s="1"/>
  <c r="V55" i="26"/>
  <c r="N211" i="26"/>
  <c r="F211" i="26"/>
  <c r="M211" i="26"/>
  <c r="S193" i="26"/>
  <c r="V193" i="26" s="1"/>
  <c r="M193" i="26"/>
  <c r="N219" i="26"/>
  <c r="M219" i="26"/>
  <c r="F193" i="26"/>
  <c r="M191" i="26"/>
  <c r="S191" i="26"/>
  <c r="V191" i="26" s="1"/>
  <c r="F191" i="26"/>
  <c r="C264" i="26"/>
  <c r="D264" i="26"/>
  <c r="N264" i="26" s="1"/>
  <c r="B231" i="26"/>
  <c r="C231" i="26" s="1"/>
  <c r="F215" i="26"/>
  <c r="N215" i="26"/>
  <c r="S215" i="26"/>
  <c r="V215" i="26" s="1"/>
  <c r="S219" i="26"/>
  <c r="V219" i="26" s="1"/>
  <c r="D240" i="26"/>
  <c r="S240" i="26" s="1"/>
  <c r="V240" i="26" s="1"/>
  <c r="E240" i="26"/>
  <c r="M197" i="26"/>
  <c r="S197" i="26"/>
  <c r="V197" i="26" s="1"/>
  <c r="N197" i="26"/>
  <c r="M284" i="26"/>
  <c r="F284" i="26"/>
  <c r="S284" i="26"/>
  <c r="V284" i="26" s="1"/>
  <c r="M225" i="26"/>
  <c r="B269" i="26" s="1"/>
  <c r="S225" i="26"/>
  <c r="V225" i="26" s="1"/>
  <c r="N225" i="26"/>
  <c r="F225" i="26"/>
  <c r="F220" i="26"/>
  <c r="N220" i="26"/>
  <c r="S220" i="26"/>
  <c r="V220" i="26" s="1"/>
  <c r="M220" i="26"/>
  <c r="S201" i="26"/>
  <c r="V201" i="26" s="1"/>
  <c r="N201" i="26"/>
  <c r="M201" i="26"/>
  <c r="B252" i="26" s="1"/>
  <c r="F201" i="26"/>
  <c r="M189" i="26"/>
  <c r="N189" i="26"/>
  <c r="F189" i="26"/>
  <c r="S189" i="26"/>
  <c r="V189" i="26" s="1"/>
  <c r="B251" i="26"/>
  <c r="F210" i="26"/>
  <c r="N210" i="26"/>
  <c r="M210" i="26"/>
  <c r="B260" i="26" s="1"/>
  <c r="S210" i="26"/>
  <c r="V210" i="26" s="1"/>
  <c r="F180" i="26"/>
  <c r="N180" i="26"/>
  <c r="S180" i="26"/>
  <c r="V180" i="26" s="1"/>
  <c r="M180" i="26"/>
  <c r="C268" i="26"/>
  <c r="D268" i="26"/>
  <c r="M226" i="26"/>
  <c r="F226" i="26"/>
  <c r="S226" i="26"/>
  <c r="V226" i="26" s="1"/>
  <c r="N226" i="26"/>
  <c r="M213" i="26"/>
  <c r="B266" i="26" s="1"/>
  <c r="F213" i="26"/>
  <c r="N213" i="26"/>
  <c r="S213" i="26"/>
  <c r="V213" i="26" s="1"/>
  <c r="F203" i="26"/>
  <c r="S203" i="26"/>
  <c r="V203" i="26" s="1"/>
  <c r="N203" i="26"/>
  <c r="M203" i="26"/>
  <c r="B239" i="26"/>
  <c r="C262" i="26"/>
  <c r="D262" i="26"/>
  <c r="M192" i="26"/>
  <c r="F192" i="26"/>
  <c r="S192" i="26"/>
  <c r="V192" i="26" s="1"/>
  <c r="N192" i="26"/>
  <c r="M206" i="26"/>
  <c r="S206" i="26"/>
  <c r="V206" i="26" s="1"/>
  <c r="N206" i="26"/>
  <c r="F206" i="26"/>
  <c r="D254" i="26"/>
  <c r="C254" i="26"/>
  <c r="N198" i="26"/>
  <c r="M198" i="26"/>
  <c r="F198" i="26"/>
  <c r="S198" i="26"/>
  <c r="V198" i="26" s="1"/>
  <c r="B248" i="26"/>
  <c r="B247" i="26"/>
  <c r="D255" i="26"/>
  <c r="C255" i="26"/>
  <c r="C258" i="26"/>
  <c r="E258" i="26"/>
  <c r="D258" i="26"/>
  <c r="E277" i="26"/>
  <c r="C277" i="26"/>
  <c r="D277" i="26"/>
  <c r="S205" i="26"/>
  <c r="V205" i="26" s="1"/>
  <c r="F205" i="26"/>
  <c r="N205" i="26"/>
  <c r="M205" i="26"/>
  <c r="B256" i="26" s="1"/>
  <c r="B243" i="26"/>
  <c r="B244" i="26"/>
  <c r="D265" i="26"/>
  <c r="C265" i="26"/>
  <c r="E265" i="26"/>
  <c r="N185" i="26"/>
  <c r="M185" i="26"/>
  <c r="F185" i="26"/>
  <c r="S185" i="26"/>
  <c r="V185" i="26" s="1"/>
  <c r="M202" i="26"/>
  <c r="B257" i="26" s="1"/>
  <c r="S202" i="26"/>
  <c r="V202" i="26" s="1"/>
  <c r="N202" i="26"/>
  <c r="F202" i="26"/>
  <c r="N224" i="26"/>
  <c r="M224" i="26"/>
  <c r="B278" i="26" s="1"/>
  <c r="S224" i="26"/>
  <c r="V224" i="26" s="1"/>
  <c r="F224" i="26"/>
  <c r="F263" i="26"/>
  <c r="N263" i="26"/>
  <c r="S263" i="26"/>
  <c r="V263" i="26" s="1"/>
  <c r="M263" i="26"/>
  <c r="C259" i="26"/>
  <c r="D259" i="26"/>
  <c r="M267" i="26"/>
  <c r="B290" i="26" s="1"/>
  <c r="S267" i="26"/>
  <c r="V267" i="26" s="1"/>
  <c r="N267" i="26"/>
  <c r="F267" i="26"/>
  <c r="B246" i="26" l="1"/>
  <c r="D246" i="26" s="1"/>
  <c r="B249" i="26"/>
  <c r="D249" i="26" s="1"/>
  <c r="U72" i="26"/>
  <c r="V72" i="26" s="1"/>
  <c r="U70" i="26"/>
  <c r="V70" i="26" s="1"/>
  <c r="B235" i="26"/>
  <c r="C235" i="26" s="1"/>
  <c r="U68" i="26"/>
  <c r="V68" i="26" s="1"/>
  <c r="D234" i="26"/>
  <c r="F234" i="26" s="1"/>
  <c r="B229" i="26"/>
  <c r="D229" i="26" s="1"/>
  <c r="U59" i="26"/>
  <c r="V59" i="26" s="1"/>
  <c r="D230" i="26"/>
  <c r="F230" i="26" s="1"/>
  <c r="E230" i="26"/>
  <c r="B238" i="26"/>
  <c r="D238" i="26" s="1"/>
  <c r="U62" i="26"/>
  <c r="V62" i="26" s="1"/>
  <c r="D245" i="26"/>
  <c r="S245" i="26" s="1"/>
  <c r="V245" i="26" s="1"/>
  <c r="C245" i="26"/>
  <c r="C236" i="26"/>
  <c r="B237" i="26"/>
  <c r="D237" i="26" s="1"/>
  <c r="M237" i="26" s="1"/>
  <c r="B283" i="26" s="1"/>
  <c r="M264" i="26"/>
  <c r="F264" i="26"/>
  <c r="S264" i="26"/>
  <c r="V264" i="26" s="1"/>
  <c r="E231" i="26"/>
  <c r="D231" i="26"/>
  <c r="F231" i="26" s="1"/>
  <c r="N240" i="26"/>
  <c r="F240" i="26"/>
  <c r="M240" i="26"/>
  <c r="B281" i="26" s="1"/>
  <c r="D281" i="26" s="1"/>
  <c r="D244" i="26"/>
  <c r="C244" i="26"/>
  <c r="E244" i="26"/>
  <c r="C290" i="26"/>
  <c r="E290" i="26"/>
  <c r="D290" i="26"/>
  <c r="C243" i="26"/>
  <c r="E243" i="26"/>
  <c r="D243" i="26"/>
  <c r="N258" i="26"/>
  <c r="M258" i="26"/>
  <c r="F258" i="26"/>
  <c r="S258" i="26"/>
  <c r="V258" i="26" s="1"/>
  <c r="S254" i="26"/>
  <c r="V254" i="26" s="1"/>
  <c r="N254" i="26"/>
  <c r="F254" i="26"/>
  <c r="M254" i="26"/>
  <c r="B286" i="26" s="1"/>
  <c r="C239" i="26"/>
  <c r="E239" i="26"/>
  <c r="D239" i="26"/>
  <c r="D250" i="26"/>
  <c r="C250" i="26"/>
  <c r="E257" i="26"/>
  <c r="D257" i="26"/>
  <c r="C257" i="26"/>
  <c r="N255" i="26"/>
  <c r="S255" i="26"/>
  <c r="V255" i="26" s="1"/>
  <c r="M255" i="26"/>
  <c r="F255" i="26"/>
  <c r="E247" i="26"/>
  <c r="D247" i="26"/>
  <c r="C247" i="26"/>
  <c r="C252" i="26"/>
  <c r="E252" i="26"/>
  <c r="D252" i="26"/>
  <c r="C251" i="26"/>
  <c r="D251" i="26"/>
  <c r="M268" i="26"/>
  <c r="F268" i="26"/>
  <c r="N268" i="26"/>
  <c r="S268" i="26"/>
  <c r="V268" i="26" s="1"/>
  <c r="E278" i="26"/>
  <c r="C278" i="26"/>
  <c r="D278" i="26"/>
  <c r="M236" i="26"/>
  <c r="B276" i="26" s="1"/>
  <c r="S236" i="26"/>
  <c r="V236" i="26" s="1"/>
  <c r="F236" i="26"/>
  <c r="N236" i="26"/>
  <c r="E248" i="26"/>
  <c r="C248" i="26"/>
  <c r="D248" i="26"/>
  <c r="S259" i="26"/>
  <c r="V259" i="26" s="1"/>
  <c r="M259" i="26"/>
  <c r="F259" i="26"/>
  <c r="N259" i="26"/>
  <c r="F277" i="26"/>
  <c r="N277" i="26"/>
  <c r="M277" i="26"/>
  <c r="S277" i="26"/>
  <c r="V277" i="26" s="1"/>
  <c r="C256" i="26"/>
  <c r="E256" i="26"/>
  <c r="D256" i="26"/>
  <c r="B241" i="26"/>
  <c r="B242" i="26"/>
  <c r="E266" i="26"/>
  <c r="D266" i="26"/>
  <c r="C266" i="26"/>
  <c r="C260" i="26"/>
  <c r="E260" i="26"/>
  <c r="D260" i="26"/>
  <c r="M265" i="26"/>
  <c r="N265" i="26"/>
  <c r="S265" i="26"/>
  <c r="V265" i="26" s="1"/>
  <c r="F265" i="26"/>
  <c r="F262" i="26"/>
  <c r="M262" i="26"/>
  <c r="S262" i="26"/>
  <c r="V262" i="26" s="1"/>
  <c r="N262" i="26"/>
  <c r="D269" i="26"/>
  <c r="C269" i="26"/>
  <c r="C249" i="26" l="1"/>
  <c r="E246" i="26"/>
  <c r="M249" i="26"/>
  <c r="S249" i="26"/>
  <c r="V249" i="26" s="1"/>
  <c r="N249" i="26"/>
  <c r="F249" i="26"/>
  <c r="F246" i="26"/>
  <c r="S246" i="26"/>
  <c r="V246" i="26" s="1"/>
  <c r="M246" i="26"/>
  <c r="N246" i="26"/>
  <c r="C246" i="26"/>
  <c r="D235" i="26"/>
  <c r="M235" i="26" s="1"/>
  <c r="B274" i="26" s="1"/>
  <c r="C229" i="26"/>
  <c r="M234" i="26"/>
  <c r="B282" i="26" s="1"/>
  <c r="D282" i="26" s="1"/>
  <c r="E229" i="26"/>
  <c r="C238" i="26"/>
  <c r="N230" i="26"/>
  <c r="S230" i="26"/>
  <c r="V230" i="26" s="1"/>
  <c r="M230" i="26"/>
  <c r="B273" i="26" s="1"/>
  <c r="D273" i="26" s="1"/>
  <c r="S234" i="26"/>
  <c r="V234" i="26" s="1"/>
  <c r="N234" i="26"/>
  <c r="F245" i="26"/>
  <c r="M245" i="26"/>
  <c r="N245" i="26"/>
  <c r="C237" i="26"/>
  <c r="S237" i="26"/>
  <c r="V237" i="26" s="1"/>
  <c r="F237" i="26"/>
  <c r="N237" i="26"/>
  <c r="C281" i="26"/>
  <c r="S231" i="26"/>
  <c r="V231" i="26" s="1"/>
  <c r="M231" i="26"/>
  <c r="N231" i="26"/>
  <c r="C241" i="26"/>
  <c r="D241" i="26"/>
  <c r="M229" i="26"/>
  <c r="B272" i="26" s="1"/>
  <c r="F229" i="26"/>
  <c r="S229" i="26"/>
  <c r="V229" i="26" s="1"/>
  <c r="N229" i="26"/>
  <c r="N238" i="26"/>
  <c r="M238" i="26"/>
  <c r="B279" i="26" s="1"/>
  <c r="S238" i="26"/>
  <c r="V238" i="26" s="1"/>
  <c r="F238" i="26"/>
  <c r="N256" i="26"/>
  <c r="F256" i="26"/>
  <c r="S256" i="26"/>
  <c r="V256" i="26" s="1"/>
  <c r="M256" i="26"/>
  <c r="D228" i="26"/>
  <c r="C228" i="26"/>
  <c r="F251" i="26"/>
  <c r="S251" i="26"/>
  <c r="V251" i="26" s="1"/>
  <c r="M251" i="26"/>
  <c r="N251" i="26"/>
  <c r="D227" i="26"/>
  <c r="C227" i="26"/>
  <c r="M281" i="26"/>
  <c r="S281" i="26"/>
  <c r="V281" i="26" s="1"/>
  <c r="N281" i="26"/>
  <c r="F281" i="26"/>
  <c r="C286" i="26"/>
  <c r="E286" i="26"/>
  <c r="D286" i="26"/>
  <c r="S243" i="26"/>
  <c r="V243" i="26" s="1"/>
  <c r="N243" i="26"/>
  <c r="M243" i="26"/>
  <c r="B287" i="26" s="1"/>
  <c r="F243" i="26"/>
  <c r="F248" i="26"/>
  <c r="S248" i="26"/>
  <c r="V248" i="26" s="1"/>
  <c r="M248" i="26"/>
  <c r="N248" i="26"/>
  <c r="M252" i="26"/>
  <c r="S252" i="26"/>
  <c r="V252" i="26" s="1"/>
  <c r="F252" i="26"/>
  <c r="N252" i="26"/>
  <c r="M257" i="26"/>
  <c r="S257" i="26"/>
  <c r="V257" i="26" s="1"/>
  <c r="N257" i="26"/>
  <c r="F257" i="26"/>
  <c r="D283" i="26"/>
  <c r="C283" i="26"/>
  <c r="F290" i="26"/>
  <c r="N290" i="26"/>
  <c r="M290" i="26"/>
  <c r="S290" i="26"/>
  <c r="V290" i="26" s="1"/>
  <c r="S239" i="26"/>
  <c r="V239" i="26" s="1"/>
  <c r="F239" i="26"/>
  <c r="N239" i="26"/>
  <c r="M239" i="26"/>
  <c r="B280" i="26" s="1"/>
  <c r="N260" i="26"/>
  <c r="M260" i="26"/>
  <c r="S260" i="26"/>
  <c r="V260" i="26" s="1"/>
  <c r="F260" i="26"/>
  <c r="F269" i="26"/>
  <c r="N269" i="26"/>
  <c r="S269" i="26"/>
  <c r="V269" i="26" s="1"/>
  <c r="M269" i="26"/>
  <c r="M247" i="26"/>
  <c r="F247" i="26"/>
  <c r="S247" i="26"/>
  <c r="V247" i="26" s="1"/>
  <c r="N247" i="26"/>
  <c r="N266" i="26"/>
  <c r="M266" i="26"/>
  <c r="F266" i="26"/>
  <c r="S266" i="26"/>
  <c r="V266" i="26" s="1"/>
  <c r="C276" i="26"/>
  <c r="D276" i="26"/>
  <c r="D242" i="26"/>
  <c r="C242" i="26"/>
  <c r="F278" i="26"/>
  <c r="N278" i="26"/>
  <c r="S278" i="26"/>
  <c r="V278" i="26" s="1"/>
  <c r="M278" i="26"/>
  <c r="N250" i="26"/>
  <c r="M250" i="26"/>
  <c r="S250" i="26"/>
  <c r="V250" i="26" s="1"/>
  <c r="F250" i="26"/>
  <c r="S244" i="26"/>
  <c r="V244" i="26" s="1"/>
  <c r="N244" i="26"/>
  <c r="M244" i="26"/>
  <c r="F244" i="26"/>
  <c r="E282" i="26" l="1"/>
  <c r="F235" i="26"/>
  <c r="C282" i="26"/>
  <c r="S235" i="26"/>
  <c r="V235" i="26" s="1"/>
  <c r="N235" i="26"/>
  <c r="E273" i="26"/>
  <c r="C273" i="26"/>
  <c r="E274" i="26"/>
  <c r="C274" i="26"/>
  <c r="D274" i="26"/>
  <c r="F227" i="26"/>
  <c r="N227" i="26"/>
  <c r="S227" i="26"/>
  <c r="V227" i="26" s="1"/>
  <c r="M227" i="26"/>
  <c r="B270" i="26" s="1"/>
  <c r="N242" i="26"/>
  <c r="M242" i="26"/>
  <c r="F242" i="26"/>
  <c r="S242" i="26"/>
  <c r="V242" i="26" s="1"/>
  <c r="N282" i="26"/>
  <c r="S282" i="26"/>
  <c r="V282" i="26" s="1"/>
  <c r="M282" i="26"/>
  <c r="F282" i="26"/>
  <c r="N286" i="26"/>
  <c r="M286" i="26"/>
  <c r="S286" i="26"/>
  <c r="V286" i="26" s="1"/>
  <c r="F286" i="26"/>
  <c r="D279" i="26"/>
  <c r="C279" i="26"/>
  <c r="F276" i="26"/>
  <c r="S276" i="26"/>
  <c r="V276" i="26" s="1"/>
  <c r="M276" i="26"/>
  <c r="N276" i="26"/>
  <c r="M228" i="26"/>
  <c r="S228" i="26"/>
  <c r="V228" i="26" s="1"/>
  <c r="N228" i="26"/>
  <c r="F228" i="26"/>
  <c r="E272" i="26"/>
  <c r="D272" i="26"/>
  <c r="C272" i="26"/>
  <c r="N283" i="26"/>
  <c r="M283" i="26"/>
  <c r="F283" i="26"/>
  <c r="S283" i="26"/>
  <c r="V283" i="26" s="1"/>
  <c r="F273" i="26"/>
  <c r="N273" i="26"/>
  <c r="S273" i="26"/>
  <c r="V273" i="26" s="1"/>
  <c r="M273" i="26"/>
  <c r="C287" i="26"/>
  <c r="E287" i="26"/>
  <c r="D287" i="26"/>
  <c r="F241" i="26"/>
  <c r="S241" i="26"/>
  <c r="V241" i="26" s="1"/>
  <c r="N241" i="26"/>
  <c r="M241" i="26"/>
  <c r="B285" i="26" s="1"/>
  <c r="D280" i="26"/>
  <c r="C280" i="26"/>
  <c r="F274" i="26" l="1"/>
  <c r="S274" i="26"/>
  <c r="V274" i="26" s="1"/>
  <c r="M274" i="26"/>
  <c r="N274" i="26"/>
  <c r="F280" i="26"/>
  <c r="M280" i="26"/>
  <c r="N280" i="26"/>
  <c r="S280" i="26"/>
  <c r="V280" i="26" s="1"/>
  <c r="F272" i="26"/>
  <c r="N272" i="26"/>
  <c r="M272" i="26"/>
  <c r="S272" i="26"/>
  <c r="V272" i="26" s="1"/>
  <c r="C285" i="26"/>
  <c r="E285" i="26"/>
  <c r="D285" i="26"/>
  <c r="N279" i="26"/>
  <c r="M279" i="26"/>
  <c r="S279" i="26"/>
  <c r="V279" i="26" s="1"/>
  <c r="F279" i="26"/>
  <c r="S287" i="26"/>
  <c r="V287" i="26" s="1"/>
  <c r="N287" i="26"/>
  <c r="F287" i="26"/>
  <c r="M287" i="26"/>
  <c r="D270" i="26"/>
  <c r="C270" i="26"/>
  <c r="E270" i="26"/>
  <c r="M285" i="26" l="1"/>
  <c r="F285" i="26"/>
  <c r="N285" i="26"/>
  <c r="S285" i="26"/>
  <c r="V285" i="26" s="1"/>
  <c r="N270" i="26"/>
  <c r="M270" i="26"/>
  <c r="S270" i="26"/>
  <c r="V270" i="26" s="1"/>
  <c r="F270" i="26"/>
  <c r="C9" i="24" l="1"/>
  <c r="T5" i="24"/>
  <c r="E5" i="24" s="1"/>
  <c r="N9" i="24" l="1"/>
  <c r="T3" i="24"/>
  <c r="E3" i="24" s="1"/>
  <c r="T9" i="24" l="1"/>
  <c r="E9" i="24" s="1"/>
  <c r="B13" i="24" l="1"/>
  <c r="C13" i="24" s="1"/>
  <c r="N13" i="24" s="1"/>
  <c r="V5" i="24" l="1"/>
  <c r="T13" i="24"/>
  <c r="W13" i="24" l="1"/>
  <c r="B8" i="24" l="1"/>
  <c r="C8" i="24" s="1"/>
  <c r="T2" i="24"/>
  <c r="E2" i="24" s="1"/>
  <c r="S15" i="15"/>
  <c r="S14" i="15"/>
  <c r="S13" i="15"/>
  <c r="S12" i="15"/>
  <c r="S10" i="15"/>
  <c r="S9" i="15"/>
  <c r="T7" i="15"/>
  <c r="T5" i="15"/>
  <c r="E5" i="15" s="1"/>
  <c r="T4" i="15"/>
  <c r="E4" i="15" s="1"/>
  <c r="N4" i="15"/>
  <c r="B9" i="15" s="1"/>
  <c r="T3" i="15"/>
  <c r="E3" i="15" s="1"/>
  <c r="N3" i="15"/>
  <c r="K3" i="15" s="1"/>
  <c r="T2" i="15"/>
  <c r="E2" i="15" s="1"/>
  <c r="N2" i="15"/>
  <c r="K2" i="15" s="1"/>
  <c r="N8" i="24" l="1"/>
  <c r="F33" i="20"/>
  <c r="B7" i="24"/>
  <c r="T4" i="24"/>
  <c r="E4" i="24" s="1"/>
  <c r="N5" i="15"/>
  <c r="T6" i="15"/>
  <c r="E6" i="15" s="1"/>
  <c r="N7" i="15"/>
  <c r="B12" i="15" s="1"/>
  <c r="N8" i="15"/>
  <c r="T8" i="15"/>
  <c r="E8" i="15" s="1"/>
  <c r="E7" i="15"/>
  <c r="N6" i="15"/>
  <c r="B11" i="15" s="1"/>
  <c r="B6" i="24" l="1"/>
  <c r="B10" i="15"/>
  <c r="B10" i="24"/>
  <c r="C10" i="24" s="1"/>
  <c r="N10" i="24" s="1"/>
  <c r="T6" i="24"/>
  <c r="E6" i="24" s="1"/>
  <c r="T8" i="24"/>
  <c r="E8" i="24" s="1"/>
  <c r="B12" i="24"/>
  <c r="T9" i="15"/>
  <c r="N9" i="15"/>
  <c r="T7" i="24" l="1"/>
  <c r="E7" i="24" s="1"/>
  <c r="B11" i="24"/>
  <c r="C11" i="24" s="1"/>
  <c r="N11" i="24" s="1"/>
  <c r="C12" i="24"/>
  <c r="N12" i="24" s="1"/>
  <c r="E9" i="15"/>
  <c r="N10" i="15"/>
  <c r="B14" i="15" s="1"/>
  <c r="T10" i="15"/>
  <c r="B13" i="15"/>
  <c r="T11" i="24" l="1"/>
  <c r="W11" i="24" s="1"/>
  <c r="T10" i="24"/>
  <c r="W10" i="24" s="1"/>
  <c r="T12" i="24"/>
  <c r="W12" i="24" s="1"/>
  <c r="N12" i="15"/>
  <c r="V2" i="15" s="1"/>
  <c r="T12" i="15"/>
  <c r="N11" i="15"/>
  <c r="V3" i="15" s="1"/>
  <c r="T11" i="15"/>
  <c r="E10" i="15"/>
  <c r="B17" i="24" l="1"/>
  <c r="V4" i="24"/>
  <c r="W4" i="24" s="1"/>
  <c r="V3" i="24"/>
  <c r="B15" i="24"/>
  <c r="C15" i="24" s="1"/>
  <c r="N15" i="24" s="1"/>
  <c r="V2" i="24"/>
  <c r="W2" i="24" s="1"/>
  <c r="B14" i="24"/>
  <c r="B16" i="24"/>
  <c r="B17" i="15"/>
  <c r="W3" i="15"/>
  <c r="B16" i="15"/>
  <c r="E12" i="15"/>
  <c r="E11" i="15"/>
  <c r="B15" i="15"/>
  <c r="W2" i="15"/>
  <c r="C14" i="15"/>
  <c r="T13" i="15"/>
  <c r="N13" i="15"/>
  <c r="C17" i="24" l="1"/>
  <c r="N17" i="24" s="1"/>
  <c r="W3" i="24"/>
  <c r="T15" i="24"/>
  <c r="W15" i="24" s="1"/>
  <c r="V4" i="15"/>
  <c r="W4" i="15" s="1"/>
  <c r="B18" i="15"/>
  <c r="E13" i="15"/>
  <c r="C16" i="24"/>
  <c r="N16" i="24" s="1"/>
  <c r="C14" i="24"/>
  <c r="N14" i="24" s="1"/>
  <c r="C16" i="15"/>
  <c r="C17" i="15"/>
  <c r="T14" i="15"/>
  <c r="N14" i="15"/>
  <c r="C15" i="15"/>
  <c r="T17" i="24" l="1"/>
  <c r="W17" i="24" s="1"/>
  <c r="V9" i="24"/>
  <c r="B19" i="24"/>
  <c r="C19" i="24" s="1"/>
  <c r="N19" i="24" s="1"/>
  <c r="V7" i="24"/>
  <c r="V5" i="15"/>
  <c r="W5" i="15" s="1"/>
  <c r="B19" i="15"/>
  <c r="C18" i="15"/>
  <c r="E14" i="15"/>
  <c r="V8" i="24"/>
  <c r="T16" i="24"/>
  <c r="W16" i="24" s="1"/>
  <c r="B18" i="24"/>
  <c r="T14" i="24"/>
  <c r="W14" i="24" s="1"/>
  <c r="T17" i="15"/>
  <c r="W17" i="15" s="1"/>
  <c r="N17" i="15"/>
  <c r="T16" i="15"/>
  <c r="N16" i="15"/>
  <c r="B21" i="15" s="1"/>
  <c r="T15" i="15"/>
  <c r="N15" i="15"/>
  <c r="W9" i="24" l="1"/>
  <c r="T19" i="24"/>
  <c r="W19" i="24" s="1"/>
  <c r="V6" i="15"/>
  <c r="W6" i="15" s="1"/>
  <c r="B20" i="15"/>
  <c r="V7" i="15"/>
  <c r="W7" i="15" s="1"/>
  <c r="T18" i="15"/>
  <c r="W18" i="15" s="1"/>
  <c r="N18" i="15"/>
  <c r="B22" i="15" s="1"/>
  <c r="V8" i="15"/>
  <c r="W8" i="15" s="1"/>
  <c r="C19" i="15"/>
  <c r="C18" i="24"/>
  <c r="N18" i="24" s="1"/>
  <c r="W8" i="24"/>
  <c r="W7" i="24"/>
  <c r="V6" i="24"/>
  <c r="W6" i="24" s="1"/>
  <c r="W5" i="24"/>
  <c r="V9" i="15" l="1"/>
  <c r="W9" i="15" s="1"/>
  <c r="E18" i="15"/>
  <c r="C22" i="15"/>
  <c r="T19" i="15"/>
  <c r="W19" i="15" s="1"/>
  <c r="N19" i="15"/>
  <c r="B23" i="15" s="1"/>
  <c r="C21" i="15"/>
  <c r="C20" i="15"/>
  <c r="T18" i="24"/>
  <c r="W18" i="24" s="1"/>
  <c r="W20" i="30"/>
  <c r="V10" i="15" l="1"/>
  <c r="W10" i="15" s="1"/>
  <c r="E19" i="15"/>
  <c r="C23" i="15"/>
  <c r="N22" i="15"/>
  <c r="V13" i="15" s="1"/>
  <c r="W13" i="15" s="1"/>
  <c r="T22" i="15"/>
  <c r="W22" i="15" s="1"/>
  <c r="T21" i="15"/>
  <c r="N21" i="15"/>
  <c r="V12" i="15" s="1"/>
  <c r="T20" i="15"/>
  <c r="W20" i="15" s="1"/>
  <c r="N20" i="15"/>
  <c r="V11" i="15" s="1"/>
  <c r="W12" i="15" l="1"/>
  <c r="B26" i="15"/>
  <c r="C26" i="15" s="1"/>
  <c r="B24" i="15"/>
  <c r="C24" i="15" s="1"/>
  <c r="W11" i="15"/>
  <c r="B25" i="15"/>
  <c r="C25" i="15" s="1"/>
  <c r="N26" i="15"/>
  <c r="T26" i="15"/>
  <c r="T23" i="15"/>
  <c r="W23" i="15" s="1"/>
  <c r="N23" i="15"/>
  <c r="V14" i="15" s="1"/>
  <c r="W14" i="15" s="1"/>
  <c r="E20" i="15"/>
  <c r="E21" i="15"/>
  <c r="W21" i="15"/>
  <c r="E22" i="15"/>
  <c r="T25" i="15" l="1"/>
  <c r="W25" i="15" s="1"/>
  <c r="N25" i="15"/>
  <c r="V16" i="15" s="1"/>
  <c r="W16" i="15" s="1"/>
  <c r="E23" i="15"/>
  <c r="E26" i="15"/>
  <c r="W26" i="15"/>
  <c r="N24" i="15"/>
  <c r="V15" i="15" s="1"/>
  <c r="W15" i="15" s="1"/>
  <c r="T24" i="15"/>
  <c r="W24" i="15" s="1"/>
  <c r="E25" i="15" l="1"/>
  <c r="E24" i="15"/>
  <c r="B14" i="29" l="1"/>
  <c r="C14" i="29" s="1"/>
  <c r="R14" i="29" l="1"/>
  <c r="M14" i="29"/>
  <c r="B17" i="29" s="1"/>
  <c r="T14" i="29" l="1"/>
  <c r="E14" i="29"/>
  <c r="B18" i="29"/>
  <c r="C18" i="29" s="1"/>
  <c r="R18" i="29" s="1"/>
  <c r="C17" i="29"/>
  <c r="M17" i="29" s="1"/>
  <c r="U14" i="29" l="1"/>
  <c r="T18" i="29"/>
  <c r="E18" i="29"/>
  <c r="R17" i="29"/>
  <c r="M18" i="29"/>
  <c r="U18" i="29" l="1"/>
  <c r="T17" i="29"/>
  <c r="U17" i="29" s="1"/>
  <c r="E17" i="29"/>
  <c r="C13" i="29"/>
  <c r="R13" i="29" s="1"/>
  <c r="T13" i="29" s="1"/>
  <c r="U13" i="29" s="1"/>
  <c r="E13" i="29" l="1"/>
  <c r="M13" i="29"/>
  <c r="B16" i="29" s="1"/>
  <c r="C16" i="29" l="1"/>
  <c r="T7" i="29"/>
  <c r="U7" i="29" s="1"/>
  <c r="M16" i="29" l="1"/>
  <c r="B19" i="29" s="1"/>
  <c r="C19" i="29" s="1"/>
  <c r="R16" i="29"/>
  <c r="T16" i="29" s="1"/>
  <c r="U16" i="29" s="1"/>
  <c r="E16" i="29" l="1"/>
  <c r="M19" i="29"/>
  <c r="T8" i="29" s="1"/>
  <c r="U8" i="29" s="1"/>
  <c r="R19" i="29"/>
  <c r="E19" i="29" l="1"/>
  <c r="T19" i="29"/>
  <c r="U19" i="29" s="1"/>
  <c r="B294" i="35"/>
  <c r="C294" i="35" s="1"/>
  <c r="B201" i="35"/>
  <c r="C201" i="35" s="1"/>
  <c r="B225" i="35"/>
  <c r="C225" i="35" s="1"/>
  <c r="B243" i="35"/>
  <c r="C243" i="35" s="1"/>
  <c r="B206" i="35"/>
  <c r="AD258" i="35"/>
  <c r="B310" i="35"/>
  <c r="C310" i="35" s="1"/>
  <c r="B314" i="35"/>
  <c r="C314" i="35" s="1"/>
  <c r="T171" i="35"/>
  <c r="AF171" i="35" s="1"/>
  <c r="B213" i="35"/>
  <c r="C213" i="35" s="1"/>
  <c r="B215" i="35"/>
  <c r="AD224" i="35"/>
  <c r="W32" i="35"/>
  <c r="B214" i="35"/>
  <c r="C214" i="35" s="1"/>
  <c r="W53" i="35"/>
  <c r="W52" i="35"/>
  <c r="T159" i="35"/>
  <c r="AF159" i="35" s="1"/>
  <c r="W65" i="35"/>
  <c r="W51" i="35"/>
  <c r="N136" i="35"/>
  <c r="B186" i="35" s="1"/>
  <c r="B136" i="35"/>
  <c r="B72" i="35"/>
  <c r="C206" i="35" l="1"/>
  <c r="AD206" i="35" s="1"/>
  <c r="C215" i="35"/>
  <c r="N215" i="35" s="1"/>
  <c r="AE215" i="35" s="1"/>
  <c r="N243" i="35"/>
  <c r="AD243" i="35"/>
  <c r="N310" i="35"/>
  <c r="AE310" i="35" s="1"/>
  <c r="AD310" i="35"/>
  <c r="N213" i="35"/>
  <c r="AE213" i="35" s="1"/>
  <c r="AD213" i="35"/>
  <c r="N201" i="35"/>
  <c r="AE201" i="35" s="1"/>
  <c r="AD201" i="35"/>
  <c r="N294" i="35"/>
  <c r="AE294" i="35" s="1"/>
  <c r="AD294" i="35"/>
  <c r="N214" i="35"/>
  <c r="AE214" i="35" s="1"/>
  <c r="AD214" i="35"/>
  <c r="V11" i="35"/>
  <c r="W11" i="35" s="1"/>
  <c r="AE136" i="35"/>
  <c r="V12" i="35"/>
  <c r="W12" i="35" s="1"/>
  <c r="W9" i="35"/>
  <c r="N224" i="35"/>
  <c r="AE224" i="35" s="1"/>
  <c r="T224" i="35"/>
  <c r="W146" i="35"/>
  <c r="T206" i="35"/>
  <c r="T258" i="35"/>
  <c r="N258" i="35"/>
  <c r="AD314" i="35"/>
  <c r="D314" i="35"/>
  <c r="Y314" i="35" s="1"/>
  <c r="T294" i="35"/>
  <c r="AD225" i="35"/>
  <c r="T213" i="35"/>
  <c r="T243" i="35"/>
  <c r="T201" i="35"/>
  <c r="T214" i="35"/>
  <c r="T310" i="35"/>
  <c r="N159" i="35"/>
  <c r="W21" i="35"/>
  <c r="AE159" i="35" l="1"/>
  <c r="V40" i="35"/>
  <c r="W40" i="35" s="1"/>
  <c r="AD215" i="35"/>
  <c r="T215" i="35"/>
  <c r="W215" i="35" s="1"/>
  <c r="N206" i="35"/>
  <c r="B250" i="35" s="1"/>
  <c r="C250" i="35" s="1"/>
  <c r="B292" i="35"/>
  <c r="C292" i="35" s="1"/>
  <c r="AE171" i="35"/>
  <c r="B229" i="35"/>
  <c r="B248" i="35"/>
  <c r="B268" i="35"/>
  <c r="V87" i="35"/>
  <c r="W87" i="35" s="1"/>
  <c r="W243" i="35"/>
  <c r="AF243" i="35"/>
  <c r="W224" i="35"/>
  <c r="AF224" i="35"/>
  <c r="W213" i="35"/>
  <c r="AF213" i="35"/>
  <c r="W310" i="35"/>
  <c r="AF310" i="35"/>
  <c r="W214" i="35"/>
  <c r="AF214" i="35"/>
  <c r="W206" i="35"/>
  <c r="AF206" i="35"/>
  <c r="W294" i="35"/>
  <c r="AF294" i="35"/>
  <c r="B297" i="35"/>
  <c r="C297" i="35" s="1"/>
  <c r="AE258" i="35"/>
  <c r="B269" i="35"/>
  <c r="W201" i="35"/>
  <c r="AF201" i="35"/>
  <c r="W258" i="35"/>
  <c r="AF258" i="35"/>
  <c r="V139" i="35"/>
  <c r="W139" i="35" s="1"/>
  <c r="AE243" i="35"/>
  <c r="B230" i="35"/>
  <c r="W55" i="35"/>
  <c r="V117" i="35"/>
  <c r="W117" i="35" s="1"/>
  <c r="V116" i="35"/>
  <c r="W116" i="35" s="1"/>
  <c r="B276" i="35"/>
  <c r="C276" i="35" s="1"/>
  <c r="V115" i="35"/>
  <c r="W115" i="35" s="1"/>
  <c r="V114" i="35"/>
  <c r="W114" i="35" s="1"/>
  <c r="B270" i="35"/>
  <c r="C270" i="35" s="1"/>
  <c r="V104" i="35"/>
  <c r="W104" i="35" s="1"/>
  <c r="W97" i="35"/>
  <c r="T225" i="35"/>
  <c r="N225" i="35"/>
  <c r="AE225" i="35" s="1"/>
  <c r="T314" i="35"/>
  <c r="N314" i="35"/>
  <c r="AE314" i="35" s="1"/>
  <c r="W67" i="35"/>
  <c r="W56" i="35"/>
  <c r="W54" i="35"/>
  <c r="W61" i="35"/>
  <c r="W58" i="35"/>
  <c r="W57" i="35"/>
  <c r="W59" i="35"/>
  <c r="B212" i="35"/>
  <c r="C212" i="35" s="1"/>
  <c r="W44" i="35"/>
  <c r="AF215" i="35" l="1"/>
  <c r="AE206" i="35"/>
  <c r="B251" i="35"/>
  <c r="C251" i="35" s="1"/>
  <c r="AD251" i="35" s="1"/>
  <c r="C229" i="35"/>
  <c r="AD229" i="35" s="1"/>
  <c r="C230" i="35"/>
  <c r="N230" i="35" s="1"/>
  <c r="V128" i="35" s="1"/>
  <c r="W128" i="35" s="1"/>
  <c r="C268" i="35"/>
  <c r="T268" i="35" s="1"/>
  <c r="C248" i="35"/>
  <c r="T248" i="35" s="1"/>
  <c r="AF248" i="35" s="1"/>
  <c r="C269" i="35"/>
  <c r="T269" i="35" s="1"/>
  <c r="AD292" i="35"/>
  <c r="T292" i="35"/>
  <c r="AF292" i="35" s="1"/>
  <c r="N292" i="35"/>
  <c r="AE292" i="35" s="1"/>
  <c r="N297" i="35"/>
  <c r="AE297" i="35" s="1"/>
  <c r="AD297" i="35"/>
  <c r="N186" i="35"/>
  <c r="AD186" i="35"/>
  <c r="T270" i="35"/>
  <c r="AD270" i="35"/>
  <c r="W314" i="35"/>
  <c r="AF314" i="35"/>
  <c r="W144" i="35"/>
  <c r="N276" i="35"/>
  <c r="AE276" i="35" s="1"/>
  <c r="AD276" i="35"/>
  <c r="T297" i="35"/>
  <c r="W225" i="35"/>
  <c r="AF225" i="35"/>
  <c r="N250" i="35"/>
  <c r="AE250" i="35" s="1"/>
  <c r="AD250" i="35"/>
  <c r="N212" i="35"/>
  <c r="B256" i="35" s="1"/>
  <c r="C256" i="35" s="1"/>
  <c r="AD212" i="35"/>
  <c r="W150" i="35"/>
  <c r="W152" i="35"/>
  <c r="T276" i="35"/>
  <c r="V118" i="35"/>
  <c r="W118" i="35" s="1"/>
  <c r="N270" i="35"/>
  <c r="W154" i="35"/>
  <c r="W147" i="35"/>
  <c r="W149" i="35"/>
  <c r="B277" i="35"/>
  <c r="C277" i="35" s="1"/>
  <c r="W119" i="35"/>
  <c r="T250" i="35"/>
  <c r="T186" i="35"/>
  <c r="T212" i="35"/>
  <c r="AD269" i="35" l="1"/>
  <c r="N251" i="35"/>
  <c r="V145" i="35" s="1"/>
  <c r="W145" i="35" s="1"/>
  <c r="T251" i="35"/>
  <c r="AF251" i="35" s="1"/>
  <c r="N269" i="35"/>
  <c r="B308" i="35" s="1"/>
  <c r="C308" i="35" s="1"/>
  <c r="N229" i="35"/>
  <c r="T229" i="35"/>
  <c r="W229" i="35" s="1"/>
  <c r="N248" i="35"/>
  <c r="AE248" i="35" s="1"/>
  <c r="AD230" i="35"/>
  <c r="T230" i="35"/>
  <c r="W268" i="35"/>
  <c r="AF268" i="35"/>
  <c r="W269" i="35"/>
  <c r="AF269" i="35"/>
  <c r="AD248" i="35"/>
  <c r="N268" i="35"/>
  <c r="AE268" i="35" s="1"/>
  <c r="AD268" i="35"/>
  <c r="W292" i="35"/>
  <c r="AE186" i="35"/>
  <c r="B237" i="35"/>
  <c r="W248" i="35"/>
  <c r="AE212" i="35"/>
  <c r="V110" i="35"/>
  <c r="W110" i="35" s="1"/>
  <c r="V172" i="35"/>
  <c r="W172" i="35" s="1"/>
  <c r="V158" i="35"/>
  <c r="W158" i="35" s="1"/>
  <c r="AE270" i="35"/>
  <c r="W297" i="35"/>
  <c r="AF297" i="35"/>
  <c r="W250" i="35"/>
  <c r="AF250" i="35"/>
  <c r="T277" i="35"/>
  <c r="AD277" i="35"/>
  <c r="V127" i="35"/>
  <c r="W127" i="35" s="1"/>
  <c r="AE230" i="35"/>
  <c r="W276" i="35"/>
  <c r="AF276" i="35"/>
  <c r="W212" i="35"/>
  <c r="AF212" i="35"/>
  <c r="W270" i="35"/>
  <c r="AF270" i="35"/>
  <c r="W186" i="35"/>
  <c r="AF186" i="35"/>
  <c r="B299" i="35"/>
  <c r="C299" i="35" s="1"/>
  <c r="V72" i="35"/>
  <c r="W72" i="35" s="1"/>
  <c r="B257" i="35"/>
  <c r="W134" i="35"/>
  <c r="W129" i="35"/>
  <c r="B309" i="35"/>
  <c r="N277" i="35"/>
  <c r="AE277" i="35" s="1"/>
  <c r="AD256" i="35"/>
  <c r="B278" i="35" l="1"/>
  <c r="C278" i="35" s="1"/>
  <c r="AD278" i="35" s="1"/>
  <c r="V121" i="35"/>
  <c r="W121" i="35" s="1"/>
  <c r="W251" i="35"/>
  <c r="AE251" i="35"/>
  <c r="AF229" i="35"/>
  <c r="B279" i="35"/>
  <c r="C279" i="35" s="1"/>
  <c r="T279" i="35" s="1"/>
  <c r="AE269" i="35"/>
  <c r="AE229" i="35"/>
  <c r="V126" i="35"/>
  <c r="W126" i="35" s="1"/>
  <c r="B293" i="35"/>
  <c r="C293" i="35" s="1"/>
  <c r="C237" i="35"/>
  <c r="N237" i="35" s="1"/>
  <c r="W230" i="35"/>
  <c r="AF230" i="35"/>
  <c r="C257" i="35"/>
  <c r="AD257" i="35" s="1"/>
  <c r="B307" i="35"/>
  <c r="C309" i="35"/>
  <c r="AD309" i="35" s="1"/>
  <c r="N265" i="35"/>
  <c r="AE265" i="35" s="1"/>
  <c r="AD265" i="35"/>
  <c r="N308" i="35"/>
  <c r="AE308" i="35" s="1"/>
  <c r="AD308" i="35"/>
  <c r="T308" i="35"/>
  <c r="N299" i="35"/>
  <c r="AE299" i="35" s="1"/>
  <c r="AD299" i="35"/>
  <c r="T299" i="35"/>
  <c r="W277" i="35"/>
  <c r="AF277" i="35"/>
  <c r="W173" i="35"/>
  <c r="W169" i="35"/>
  <c r="W166" i="35"/>
  <c r="W156" i="35"/>
  <c r="N279" i="35"/>
  <c r="V171" i="35" s="1"/>
  <c r="T256" i="35"/>
  <c r="N256" i="35"/>
  <c r="T265" i="35"/>
  <c r="N278" i="35" l="1"/>
  <c r="AE278" i="35" s="1"/>
  <c r="T278" i="35"/>
  <c r="AD279" i="35"/>
  <c r="T293" i="35"/>
  <c r="W293" i="35" s="1"/>
  <c r="AD293" i="35"/>
  <c r="T237" i="35"/>
  <c r="AF237" i="35" s="1"/>
  <c r="AD237" i="35"/>
  <c r="N293" i="35"/>
  <c r="AE293" i="35" s="1"/>
  <c r="T257" i="35"/>
  <c r="AF257" i="35" s="1"/>
  <c r="V131" i="35"/>
  <c r="W131" i="35" s="1"/>
  <c r="AE237" i="35"/>
  <c r="B288" i="35"/>
  <c r="C288" i="35" s="1"/>
  <c r="AD288" i="35" s="1"/>
  <c r="N257" i="35"/>
  <c r="AE257" i="35" s="1"/>
  <c r="T309" i="35"/>
  <c r="W309" i="35" s="1"/>
  <c r="N309" i="35"/>
  <c r="AE309" i="35" s="1"/>
  <c r="C307" i="35"/>
  <c r="AD307" i="35" s="1"/>
  <c r="V159" i="35"/>
  <c r="W159" i="35" s="1"/>
  <c r="W308" i="35"/>
  <c r="AF308" i="35"/>
  <c r="W256" i="35"/>
  <c r="AF256" i="35"/>
  <c r="W171" i="35"/>
  <c r="AE279" i="35"/>
  <c r="W265" i="35"/>
  <c r="AF265" i="35"/>
  <c r="V148" i="35"/>
  <c r="W148" i="35" s="1"/>
  <c r="AE256" i="35"/>
  <c r="W279" i="35"/>
  <c r="AF279" i="35"/>
  <c r="W299" i="35"/>
  <c r="AF299" i="35"/>
  <c r="W278" i="35"/>
  <c r="AF278" i="35"/>
  <c r="W178" i="35"/>
  <c r="B306" i="35"/>
  <c r="C306" i="35" s="1"/>
  <c r="W155" i="35"/>
  <c r="D304" i="35"/>
  <c r="Y304" i="35" s="1"/>
  <c r="Z176" i="35" s="1"/>
  <c r="W257" i="35" l="1"/>
  <c r="AF293" i="35"/>
  <c r="Z151" i="35"/>
  <c r="W237" i="35"/>
  <c r="N288" i="35"/>
  <c r="AE288" i="35" s="1"/>
  <c r="T288" i="35"/>
  <c r="W288" i="35" s="1"/>
  <c r="V153" i="35"/>
  <c r="W153" i="35" s="1"/>
  <c r="AF309" i="35"/>
  <c r="N307" i="35"/>
  <c r="AE307" i="35" s="1"/>
  <c r="T307" i="35"/>
  <c r="Z251" i="35"/>
  <c r="T306" i="35"/>
  <c r="AD306" i="35"/>
  <c r="Z254" i="35"/>
  <c r="Z247" i="35"/>
  <c r="Z140" i="35"/>
  <c r="Z148" i="35"/>
  <c r="Z240" i="35"/>
  <c r="Z244" i="35"/>
  <c r="Z221" i="35"/>
  <c r="Z230" i="35"/>
  <c r="Z223" i="35"/>
  <c r="Z227" i="35"/>
  <c r="Z228" i="35"/>
  <c r="Z275" i="35"/>
  <c r="Z279" i="35"/>
  <c r="N306" i="35"/>
  <c r="AE306" i="35" s="1"/>
  <c r="Z267" i="35"/>
  <c r="Z257" i="35"/>
  <c r="Z259" i="35"/>
  <c r="Z163" i="35"/>
  <c r="Z147" i="35"/>
  <c r="Z207" i="35"/>
  <c r="Z202" i="35"/>
  <c r="Z203" i="35"/>
  <c r="Z197" i="35"/>
  <c r="Z205" i="35"/>
  <c r="Z129" i="35"/>
  <c r="Z192" i="35"/>
  <c r="Z161" i="35"/>
  <c r="Z304" i="35"/>
  <c r="Z187" i="35"/>
  <c r="Z119" i="35"/>
  <c r="Z178" i="35"/>
  <c r="Z122" i="35"/>
  <c r="Z310" i="35"/>
  <c r="Z154" i="35"/>
  <c r="Z143" i="35"/>
  <c r="Z149" i="35"/>
  <c r="Z156" i="35"/>
  <c r="Z132" i="35"/>
  <c r="Z231" i="35"/>
  <c r="Z265" i="35"/>
  <c r="Z170" i="35"/>
  <c r="Z312" i="35"/>
  <c r="Z160" i="35"/>
  <c r="Z164" i="35"/>
  <c r="Z138" i="35"/>
  <c r="Z121" i="35"/>
  <c r="Z159" i="35"/>
  <c r="Z271" i="35"/>
  <c r="Z134" i="35"/>
  <c r="Z123" i="35"/>
  <c r="Z180" i="35"/>
  <c r="Z114" i="35"/>
  <c r="Z169" i="35"/>
  <c r="Z188" i="35"/>
  <c r="Z165" i="35"/>
  <c r="Z125" i="35"/>
  <c r="Z144" i="35"/>
  <c r="Z136" i="35"/>
  <c r="Z217" i="35"/>
  <c r="Z225" i="35"/>
  <c r="Z128" i="35"/>
  <c r="Z173" i="35"/>
  <c r="Z152" i="35"/>
  <c r="Z150" i="35"/>
  <c r="Z137" i="35"/>
  <c r="Z171" i="35"/>
  <c r="Z222" i="35"/>
  <c r="Z179" i="35"/>
  <c r="Z133" i="35"/>
  <c r="Z142" i="35"/>
  <c r="Z166" i="35"/>
  <c r="Z139" i="35"/>
  <c r="Z272" i="35"/>
  <c r="Z120" i="35"/>
  <c r="Z145" i="35"/>
  <c r="Z174" i="35"/>
  <c r="Z130" i="35"/>
  <c r="Z153" i="35"/>
  <c r="Z126" i="35"/>
  <c r="Z124" i="35"/>
  <c r="Z274" i="35"/>
  <c r="Z131" i="35"/>
  <c r="Z168" i="35"/>
  <c r="Z280" i="35"/>
  <c r="Z277" i="35"/>
  <c r="Z313" i="35"/>
  <c r="Z146" i="35"/>
  <c r="Z135" i="35"/>
  <c r="Z127" i="35"/>
  <c r="Z189" i="35"/>
  <c r="Z115" i="35"/>
  <c r="Z155" i="35"/>
  <c r="Z175" i="35"/>
  <c r="Z162" i="35"/>
  <c r="Z219" i="35"/>
  <c r="Z204" i="35"/>
  <c r="Z141" i="35"/>
  <c r="Z167" i="35"/>
  <c r="Z194" i="35"/>
  <c r="Z213" i="35"/>
  <c r="Z284" i="35"/>
  <c r="Z287" i="35"/>
  <c r="Z290" i="35"/>
  <c r="Z246" i="35"/>
  <c r="Z296" i="35"/>
  <c r="Z291" i="35"/>
  <c r="Z306" i="35"/>
  <c r="Z216" i="35"/>
  <c r="Z220" i="35"/>
  <c r="Z242" i="35"/>
  <c r="Z193" i="35"/>
  <c r="Z299" i="35"/>
  <c r="Z311" i="35"/>
  <c r="Z278" i="35"/>
  <c r="Z195" i="35"/>
  <c r="Z241" i="35"/>
  <c r="Z232" i="35"/>
  <c r="Z218" i="35"/>
  <c r="Z243" i="35"/>
  <c r="Z282" i="35"/>
  <c r="Z196" i="35"/>
  <c r="Z248" i="35"/>
  <c r="Z281" i="35"/>
  <c r="Z214" i="35"/>
  <c r="Z300" i="35"/>
  <c r="Z289" i="35"/>
  <c r="Z305" i="35"/>
  <c r="Z255" i="35"/>
  <c r="Z201" i="35"/>
  <c r="Z212" i="35"/>
  <c r="Z116" i="35"/>
  <c r="Z269" i="35"/>
  <c r="Z234" i="35"/>
  <c r="Z252" i="35"/>
  <c r="Z208" i="35"/>
  <c r="Z158" i="35"/>
  <c r="Z233" i="35"/>
  <c r="Z295" i="35"/>
  <c r="Z297" i="35"/>
  <c r="Z226" i="35"/>
  <c r="Z288" i="35"/>
  <c r="Z309" i="35"/>
  <c r="Z191" i="35"/>
  <c r="Z185" i="35"/>
  <c r="Z199" i="35"/>
  <c r="Z298" i="35"/>
  <c r="Z239" i="35"/>
  <c r="Z308" i="35"/>
  <c r="Z283" i="35"/>
  <c r="Z249" i="35"/>
  <c r="Z260" i="35"/>
  <c r="Z206" i="35"/>
  <c r="Z229" i="35"/>
  <c r="Z209" i="35"/>
  <c r="Z211" i="35"/>
  <c r="Z301" i="35"/>
  <c r="Z215" i="35"/>
  <c r="Z210" i="35"/>
  <c r="Z117" i="35"/>
  <c r="Z253" i="35"/>
  <c r="Z266" i="35"/>
  <c r="Z190" i="35"/>
  <c r="Z285" i="35"/>
  <c r="Z236" i="35"/>
  <c r="Z245" i="35"/>
  <c r="Z286" i="35"/>
  <c r="Z186" i="35"/>
  <c r="Z303" i="35"/>
  <c r="Z256" i="35"/>
  <c r="Z182" i="35"/>
  <c r="Z268" i="35"/>
  <c r="Z235" i="35"/>
  <c r="Z261" i="35"/>
  <c r="Z307" i="35"/>
  <c r="Z273" i="35"/>
  <c r="Z294" i="35"/>
  <c r="Z293" i="35"/>
  <c r="Z263" i="35"/>
  <c r="Z264" i="35"/>
  <c r="Z262" i="35"/>
  <c r="Z276" i="35"/>
  <c r="Z172" i="35"/>
  <c r="Z302" i="35"/>
  <c r="Z198" i="35"/>
  <c r="Z200" i="35"/>
  <c r="Z237" i="35"/>
  <c r="Z224" i="35"/>
  <c r="Z118" i="35"/>
  <c r="Z157" i="35"/>
  <c r="Z250" i="35"/>
  <c r="Z258" i="35"/>
  <c r="Z177" i="35"/>
  <c r="Z238" i="35"/>
  <c r="Z270" i="35"/>
  <c r="Z292" i="35"/>
  <c r="Z314" i="35"/>
  <c r="AF288" i="35" l="1"/>
  <c r="W307" i="35"/>
  <c r="AF307" i="35"/>
  <c r="W306" i="35"/>
  <c r="AF306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PCP-Volnei-Pereira</author>
  </authors>
  <commentList>
    <comment ref="B2" authorId="0" shapeId="0" xr:uid="{05D771B3-BB52-486D-BE1D-B9C024F5206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14/02/ e 15/02/2025</t>
        </r>
      </text>
    </comment>
    <comment ref="B3" authorId="0" shapeId="0" xr:uid="{F1587D2E-67A8-455D-863D-73F65A6E0E6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21 e 22/02/2025</t>
        </r>
      </text>
    </comment>
    <comment ref="B4" authorId="0" shapeId="0" xr:uid="{8A7C2C42-B367-4093-8FC8-810E0A61A18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26 e 27/02/2025</t>
        </r>
      </text>
    </comment>
    <comment ref="B6" authorId="0" shapeId="0" xr:uid="{17B744B1-D867-4F6C-B292-C93AF60A155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05/03/2025</t>
        </r>
      </text>
    </comment>
    <comment ref="B9" authorId="0" shapeId="0" xr:uid="{1162E25D-2736-4AF5-B437-3FF116EFB1E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14 e 15/03/2025</t>
        </r>
      </text>
    </comment>
    <comment ref="B12" authorId="0" shapeId="0" xr:uid="{F84B9B8A-AAD3-4D7B-8616-8BCBBF0B90E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13" authorId="0" shapeId="0" xr:uid="{5F5CDC7C-9F28-4501-A20B-C830C79583B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14" authorId="0" shapeId="0" xr:uid="{61752C1B-86A9-4721-ADDE-8C3E4C75081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15" authorId="0" shapeId="0" xr:uid="{6BEC59BD-7B9C-4F96-9DEA-7BD9EE66E48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16" authorId="0" shapeId="0" xr:uid="{DC89E005-D545-4EE1-841A-BF8122E88B8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17" authorId="0" shapeId="0" xr:uid="{92F2701B-AB85-419E-83F4-37851515539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18" authorId="0" shapeId="0" xr:uid="{ADFB6BE8-10BC-4EF6-B1ED-635BB1712BF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27" authorId="0" shapeId="0" xr:uid="{67AB4540-704A-426D-86DB-4977217F997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02 e 03/05/2025</t>
        </r>
      </text>
    </comment>
    <comment ref="B28" authorId="0" shapeId="0" xr:uid="{61FB5406-8475-4533-A22E-7B3089B0D01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02 e 03/05/2025</t>
        </r>
      </text>
    </comment>
    <comment ref="G30" authorId="0" shapeId="0" xr:uid="{5BC084D4-EC2D-404D-9DD7-0122DD2CD0D8}">
      <text>
        <r>
          <rPr>
            <b/>
            <sz val="9"/>
            <color indexed="81"/>
            <rFont val="Segoe UI"/>
            <family val="2"/>
          </rPr>
          <t xml:space="preserve">PCP-Volnei-Pereira:
Importado 50% das fêmeas </t>
        </r>
      </text>
    </comment>
    <comment ref="B33" authorId="0" shapeId="0" xr:uid="{2CA4DC07-EACC-4993-80AD-60896A8E349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27 e 29/05/2025</t>
        </r>
      </text>
    </comment>
    <comment ref="G33" authorId="0" shapeId="0" xr:uid="{A3D8E092-F900-4784-B585-FB01181B8E9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LOTE IMPORTADO</t>
        </r>
      </text>
    </comment>
    <comment ref="B34" authorId="0" shapeId="0" xr:uid="{5066CE21-C25F-40C2-9CB9-DA937092A637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27 e 29/05/2025</t>
        </r>
      </text>
    </comment>
    <comment ref="G34" authorId="0" shapeId="0" xr:uid="{5721CFD8-3CEF-4307-8F7C-BFB2E2C2BC2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LOTE IMPORTADO</t>
        </r>
      </text>
    </comment>
    <comment ref="B35" authorId="0" shapeId="0" xr:uid="{14BD169B-9D97-40FE-9833-1550A53293B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30/05/2025</t>
        </r>
      </text>
    </comment>
    <comment ref="B36" authorId="0" shapeId="0" xr:uid="{2BAF8B30-9486-4D18-98FC-16BACCFD16E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30/05/2025</t>
        </r>
      </text>
    </comment>
    <comment ref="B40" authorId="0" shapeId="0" xr:uid="{008F720D-FB47-4B2E-BAC2-43D6FA97373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06 e 07/06/2025</t>
        </r>
      </text>
    </comment>
    <comment ref="B43" authorId="0" shapeId="0" xr:uid="{099DC275-61EE-4406-AE03-8187A6C0BE7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10, 12 e 14/06/2025</t>
        </r>
      </text>
    </comment>
    <comment ref="B44" authorId="0" shapeId="0" xr:uid="{35CE6A73-1A04-4FC9-A9C1-735E5ACF98A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20 e 21/06/2025</t>
        </r>
      </text>
    </comment>
    <comment ref="B48" authorId="0" shapeId="0" xr:uid="{38E3886C-7423-4D07-82A2-0ACCBA18858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19 , 20 e 21/06/2025</t>
        </r>
      </text>
    </comment>
    <comment ref="B49" authorId="0" shapeId="0" xr:uid="{DA0F4813-F27E-41D2-9D36-BEACFCB6280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02/07/25</t>
        </r>
      </text>
    </comment>
    <comment ref="B50" authorId="0" shapeId="0" xr:uid="{0AB87974-58D6-42D7-ABD5-4DC484F827D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02/07/25</t>
        </r>
      </text>
    </comment>
    <comment ref="B51" authorId="0" shapeId="0" xr:uid="{750F5421-2A87-4C90-B854-F514DB8ADF0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02/07/25</t>
        </r>
      </text>
    </comment>
    <comment ref="B52" authorId="0" shapeId="0" xr:uid="{431AD85D-7EE8-4682-94AA-FA878EA94C9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02/07/25</t>
        </r>
      </text>
    </comment>
    <comment ref="B53" authorId="0" shapeId="0" xr:uid="{298970FF-76B6-456A-B6C8-29224E88E81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02/07/25</t>
        </r>
      </text>
    </comment>
    <comment ref="B54" authorId="0" shapeId="0" xr:uid="{8F24C677-2ECD-4697-B5F2-4B6650B7C30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01 e 02/07/2025</t>
        </r>
      </text>
    </comment>
    <comment ref="B55" authorId="0" shapeId="0" xr:uid="{94A96BD0-23CD-47C5-8118-19A35FDC9DF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02 e 03/07/2025</t>
        </r>
      </text>
    </comment>
    <comment ref="B56" authorId="0" shapeId="0" xr:uid="{D059D5F0-C524-42D6-A89B-EA3E91229E4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08 e 09/07/2025</t>
        </r>
      </text>
    </comment>
    <comment ref="B57" authorId="0" shapeId="0" xr:uid="{A74BBEC6-AA2A-440C-BA66-E85B2FD025D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08 e 09/07/2025</t>
        </r>
      </text>
    </comment>
    <comment ref="B59" authorId="0" shapeId="0" xr:uid="{9B336802-D9AA-4984-81B3-E053E14EEF7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25 e  26/07/2025</t>
        </r>
      </text>
    </comment>
    <comment ref="I59" authorId="0" shapeId="0" xr:uid="{88BB29DB-3543-4447-8504-2ED484B0376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Fêmea Nova </t>
        </r>
      </text>
    </comment>
    <comment ref="B60" authorId="0" shapeId="0" xr:uid="{B209A041-9DC3-4959-A27E-D099B675376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24 e 31/07/2025</t>
        </r>
      </text>
    </comment>
    <comment ref="B61" authorId="0" shapeId="0" xr:uid="{EF222E53-0404-4B98-9043-5CC5D0AEE18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31, 01 e 02/08/2025</t>
        </r>
      </text>
    </comment>
    <comment ref="B63" authorId="0" shapeId="0" xr:uid="{FD0AF5AE-777F-420D-9377-046430CABFB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16, 19 e 20/08/2025</t>
        </r>
      </text>
    </comment>
    <comment ref="B64" authorId="0" shapeId="0" xr:uid="{2F0E7B66-B848-4F03-948F-BBF19ACCB74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16, 19 e 20/08/2025</t>
        </r>
      </text>
    </comment>
    <comment ref="B65" authorId="0" shapeId="0" xr:uid="{092A512A-265E-40AB-9226-68C367612D9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14 e 15/08/2025</t>
        </r>
      </text>
    </comment>
    <comment ref="B66" authorId="0" shapeId="0" xr:uid="{B83070E0-B9A7-4083-8EE7-671EBC0417D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22 e 23/08/2025</t>
        </r>
      </text>
    </comment>
    <comment ref="B67" authorId="0" shapeId="0" xr:uid="{F6DBB978-4F3F-44E2-BF3A-9808FF2BB2F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22 e 23/08/2025</t>
        </r>
      </text>
    </comment>
    <comment ref="B69" authorId="0" shapeId="0" xr:uid="{46009A2E-0B63-4232-8F44-9C0536DF3FA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26, 27 E 28/08/2025</t>
        </r>
      </text>
    </comment>
    <comment ref="B70" authorId="0" shapeId="0" xr:uid="{42938FF5-E168-43DE-8BC6-7535E978320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30/08/2025</t>
        </r>
      </text>
    </comment>
    <comment ref="B71" authorId="0" shapeId="0" xr:uid="{1F72B001-E3FA-4881-8A36-F28BD643241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05 e 06/09/2025</t>
        </r>
      </text>
    </comment>
    <comment ref="B72" authorId="0" shapeId="0" xr:uid="{553BB131-BD8E-4688-9CAE-8B54565719E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04, 05 e 06/09/2025</t>
        </r>
      </text>
    </comment>
    <comment ref="B75" authorId="0" shapeId="0" xr:uid="{9042EE9B-E1F2-422F-BB17-3F2C059EB26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24e 26/09/2025</t>
        </r>
      </text>
    </comment>
    <comment ref="B76" authorId="0" shapeId="0" xr:uid="{4273CDBC-E60D-4CC3-A9EF-9CB45665C21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24e 26/09/2025</t>
        </r>
      </text>
    </comment>
    <comment ref="B77" authorId="0" shapeId="0" xr:uid="{00F4FB79-3B15-4AE9-890A-F726C8CD081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26, 27 e 30/09/2025</t>
        </r>
      </text>
    </comment>
    <comment ref="B78" authorId="0" shapeId="0" xr:uid="{8DA42E53-E3AE-44CE-9241-1A159AD8B16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26, 27 e 30/09/2025</t>
        </r>
      </text>
    </comment>
    <comment ref="B80" authorId="0" shapeId="0" xr:uid="{6081B099-934A-4DA2-84B2-C47FE0D9C5D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01/10/2025</t>
        </r>
      </text>
    </comment>
    <comment ref="B83" authorId="0" shapeId="0" xr:uid="{EA517920-FBF1-42A0-BA54-9F2EE9D038B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04, 07 e 08/10/2025</t>
        </r>
      </text>
    </comment>
    <comment ref="B84" authorId="0" shapeId="0" xr:uid="{FB460FBC-2120-49DD-800F-892E4AFE7F2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04, 07 e 08/10/2025</t>
        </r>
      </text>
    </comment>
    <comment ref="B86" authorId="0" shapeId="0" xr:uid="{64394DFC-E947-40DE-A5D8-ED1A2ADD010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10, 11 e 14/10/2025</t>
        </r>
      </text>
    </comment>
    <comment ref="B89" authorId="0" shapeId="0" xr:uid="{97DA669B-835D-46A1-905D-744AEB3FA5E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18 e 21/10/2025</t>
        </r>
      </text>
    </comment>
    <comment ref="B90" authorId="0" shapeId="0" xr:uid="{36443712-EDAD-4D56-B34C-ED32235485A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18 e 21/10/2025</t>
        </r>
      </text>
    </comment>
    <comment ref="B91" authorId="0" shapeId="0" xr:uid="{81977509-56E3-48CA-B371-C8A2AA28400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23 , 24 e 25/10/2025</t>
        </r>
      </text>
    </comment>
    <comment ref="B92" authorId="0" shapeId="0" xr:uid="{1661562F-782C-46DC-98EE-C04ADCEF1AB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23 , 24 e 25/10/2025</t>
        </r>
      </text>
    </comment>
    <comment ref="B93" authorId="0" shapeId="0" xr:uid="{23071402-6683-4BEC-8E0C-C3BA250DF92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23 , 24 e 25/10/2025</t>
        </r>
      </text>
    </comment>
    <comment ref="B94" authorId="0" shapeId="0" xr:uid="{A14E57DE-8630-48C2-805B-CF70CE76776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23 , 24 e 25/10/2025</t>
        </r>
      </text>
    </comment>
    <comment ref="B95" authorId="0" shapeId="0" xr:uid="{38959F6A-5643-4154-AE6C-F710D3B08EE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05/11/2025</t>
        </r>
      </text>
    </comment>
    <comment ref="B96" authorId="0" shapeId="0" xr:uid="{3C612057-EAB7-4DD9-A302-4878A24A11A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05/11/2025</t>
        </r>
      </text>
    </comment>
    <comment ref="B97" authorId="0" shapeId="0" xr:uid="{3919CC30-4466-4117-BCD1-6B9A1A5986D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07/11/2025
</t>
        </r>
      </text>
    </comment>
    <comment ref="B101" authorId="0" shapeId="0" xr:uid="{CDB2F0F2-D912-4A76-A223-3D23A9D613D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27 e 28/11/2025</t>
        </r>
      </text>
    </comment>
    <comment ref="B102" authorId="0" shapeId="0" xr:uid="{DD802A64-CF0E-468B-A6C1-B1FA0853BED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05 e 06/12/2025</t>
        </r>
      </text>
    </comment>
    <comment ref="B103" authorId="0" shapeId="0" xr:uid="{F982B752-7C40-4ACB-8CDD-EA7E114FFBA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05 e 06/12/2025</t>
        </r>
      </text>
    </comment>
    <comment ref="B104" authorId="0" shapeId="0" xr:uid="{29B77694-FFEC-4B81-AE0D-F95A6F3FA17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29/11/2025</t>
        </r>
      </text>
    </comment>
    <comment ref="B106" authorId="0" shapeId="0" xr:uid="{F3318021-3916-447C-BFE7-16E9F9073DE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06/12/2025</t>
        </r>
      </text>
    </comment>
    <comment ref="B107" authorId="0" shapeId="0" xr:uid="{886B0284-76A9-4CA2-8331-B28A830E644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06/12/2025</t>
        </r>
      </text>
    </comment>
    <comment ref="B109" authorId="0" shapeId="0" xr:uid="{9C52BD10-CFF0-4D04-80DD-8BBAAD808E8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11, 12 e 13/12/2025</t>
        </r>
      </text>
    </comment>
    <comment ref="B110" authorId="0" shapeId="0" xr:uid="{599BCEE8-003A-4DC9-A0E1-80EA3D2ACC9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11, 12 e 13/12/2025</t>
        </r>
      </text>
    </comment>
    <comment ref="B116" authorId="0" shapeId="0" xr:uid="{954F402A-5139-4269-A6C8-80278AEB71E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08, 09 e 10/01/2026</t>
        </r>
      </text>
    </comment>
    <comment ref="B119" authorId="0" shapeId="0" xr:uid="{958BB83A-D439-49D5-8F83-C3653BA225C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21, 22 e 23/01/2026</t>
        </r>
      </text>
    </comment>
    <comment ref="B121" authorId="0" shapeId="0" xr:uid="{B1DFD04D-74D2-4522-A1D2-292E172276D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05/02/2026</t>
        </r>
      </text>
    </comment>
    <comment ref="I121" authorId="0" shapeId="0" xr:uid="{5D4AC994-39F4-43A6-98FA-FCCDE57004B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Ajustar Pedido, Lote era Plusval 54 mil</t>
        </r>
      </text>
    </comment>
    <comment ref="B122" authorId="0" shapeId="0" xr:uid="{0A650344-1C7D-44A2-95EA-7B8284CBB3E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12 e 13/02/2026</t>
        </r>
      </text>
    </comment>
    <comment ref="B125" authorId="0" shapeId="0" xr:uid="{25710B27-F8B4-49C5-8EC3-64B85CEF67C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25 e 26/02/2026</t>
        </r>
      </text>
    </comment>
    <comment ref="B128" authorId="0" shapeId="0" xr:uid="{AFD43CF8-3360-499F-9AE0-795C9C04AEB7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 04 e 05/03/2026</t>
        </r>
      </text>
    </comment>
    <comment ref="B130" authorId="0" shapeId="0" xr:uid="{3156C32A-C244-45C2-8133-4F2760A9B8C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13 e 14/03/2026
</t>
        </r>
      </text>
    </comment>
    <comment ref="B131" authorId="0" shapeId="0" xr:uid="{A881ED87-712D-4D05-8FB7-BB6645F7626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13 e 14/03/2026
</t>
        </r>
      </text>
    </comment>
    <comment ref="B133" authorId="0" shapeId="0" xr:uid="{57E058C0-1839-4283-AC7D-0A87F2A2FBC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18 e 19/03/2026</t>
        </r>
      </text>
    </comment>
    <comment ref="S134" authorId="0" shapeId="0" xr:uid="{29FFECD9-96AA-47FE-9D77-9A6D592A7FB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Recebeu 3.744 da gja Bom S. Rec 1</t>
        </r>
      </text>
    </comment>
    <comment ref="B135" authorId="0" shapeId="0" xr:uid="{301B4D01-FC88-4162-862A-026BCB7BE95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24 e 25/03/2026</t>
        </r>
      </text>
    </comment>
    <comment ref="B137" authorId="0" shapeId="0" xr:uid="{2BF57A00-74DB-483E-BB6D-7B2250D68E5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20 e 21/03/2026</t>
        </r>
      </text>
    </comment>
    <comment ref="S137" authorId="0" shapeId="0" xr:uid="{D59915DE-A0DE-4F20-9402-EBAB3C41259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3.744 foi proa Gja São Roque.</t>
        </r>
      </text>
    </comment>
    <comment ref="B138" authorId="0" shapeId="0" xr:uid="{0707D746-2355-460B-B0F7-4A7AFDE9F9B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20 e 21/03/2026</t>
        </r>
      </text>
    </comment>
    <comment ref="B139" authorId="0" shapeId="0" xr:uid="{84C5DB67-E78C-4CCA-B3D8-1910507D1F17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07 e 09/04/2026</t>
        </r>
      </text>
    </comment>
    <comment ref="B141" authorId="0" shapeId="0" xr:uid="{AD61A1F1-FBA0-4170-9C40-47C3BF3CA45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10 e 11/04/2026</t>
        </r>
      </text>
    </comment>
    <comment ref="I141" authorId="0" shapeId="0" xr:uid="{A1CC4EB0-EA21-421C-9EB2-27F3AEF3F60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Atraso de 1 semana
Problema de incubação Aviagen</t>
        </r>
      </text>
    </comment>
    <comment ref="B142" authorId="0" shapeId="0" xr:uid="{57282AFD-95D0-4C06-B850-76C5611197F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22 e 23/04/2026</t>
        </r>
      </text>
    </comment>
    <comment ref="I142" authorId="0" shapeId="0" xr:uid="{3C2111A9-5158-464E-8149-34F58749809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Importado</t>
        </r>
      </text>
    </comment>
    <comment ref="B143" authorId="0" shapeId="0" xr:uid="{2615C849-2498-4D47-BDB1-F3D847E6C06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25 e 28/04/2026</t>
        </r>
      </text>
    </comment>
    <comment ref="I143" authorId="0" shapeId="0" xr:uid="{092027A9-2710-4513-9B2E-8C855322007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Atraso de 1 semana
Problema de incubação Aviagen</t>
        </r>
      </text>
    </comment>
    <comment ref="B144" authorId="0" shapeId="0" xr:uid="{89738FDB-6E34-4A98-96BF-1E01F9C29CF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25 e 28/04/2026</t>
        </r>
      </text>
    </comment>
    <comment ref="I144" authorId="0" shapeId="0" xr:uid="{65762E8F-84EC-4BEA-B7BE-E78DEE535D6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Atraso de 1 semana
Problema de incubação Aviagen</t>
        </r>
      </text>
    </comment>
    <comment ref="B146" authorId="0" shapeId="0" xr:uid="{840D05AF-6B07-4053-B4CA-CB6E88C394E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30 e 01/05/5/2026</t>
        </r>
      </text>
    </comment>
    <comment ref="I146" authorId="0" shapeId="0" xr:uid="{51F61ED4-04E5-47A0-AEFF-BA5466CE877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Importado</t>
        </r>
      </text>
    </comment>
    <comment ref="B150" authorId="0" shapeId="0" xr:uid="{E3971A02-9B7D-44F9-A0B1-05BFF5C1C21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15 e 16/05/2026</t>
        </r>
      </text>
    </comment>
    <comment ref="B152" authorId="0" shapeId="0" xr:uid="{1896CB24-C6C0-40B7-A06E-82DA2CE02A8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14 e 15/05/2026</t>
        </r>
      </text>
    </comment>
    <comment ref="I152" authorId="0" shapeId="0" xr:uid="{86FF5ABB-CC24-4826-AD7D-85617C5BFD7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Importado</t>
        </r>
      </text>
    </comment>
    <comment ref="B153" authorId="0" shapeId="0" xr:uid="{12796623-0F1D-41AD-B5C5-52A5ABF5BCD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14 e 15/05/2026</t>
        </r>
      </text>
    </comment>
    <comment ref="B154" authorId="0" shapeId="0" xr:uid="{2800DFF8-2F64-4F82-8ACA-3471E8E71DC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19 e 20/05/2026</t>
        </r>
      </text>
    </comment>
    <comment ref="I155" authorId="0" shapeId="0" xr:uid="{41E75DA0-9CAA-4D4C-8FE8-F7C3DBF05A1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Importado</t>
        </r>
      </text>
    </comment>
    <comment ref="B156" authorId="0" shapeId="0" xr:uid="{2B1A6405-7F89-44AF-9A03-BE496FF3744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02 e 03/06/2026</t>
        </r>
      </text>
    </comment>
    <comment ref="I159" authorId="0" shapeId="0" xr:uid="{638A8216-0FA6-45BE-89AC-058F2130AC8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Importado</t>
        </r>
      </text>
    </comment>
    <comment ref="B160" authorId="0" shapeId="0" xr:uid="{7F485433-A449-4B45-9FDA-D9671770B81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18 e 19/06/2026</t>
        </r>
      </text>
    </comment>
    <comment ref="B162" authorId="0" shapeId="0" xr:uid="{C19A320D-9DF7-4087-BB90-955CE6DB7C1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18 e 19/06/2026</t>
        </r>
      </text>
    </comment>
    <comment ref="G162" authorId="0" shapeId="0" xr:uid="{16AE2121-66CB-462A-9EFB-6C09EC49361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Alojamento no corti, transferiu p/ Panorama c/ 5 semanas</t>
        </r>
      </text>
    </comment>
    <comment ref="B163" authorId="0" shapeId="0" xr:uid="{DBC08A24-0B23-47E1-AAFA-976FAB1A181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18 e 19/06/2026</t>
        </r>
      </text>
    </comment>
    <comment ref="B164" authorId="0" shapeId="0" xr:uid="{F966BA18-4FEC-47C1-8116-85B95A38E73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19, 20  e 23/06/2026</t>
        </r>
      </text>
    </comment>
    <comment ref="B165" authorId="0" shapeId="0" xr:uid="{55327996-D756-4389-B4DE-03076A9B5F0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19, 20  e 23/06/2026</t>
        </r>
      </text>
    </comment>
    <comment ref="B166" authorId="0" shapeId="0" xr:uid="{DEEB4DCC-B932-43A9-BEEC-95C8BA22EDA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19, 20  e 23/06/2026</t>
        </r>
      </text>
    </comment>
    <comment ref="B167" authorId="0" shapeId="0" xr:uid="{FB532F93-14BF-4F19-924A-AC0526DD715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24 e 26/06/2026</t>
        </r>
      </text>
    </comment>
    <comment ref="B168" authorId="0" shapeId="0" xr:uid="{D2BC1391-723A-4C8B-966E-727CCB4AC28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02, e 03/07/2026</t>
        </r>
      </text>
    </comment>
    <comment ref="B169" authorId="0" shapeId="0" xr:uid="{904CD694-A1CC-45CD-B7DD-926328A2466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07 e 08/07/2026</t>
        </r>
      </text>
    </comment>
    <comment ref="B170" authorId="0" shapeId="0" xr:uid="{2432160E-B161-447F-8463-F032854A85E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11 e 14/07/2026</t>
        </r>
      </text>
    </comment>
    <comment ref="B171" authorId="0" shapeId="0" xr:uid="{459D38FE-B74F-4C93-A818-4F1D1C0DB8A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22 e 23/07/2026</t>
        </r>
      </text>
    </comment>
    <comment ref="B172" authorId="0" shapeId="0" xr:uid="{DB468A16-1472-4E52-94D7-AE71B9429F4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29 e 01/08/2026</t>
        </r>
      </text>
    </comment>
    <comment ref="B173" authorId="0" shapeId="0" xr:uid="{1D123AD9-8294-4947-9449-44C9C1409A8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01/08/2026</t>
        </r>
      </text>
    </comment>
    <comment ref="B177" authorId="0" shapeId="0" xr:uid="{45BD6A2C-C6DD-4117-AD85-E7873AEE991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18 e 21/08/2026</t>
        </r>
      </text>
    </comment>
    <comment ref="B180" authorId="0" shapeId="0" xr:uid="{5005C157-3B09-4D04-A0E2-2BC4314933D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18 e 19/09/2026</t>
        </r>
      </text>
    </comment>
    <comment ref="B185" authorId="0" shapeId="0" xr:uid="{659BEE64-0929-4ECE-B879-3851F03B8AD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15 e 18/09/2026</t>
        </r>
      </text>
    </comment>
    <comment ref="B186" authorId="0" shapeId="0" xr:uid="{8465A2C9-66C8-4E92-A93E-FD9C065A5DF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25 e 26/09/2026</t>
        </r>
      </text>
    </comment>
    <comment ref="B187" authorId="0" shapeId="0" xr:uid="{F031C39B-C199-4A42-8DC8-F20ED3D793F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06, 089e 01010/2026</t>
        </r>
      </text>
    </comment>
    <comment ref="G187" authorId="0" shapeId="0" xr:uid="{9E38EBF3-6CBE-425F-BAC2-C3AF9098D73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Importado
</t>
        </r>
      </text>
    </comment>
    <comment ref="G188" authorId="0" shapeId="0" xr:uid="{392398F5-CC80-4416-BAE5-710D017CCDD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Importado
</t>
        </r>
      </text>
    </comment>
    <comment ref="G189" authorId="0" shapeId="0" xr:uid="{F2D1BCA5-2377-46DA-80AE-95ED966841D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Importado
</t>
        </r>
      </text>
    </comment>
    <comment ref="B190" authorId="0" shapeId="0" xr:uid="{0E7F7FCA-EA4F-49AB-B7B0-22581D14E9D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08 e 10/10/2026</t>
        </r>
      </text>
    </comment>
    <comment ref="B191" authorId="0" shapeId="0" xr:uid="{7A1D73EF-3FAE-4EF8-B116-10F2BFF3813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09 e 10/10/2026</t>
        </r>
      </text>
    </comment>
    <comment ref="B192" authorId="0" shapeId="0" xr:uid="{8FF512F0-FB56-44A8-AC9B-CBF62D9713A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09 e 10/10/2026</t>
        </r>
      </text>
    </comment>
    <comment ref="I193" authorId="0" shapeId="0" xr:uid="{7CFF540E-1340-47EA-B4F6-05FA4EB9A9C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Importado</t>
        </r>
      </text>
    </comment>
    <comment ref="B198" authorId="0" shapeId="0" xr:uid="{B359A49B-988C-4120-9254-095B6E8FAB9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05 e 06/11/2026</t>
        </r>
      </text>
    </comment>
    <comment ref="B199" authorId="0" shapeId="0" xr:uid="{0880C97A-65CF-46AF-9CDF-6856D3CE226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Era 29/11/2026, ajustar para 27/10/2026</t>
        </r>
      </text>
    </comment>
    <comment ref="D217" authorId="0" shapeId="0" xr:uid="{F020792A-A090-4B00-B0A1-9DCAAE959E5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Pedido de 19/11/2026 - </t>
        </r>
      </text>
    </comment>
    <comment ref="E217" authorId="0" shapeId="0" xr:uid="{90A59245-4CAF-4A78-8DD8-D4E812EE5D4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Pedido de 19/11/2026 -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PCP-Volnei-Pereira</author>
  </authors>
  <commentList>
    <comment ref="B2" authorId="0" shapeId="0" xr:uid="{6D321D83-F970-4385-B987-65A42DE3A96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 04 e 07/01/2025</t>
        </r>
      </text>
    </comment>
    <comment ref="B5" authorId="0" shapeId="0" xr:uid="{7251FAD6-DCCB-4A04-A76F-854AA788D85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26 e 27/02/2025</t>
        </r>
      </text>
    </comment>
    <comment ref="B6" authorId="0" shapeId="0" xr:uid="{92D7E8FC-2A95-4C85-83BD-C6CC263A95D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21 e 22/03/2025</t>
        </r>
      </text>
    </comment>
    <comment ref="B8" authorId="0" shapeId="0" xr:uid="{0474C922-99CB-4DDF-8E7F-F38A70B2844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9" authorId="0" shapeId="0" xr:uid="{2F4486DE-5031-4912-9FE1-78890666CE5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25 e 26/03/2025</t>
        </r>
      </text>
    </comment>
    <comment ref="B10" authorId="0" shapeId="0" xr:uid="{64A87519-CEA5-434F-A4DD-87447B6A570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25 e 26/03/2025</t>
        </r>
      </text>
    </comment>
    <comment ref="G12" authorId="0" shapeId="0" xr:uid="{91E3D783-FDA5-44E5-9FAA-CDEC50BF4F2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Fêmea nova linhagem COBB (IMPORTADO)</t>
        </r>
      </text>
    </comment>
    <comment ref="B13" authorId="0" shapeId="0" xr:uid="{600B3B9E-36E0-4809-B91A-1D28E7656C9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23, 24, 25 e 26/07/2025</t>
        </r>
      </text>
    </comment>
    <comment ref="B16" authorId="0" shapeId="0" xr:uid="{55478ED9-44DF-4C0D-AE25-7AC577D6693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05 e 06/09/2025</t>
        </r>
      </text>
    </comment>
    <comment ref="B17" authorId="0" shapeId="0" xr:uid="{317E5347-A248-487F-9736-E1C3E6E6351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05 e 06/09/2025</t>
        </r>
      </text>
    </comment>
    <comment ref="B18" authorId="0" shapeId="0" xr:uid="{34B5B357-CD7A-464B-9E1C-8DEE860B6AE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05 e 06/09/2025</t>
        </r>
      </text>
    </comment>
    <comment ref="B23" authorId="0" shapeId="0" xr:uid="{43065C11-EEB8-4372-9B69-AFBABF169E9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11 E 12/11/2025</t>
        </r>
      </text>
    </comment>
    <comment ref="B25" authorId="0" shapeId="0" xr:uid="{351DE5C2-6E9F-4D74-8273-34651F240BC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05/11/2025</t>
        </r>
      </text>
    </comment>
    <comment ref="B26" authorId="0" shapeId="0" xr:uid="{6008B9F7-53DB-4D4F-A6DC-E50EC91B13E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05/11/2025</t>
        </r>
      </text>
    </comment>
    <comment ref="B30" authorId="0" shapeId="0" xr:uid="{FEBBBF63-318B-4984-A183-4480FA8ECC7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10 E 13/01/2026</t>
        </r>
      </text>
    </comment>
    <comment ref="B32" authorId="0" shapeId="0" xr:uid="{C9A11464-A9E6-4B24-A696-772FAD4C387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25 e 26/02/2026</t>
        </r>
      </text>
    </comment>
    <comment ref="B33" authorId="0" shapeId="0" xr:uid="{FBC0751B-1123-49D1-B4CF-8FB1EE414EB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13 e 14/03/2026
</t>
        </r>
      </text>
    </comment>
    <comment ref="B34" authorId="0" shapeId="0" xr:uid="{33A0745C-7858-44BA-9FC8-FA362FD86DD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17 e 18/02/2026</t>
        </r>
      </text>
    </comment>
    <comment ref="B35" authorId="0" shapeId="0" xr:uid="{653D21D2-7202-47F1-80E2-5BB000D6D9F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02 e 03/04/2026</t>
        </r>
      </text>
    </comment>
    <comment ref="B36" authorId="0" shapeId="0" xr:uid="{F21B198C-2AB7-43D3-A90E-16DE12E4F64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02 e 03/04/2026</t>
        </r>
      </text>
    </comment>
    <comment ref="K37" authorId="0" shapeId="0" xr:uid="{9B32EE53-6CD1-4D16-AD4C-67414DF9866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Aviagen atrasou em 15 dias a entrega.
Ficou para 13/10/2026</t>
        </r>
      </text>
    </comment>
    <comment ref="B40" authorId="0" shapeId="0" xr:uid="{79516F5F-CE63-462F-B1F3-42BDF86FE65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15 e 16/05/2026</t>
        </r>
      </text>
    </comment>
    <comment ref="B41" authorId="0" shapeId="0" xr:uid="{39A0C192-0FBE-4993-8309-EFE3F3C66BD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21 e 22/07/2026</t>
        </r>
      </text>
    </comment>
    <comment ref="B42" authorId="0" shapeId="0" xr:uid="{C89DCB06-EE23-4892-A819-DE0FD246A19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31 e 01/08/2026</t>
        </r>
      </text>
    </comment>
    <comment ref="B43" authorId="0" shapeId="0" xr:uid="{B93CDBB8-7C92-4514-ABCE-F170C15064A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31 e 01/08/2026</t>
        </r>
      </text>
    </comment>
    <comment ref="B44" authorId="0" shapeId="0" xr:uid="{0A489B19-28F6-48C4-8D24-C66E48883B0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30, 02 e 04/09/2026
</t>
        </r>
      </text>
    </comment>
    <comment ref="B45" authorId="0" shapeId="0" xr:uid="{CB72AF8F-2388-44B2-944D-160FC56907B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30, 02 e 04/09/2026
</t>
        </r>
      </text>
    </comment>
    <comment ref="B46" authorId="0" shapeId="0" xr:uid="{8AAA5EC3-2E5A-4425-B6C9-06E129BA6D0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30, 02 e 04/09/2026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PCP-Volnei-Pereira</author>
  </authors>
  <commentList>
    <comment ref="B7" authorId="0" shapeId="0" xr:uid="{200BC0CB-055A-49D0-A8CE-8349AA25313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11/09 Fêmeas
17/09 Machos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Volnei - PCP</author>
    <author>PCP-Volnei-Pereira</author>
  </authors>
  <commentList>
    <comment ref="B2" authorId="0" shapeId="0" xr:uid="{46115AC3-C059-4CFF-A7CA-763402C20005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10 e 11/04/2024</t>
        </r>
      </text>
    </comment>
    <comment ref="B3" authorId="0" shapeId="0" xr:uid="{2ED7796C-FA7E-444A-888C-B23D0C4F6C01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14, 15 e 16/05/2024</t>
        </r>
      </text>
    </comment>
    <comment ref="B5" authorId="0" shapeId="0" xr:uid="{B790D0AC-7EE3-48FB-8D62-1D63CAAC6543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16 e 18/05/2024</t>
        </r>
      </text>
    </comment>
    <comment ref="B6" authorId="0" shapeId="0" xr:uid="{80AD0052-8E97-4AAD-A8DD-E69E9F26AA6A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16 e 18/05/2024</t>
        </r>
      </text>
    </comment>
    <comment ref="B7" authorId="0" shapeId="0" xr:uid="{E472C955-1D90-45ED-B87A-5526CC93F5FF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30 e 31/05/2024</t>
        </r>
      </text>
    </comment>
    <comment ref="B8" authorId="0" shapeId="0" xr:uid="{A63D78EB-BEDB-4294-8788-5C919EA39C10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30/05/24 - Machos
31/05/2024 Fêmeas</t>
        </r>
      </text>
    </comment>
    <comment ref="B13" authorId="0" shapeId="0" xr:uid="{88E0A856-9D73-4E40-9216-72DCC776AD37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11 e 13/06/2024</t>
        </r>
      </text>
    </comment>
    <comment ref="B14" authorId="0" shapeId="0" xr:uid="{E15E2EE8-B783-4415-B1C2-6FC363B364BB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11 e 13/06/2024</t>
        </r>
      </text>
    </comment>
    <comment ref="B18" authorId="0" shapeId="0" xr:uid="{85DB5ABC-B090-4E81-8941-62232CEADC57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28 e 29/06/2024</t>
        </r>
      </text>
    </comment>
    <comment ref="B19" authorId="0" shapeId="0" xr:uid="{2186DA54-29C3-4DBC-9E1F-41B5316A7D2D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28 e 29/06/2024</t>
        </r>
      </text>
    </comment>
    <comment ref="B20" authorId="0" shapeId="0" xr:uid="{DC0F577A-1547-430E-B941-025BBFFCF348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25 e 26/06/2024</t>
        </r>
      </text>
    </comment>
    <comment ref="B21" authorId="0" shapeId="0" xr:uid="{A537A798-87C5-4DFD-9B68-9AC74A095B97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05 E 06/07/2024</t>
        </r>
      </text>
    </comment>
    <comment ref="B22" authorId="0" shapeId="0" xr:uid="{7B4F65A8-9FDD-4B2B-8C0E-567EB6926F56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05 E 06/07/2024</t>
        </r>
      </text>
    </comment>
    <comment ref="B23" authorId="0" shapeId="0" xr:uid="{735E7842-96A8-4445-BE61-21F64FC0ADD2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12 e 13/07/2024</t>
        </r>
      </text>
    </comment>
    <comment ref="B24" authorId="0" shapeId="0" xr:uid="{9D758EC0-E8BE-458F-8212-B5196628938F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25 e 27/07/2024</t>
        </r>
      </text>
    </comment>
    <comment ref="B27" authorId="0" shapeId="0" xr:uid="{52FEBA94-AB2B-4BF0-8E5A-D46ED0A4A729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03 E 06/08/2024</t>
        </r>
      </text>
    </comment>
    <comment ref="L28" authorId="1" shapeId="0" xr:uid="{FA9015A0-3DF2-4296-9035-251E176A640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ROSS AP95 - Morreu todos os galos (Sinistro) Enviado galos novos do Esperança 3</t>
        </r>
      </text>
    </comment>
    <comment ref="Q28" authorId="1" shapeId="0" xr:uid="{03B40B23-F71B-41A7-B66D-4E9BBC06B9A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Adubo:
1 Av Claudemir
1 Av Dirceu
1 Av Pluma</t>
        </r>
      </text>
    </comment>
    <comment ref="B29" authorId="0" shapeId="0" xr:uid="{EC9A0B1A-551C-42FF-9109-D8C13E207E4C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20 e 21/08/2024</t>
        </r>
      </text>
    </comment>
    <comment ref="B30" authorId="0" shapeId="0" xr:uid="{C40452F1-A9C3-4A76-8705-A53071A083D2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20 e 21/08/2024</t>
        </r>
      </text>
    </comment>
    <comment ref="B31" authorId="0" shapeId="0" xr:uid="{D0A9AF69-C34E-4884-84E5-F7282A1897A8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21 e 23/08/2024</t>
        </r>
      </text>
    </comment>
    <comment ref="B33" authorId="0" shapeId="0" xr:uid="{F7F1BB86-71A6-49D8-9DD3-FAD24C6218BC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28 e 29/08/2024</t>
        </r>
      </text>
    </comment>
    <comment ref="Q36" authorId="0" shapeId="0" xr:uid="{EDF9DCB7-34E5-4EC3-88BD-BFDD04DBA60A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Não alterar granja de Origem ( PICOLLI)</t>
        </r>
      </text>
    </comment>
    <comment ref="B37" authorId="0" shapeId="0" xr:uid="{FCE54406-DB74-4986-BC81-47FDDED86BB9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04 e 06/09/2024</t>
        </r>
      </text>
    </comment>
    <comment ref="B38" authorId="0" shapeId="0" xr:uid="{75039FA0-0E1C-4694-97B1-94D91E221598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10 e 11/09/2024</t>
        </r>
      </text>
    </comment>
    <comment ref="B39" authorId="0" shapeId="0" xr:uid="{4BC1F5AC-6DAC-4E69-8AFB-7BBE0BC69770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19 e 20/09/2024</t>
        </r>
      </text>
    </comment>
    <comment ref="B40" authorId="0" shapeId="0" xr:uid="{2DFDF927-1200-4F6F-A05B-DF70F2A7EE04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20 e 21/09/2024</t>
        </r>
      </text>
    </comment>
    <comment ref="B44" authorId="0" shapeId="0" xr:uid="{41A1AA22-1923-4406-B492-274C9101A2D9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02 e 03/10/2024</t>
        </r>
      </text>
    </comment>
    <comment ref="B50" authorId="0" shapeId="0" xr:uid="{818567F8-AB4B-42F2-8A8F-9C8D2886D6CE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05, 06 e 09/11/2024</t>
        </r>
      </text>
    </comment>
    <comment ref="B51" authorId="0" shapeId="0" xr:uid="{A7DD84D8-5E6A-4064-B7F9-6E22BA117938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05, 06 e 09/11/2024</t>
        </r>
      </text>
    </comment>
    <comment ref="B52" authorId="0" shapeId="0" xr:uid="{A6D7718D-36E4-48B1-B62C-4A26CB4D95F0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12 e 13/11/2024</t>
        </r>
      </text>
    </comment>
    <comment ref="B53" authorId="0" shapeId="0" xr:uid="{D41F3B5D-B3BB-4ECC-8D8D-7B6C92C746A9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12 e 13/11/2024</t>
        </r>
      </text>
    </comment>
    <comment ref="Q54" authorId="1" shapeId="0" xr:uid="{5BB3B985-CEA7-4CC1-8CA3-EE3EDC8EB11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Não trocar, Vacina recria CVale</t>
        </r>
      </text>
    </comment>
    <comment ref="B55" authorId="0" shapeId="0" xr:uid="{F56E433B-0E89-490B-A0F6-21707BBDB5C9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20 e 21/11/2024</t>
        </r>
      </text>
    </comment>
    <comment ref="Q55" authorId="1" shapeId="0" xr:uid="{2960ECC8-8740-420C-95AA-C7745E81DB8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Não trocar, Vacina recria CVale</t>
        </r>
      </text>
    </comment>
    <comment ref="B57" authorId="0" shapeId="0" xr:uid="{37C4C260-1766-4A63-9BFA-DDCED6CE2CB0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29 e 30/11/2024</t>
        </r>
      </text>
    </comment>
    <comment ref="B58" authorId="0" shapeId="0" xr:uid="{8EF25DBF-2A93-46CA-9E33-9510D05AFFE6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28, 29 e 30/11/2024</t>
        </r>
      </text>
    </comment>
    <comment ref="Q59" authorId="1" shapeId="0" xr:uid="{C6499198-B306-4D9B-8637-17FFDC66E6A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Não trocar, Vacina recria </t>
        </r>
      </text>
    </comment>
    <comment ref="Q60" authorId="1" shapeId="0" xr:uid="{8E23D1D2-32CC-4AA7-90E2-A6E4F4D4576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Não trocar, Vacina recria </t>
        </r>
      </text>
    </comment>
    <comment ref="B61" authorId="1" shapeId="0" xr:uid="{01D523B9-14FB-4999-8584-568E357668B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05 e 07/12/2024</t>
        </r>
      </text>
    </comment>
    <comment ref="B62" authorId="0" shapeId="0" xr:uid="{71ADF80D-7DE8-4837-AB52-183A9A60D3BC}">
      <text>
        <r>
          <rPr>
            <b/>
            <sz val="9"/>
            <color indexed="81"/>
            <rFont val="Segoe UI"/>
            <family val="2"/>
          </rPr>
          <t>Volnei - PCP:
Postergar Lote uma semana alterado do dia 06/12 para 12 e 14/12
Adicionar Vacina Talles Passou</t>
        </r>
      </text>
    </comment>
    <comment ref="B63" authorId="1" shapeId="0" xr:uid="{13042FF6-97A7-4182-9BE4-77C6DA40459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17, 18, 20 e 21/12/2024</t>
        </r>
      </text>
    </comment>
    <comment ref="B66" authorId="1" shapeId="0" xr:uid="{77FB8629-97A9-4A42-B396-0C28182ED1A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21 e 24/12/2024</t>
        </r>
      </text>
    </comment>
    <comment ref="B67" authorId="1" shapeId="0" xr:uid="{53D82671-F20C-4C7F-9BD6-A58C5C40E41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21 e 24/12/2024</t>
        </r>
      </text>
    </comment>
    <comment ref="B71" authorId="1" shapeId="0" xr:uid="{DAE74790-0E5E-4C3E-A75F-3A30DE51DA1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09, 10 e 11/01/2025</t>
        </r>
      </text>
    </comment>
    <comment ref="B72" authorId="1" shapeId="0" xr:uid="{9ADF0818-A54A-4C47-A339-5C2F577F073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10 e 11/01/2025</t>
        </r>
      </text>
    </comment>
    <comment ref="B73" authorId="1" shapeId="0" xr:uid="{A8403CED-FA11-4498-9002-FD9DA226080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10 e 11/01/2025</t>
        </r>
      </text>
    </comment>
    <comment ref="B76" authorId="1" shapeId="0" xr:uid="{D8BCFB53-9B67-4677-80AE-7237B593078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31/01 e 01/02/2025</t>
        </r>
      </text>
    </comment>
    <comment ref="B78" authorId="1" shapeId="0" xr:uid="{5277CF75-1E59-44B2-9DCF-6C9C4FCDC139}">
      <text>
        <r>
          <rPr>
            <b/>
            <sz val="9"/>
            <color indexed="81"/>
            <rFont val="Segoe UI"/>
            <family val="2"/>
          </rPr>
          <t>PCP-Volnei-Pereira:
05/02 e 07/02/2025</t>
        </r>
      </text>
    </comment>
    <comment ref="B79" authorId="1" shapeId="0" xr:uid="{78A41D8E-CC58-4259-B7CB-0145B2E5686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14/02/ e 15/02/2025</t>
        </r>
      </text>
    </comment>
    <comment ref="B80" authorId="1" shapeId="0" xr:uid="{AA58C9E5-A6E0-4D4C-AF89-054825C1836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14/02/ e 15/02/2025</t>
        </r>
      </text>
    </comment>
    <comment ref="B82" authorId="1" shapeId="0" xr:uid="{E453D641-FAD3-4969-8A6D-28913405FA07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21 e 22/02/2025</t>
        </r>
      </text>
    </comment>
    <comment ref="B83" authorId="1" shapeId="0" xr:uid="{07AFDA84-8C38-422C-8D7F-4F6984753DB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26 e 27/02/2025</t>
        </r>
      </text>
    </comment>
    <comment ref="B85" authorId="1" shapeId="0" xr:uid="{2682747E-832F-46A5-99D7-4763D160736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05/03/2025</t>
        </r>
      </text>
    </comment>
    <comment ref="B88" authorId="1" shapeId="0" xr:uid="{F0C6995A-84F1-4156-892D-37118ADACB9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14 e 15/03/2025</t>
        </r>
      </text>
    </comment>
    <comment ref="B91" authorId="1" shapeId="0" xr:uid="{01F5A03F-D003-42B9-A5DF-0B7A060C2C9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92" authorId="1" shapeId="0" xr:uid="{75FFED71-6792-434D-9E34-91A917CC8E2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93" authorId="1" shapeId="0" xr:uid="{88745057-7149-4C78-B294-08D45D4505E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94" authorId="1" shapeId="0" xr:uid="{C3A67235-E56F-4514-B297-D440F7E3C91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95" authorId="1" shapeId="0" xr:uid="{56BEE827-169C-4CCD-AA7E-8C77C7004E4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96" authorId="1" shapeId="0" xr:uid="{DCB665CC-7707-4D5D-AB52-ADE40B11185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97" authorId="1" shapeId="0" xr:uid="{80FE70A2-D722-407A-82BF-8946B116286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03,04 e 05/04/2025</t>
        </r>
      </text>
    </comment>
    <comment ref="B101" authorId="1" shapeId="0" xr:uid="{C7D0F197-FA64-4346-B4F3-E665D3E04B87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09 e 10/04/2025</t>
        </r>
      </text>
    </comment>
    <comment ref="B107" authorId="1" shapeId="0" xr:uid="{AC73A693-18C7-4922-9C43-B3149154EF2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02 e 03/05/2025</t>
        </r>
      </text>
    </comment>
    <comment ref="B108" authorId="1" shapeId="0" xr:uid="{D41B7A34-FDA5-4C62-A73C-5794CAC656E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02 e 03/05/2025</t>
        </r>
      </text>
    </comment>
    <comment ref="H110" authorId="1" shapeId="0" xr:uid="{90E71557-010E-4D21-B207-A5594C8D0740}">
      <text>
        <r>
          <rPr>
            <b/>
            <sz val="9"/>
            <color indexed="81"/>
            <rFont val="Segoe UI"/>
            <family val="2"/>
          </rPr>
          <t xml:space="preserve">PCP-Volnei-Pereira:
Importado 50% das fêmeas </t>
        </r>
      </text>
    </comment>
    <comment ref="B113" authorId="1" shapeId="0" xr:uid="{B70B3785-4CDF-439C-81FC-24776D7793F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27 e 29/05/2025</t>
        </r>
      </text>
    </comment>
    <comment ref="H113" authorId="1" shapeId="0" xr:uid="{49DB8D4A-B7F6-464A-A175-8D6102A462D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LOTE IMPORTADO</t>
        </r>
      </text>
    </comment>
    <comment ref="B114" authorId="1" shapeId="0" xr:uid="{C1526A7B-533E-44DF-A8F0-789506805A3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27 e 29/05/2025</t>
        </r>
      </text>
    </comment>
    <comment ref="H114" authorId="1" shapeId="0" xr:uid="{19D51576-C1FC-465F-88BE-3E7B51F832B7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LOTE IMPORTADO</t>
        </r>
      </text>
    </comment>
    <comment ref="B115" authorId="1" shapeId="0" xr:uid="{5E87D286-A682-4B35-AF11-BB9B3A5BA15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30/05/2025</t>
        </r>
      </text>
    </comment>
    <comment ref="B116" authorId="1" shapeId="0" xr:uid="{BA208CCE-F371-4735-83D2-2C99D5730C8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30/05/2025</t>
        </r>
      </text>
    </comment>
    <comment ref="B120" authorId="1" shapeId="0" xr:uid="{E54ABABC-A479-4E7F-8BE8-EEC68475237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06 e 07/06/2025</t>
        </r>
      </text>
    </comment>
    <comment ref="B123" authorId="1" shapeId="0" xr:uid="{A5E51599-A7E5-45AE-B571-194F132A9DB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10, 12 e 14/06/2025</t>
        </r>
      </text>
    </comment>
    <comment ref="B124" authorId="1" shapeId="0" xr:uid="{018B8084-882B-40F6-B1A3-8563E750DD1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20 e 21/06/2025</t>
        </r>
      </text>
    </comment>
    <comment ref="B128" authorId="1" shapeId="0" xr:uid="{84946941-B133-4571-B369-FAE476EA4AF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19 , 20 e 21/06/2025</t>
        </r>
      </text>
    </comment>
    <comment ref="B129" authorId="1" shapeId="0" xr:uid="{86719CBB-FCAD-4CF5-9C35-EAC25F31EEE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02/07/25</t>
        </r>
      </text>
    </comment>
    <comment ref="B130" authorId="1" shapeId="0" xr:uid="{4BDBB3FA-EB8D-416B-8AA2-DADAA6F5981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02/07/25</t>
        </r>
      </text>
    </comment>
    <comment ref="B131" authorId="1" shapeId="0" xr:uid="{13C2B391-30A8-4A90-9368-7BE3094B203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02/07/25</t>
        </r>
      </text>
    </comment>
    <comment ref="B132" authorId="1" shapeId="0" xr:uid="{DD458875-6784-4EC3-B0CF-41875E10AE9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02/07/25</t>
        </r>
      </text>
    </comment>
    <comment ref="B133" authorId="1" shapeId="0" xr:uid="{EE401936-6E2A-4321-939D-10BA2BA8C31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02/07/25</t>
        </r>
      </text>
    </comment>
    <comment ref="B134" authorId="1" shapeId="0" xr:uid="{F92EB19F-F33D-4EC6-B455-B4A60D4E3E5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01 e 02/07/2025</t>
        </r>
      </text>
    </comment>
    <comment ref="B135" authorId="1" shapeId="0" xr:uid="{BA5F2ED3-CACF-4B00-A003-5DA5A858507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02 e 03/07/2025</t>
        </r>
      </text>
    </comment>
    <comment ref="B136" authorId="1" shapeId="0" xr:uid="{EFC2130B-419A-4CCE-B9BA-C1FB62BFDF2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08 e 09/07/2025</t>
        </r>
      </text>
    </comment>
    <comment ref="B137" authorId="1" shapeId="0" xr:uid="{F43A9E2B-782F-41CE-AEB4-D5B2F62BE0D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08 e 09/07/2025</t>
        </r>
      </text>
    </comment>
    <comment ref="B139" authorId="1" shapeId="0" xr:uid="{5A32573D-F6DD-4A32-87C1-2D46376218B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25 e  26/07/2025</t>
        </r>
      </text>
    </comment>
    <comment ref="I139" authorId="1" shapeId="0" xr:uid="{11CC6A70-256C-4A93-BEB8-46E923428DF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Fêmea Nova </t>
        </r>
      </text>
    </comment>
    <comment ref="B140" authorId="1" shapeId="0" xr:uid="{1EE3EBEC-4166-4E0B-B0BF-E3F97139A6E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24 e 31/07/2025</t>
        </r>
      </text>
    </comment>
    <comment ref="B141" authorId="1" shapeId="0" xr:uid="{605BA594-0EDE-41D7-B6A5-2653CD99B86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31, 01 e 02/08/2025</t>
        </r>
      </text>
    </comment>
    <comment ref="B143" authorId="1" shapeId="0" xr:uid="{9DF96682-BFBB-41B3-A252-4451290719E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16, 19 e 20/08/2025</t>
        </r>
      </text>
    </comment>
    <comment ref="B144" authorId="1" shapeId="0" xr:uid="{0AF26118-A549-427E-A721-310C727F0C1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16, 19 e 20/08/2025</t>
        </r>
      </text>
    </comment>
    <comment ref="B146" authorId="1" shapeId="0" xr:uid="{A78C1CE5-56D6-431D-A371-4450B69CA8C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14 e 15/08/2025</t>
        </r>
      </text>
    </comment>
    <comment ref="B147" authorId="1" shapeId="0" xr:uid="{FB08AA60-0BBE-463B-955F-86CED308755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22 e 23/08/2025</t>
        </r>
      </text>
    </comment>
    <comment ref="B148" authorId="1" shapeId="0" xr:uid="{35403690-22B8-411F-B9CD-9457EFFA142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22 e 23/08/2025</t>
        </r>
      </text>
    </comment>
    <comment ref="B149" authorId="1" shapeId="0" xr:uid="{47D94E2D-3C80-4875-B535-3B129F57FC3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26, 27 E 28/08/2025</t>
        </r>
      </text>
    </comment>
    <comment ref="B150" authorId="1" shapeId="0" xr:uid="{2334EEAC-29DE-4ABB-B16F-512C3E1C3A7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26, 27 E 28/08/2025</t>
        </r>
      </text>
    </comment>
    <comment ref="B151" authorId="1" shapeId="0" xr:uid="{AEB73EFF-F451-4611-AEB4-A0DBCD72F9F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30/08/2025</t>
        </r>
      </text>
    </comment>
    <comment ref="B152" authorId="1" shapeId="0" xr:uid="{105DEBF8-B741-4E1B-95F2-A04A4A43D33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04, 05 e 06/09/2025</t>
        </r>
      </text>
    </comment>
    <comment ref="B153" authorId="1" shapeId="0" xr:uid="{584E1642-3697-4DCD-A54B-A83163E8B54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05 e 06/09/2025</t>
        </r>
      </text>
    </comment>
    <comment ref="B156" authorId="1" shapeId="0" xr:uid="{8F84341D-8067-4D9D-89BD-505DADB5038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24e 26/09/2025</t>
        </r>
      </text>
    </comment>
    <comment ref="B157" authorId="1" shapeId="0" xr:uid="{971A7E2C-9AD0-427A-A982-5E5070992F67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24e 26/09/2025</t>
        </r>
      </text>
    </comment>
    <comment ref="B158" authorId="1" shapeId="0" xr:uid="{33E52863-2418-4A15-B096-D4E02068FB2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26, 27 e 30/09/2025</t>
        </r>
      </text>
    </comment>
    <comment ref="B159" authorId="1" shapeId="0" xr:uid="{A59CD3B3-4172-40B8-947B-57DEA6D14B9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26, 27 e 30/09/2025</t>
        </r>
      </text>
    </comment>
    <comment ref="B160" authorId="1" shapeId="0" xr:uid="{46F4BC0F-5762-46AC-9F51-A8753D9F8BB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01/10/2025</t>
        </r>
      </text>
    </comment>
    <comment ref="B162" authorId="1" shapeId="0" xr:uid="{F2442AAF-2991-47A9-A53E-4EB2E6BCBEB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04, 07 e 08/10/2025</t>
        </r>
      </text>
    </comment>
    <comment ref="B164" authorId="1" shapeId="0" xr:uid="{C5507894-EF37-4530-8377-995CFA31BAF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10, 11 e 14/10/2025</t>
        </r>
      </text>
    </comment>
    <comment ref="B165" authorId="1" shapeId="0" xr:uid="{3603171E-DCA8-460F-AB62-991AC86958E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10, 11 e 14/10/2025</t>
        </r>
      </text>
    </comment>
    <comment ref="B166" authorId="1" shapeId="0" xr:uid="{CDCD6C59-06AA-42BC-8076-C079B6844DE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18 e 21/10/2025</t>
        </r>
      </text>
    </comment>
    <comment ref="B167" authorId="1" shapeId="0" xr:uid="{332FE715-08B1-46B3-A356-54A0A5771D8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18 e 21/10/2025</t>
        </r>
      </text>
    </comment>
    <comment ref="B168" authorId="1" shapeId="0" xr:uid="{7244916D-0D45-4D7F-83ED-B9670500432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23 , 24 e 25/10/2025</t>
        </r>
      </text>
    </comment>
    <comment ref="B169" authorId="1" shapeId="0" xr:uid="{1F8FA52A-FC79-4A70-913F-88BC641A427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23 , 24 e 25/10/2025</t>
        </r>
      </text>
    </comment>
    <comment ref="B170" authorId="1" shapeId="0" xr:uid="{2260F8B3-098E-439F-9F37-FDC1C0E81C3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23 , 24 e 25/10/2025</t>
        </r>
      </text>
    </comment>
    <comment ref="B171" authorId="1" shapeId="0" xr:uid="{CE04DB33-E110-4ECD-B232-FD5FBCD59E1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23 , 24 e 25/10/2025</t>
        </r>
      </text>
    </comment>
    <comment ref="B172" authorId="1" shapeId="0" xr:uid="{39BF9ED5-AA8E-47D7-BA8F-A8C5EFF4DC2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05/11/2025</t>
        </r>
      </text>
    </comment>
    <comment ref="B173" authorId="1" shapeId="0" xr:uid="{40952767-4A31-4E63-BD91-D3E6D83DBF1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05/11/2025</t>
        </r>
      </text>
    </comment>
    <comment ref="B174" authorId="1" shapeId="0" xr:uid="{8739008F-2FB3-49B3-AF4D-E9675C5B8CC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07/11/2025
</t>
        </r>
      </text>
    </comment>
    <comment ref="B177" authorId="1" shapeId="0" xr:uid="{76AEAF6A-E3A4-4ACC-9C22-CC4EB12434E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27 e 28/11/2025</t>
        </r>
      </text>
    </comment>
    <comment ref="B178" authorId="1" shapeId="0" xr:uid="{A1209A17-E034-43E6-A839-5A4F8C8875EC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05 e 06/12/2025</t>
        </r>
      </text>
    </comment>
    <comment ref="B179" authorId="1" shapeId="0" xr:uid="{E8CB2A1A-F59D-447E-8D98-AB6FB759F25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05 e 06/12/2025</t>
        </r>
      </text>
    </comment>
    <comment ref="B180" authorId="1" shapeId="0" xr:uid="{91302DFD-C6BB-427C-9218-058459822A5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 e 29/11/2025</t>
        </r>
      </text>
    </comment>
    <comment ref="B181" authorId="1" shapeId="0" xr:uid="{9A2B8BAB-9E0D-4823-9944-CDA511D9C83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06/12/2025</t>
        </r>
      </text>
    </comment>
    <comment ref="B182" authorId="1" shapeId="0" xr:uid="{CF2FC6ED-D44A-4D39-A271-4FB93CD6DDD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06/12/2025</t>
        </r>
      </text>
    </comment>
    <comment ref="B183" authorId="1" shapeId="0" xr:uid="{BCF43DBA-E758-42ED-A324-ADA53233EC0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06/12/2025</t>
        </r>
      </text>
    </comment>
    <comment ref="B184" authorId="1" shapeId="0" xr:uid="{3C63C51F-618C-4D3C-AE2F-CC23A6710A6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06/12/2025</t>
        </r>
      </text>
    </comment>
    <comment ref="B187" authorId="1" shapeId="0" xr:uid="{20BC0D95-0BA5-450E-924D-23AECCE0052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11, 12 e 13/12/2025</t>
        </r>
      </text>
    </comment>
    <comment ref="B188" authorId="1" shapeId="0" xr:uid="{82EE6925-5D59-4F1F-B483-E81F5D8EF70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11, 12 e 13/12/2025</t>
        </r>
      </text>
    </comment>
    <comment ref="B193" authorId="1" shapeId="0" xr:uid="{911DA485-F1BE-4B27-8031-444CF5BBE11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08, 09 e 10/01/2026</t>
        </r>
      </text>
    </comment>
    <comment ref="B196" authorId="1" shapeId="0" xr:uid="{A2ACCE77-8A84-437A-93D4-A294CCF3B55A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22, 23 e 24/01/2026</t>
        </r>
      </text>
    </comment>
    <comment ref="B197" authorId="1" shapeId="0" xr:uid="{98E33F1B-69FF-4E1F-AB5D-E92D146A1D7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22, 23 e 24/01/2026</t>
        </r>
      </text>
    </comment>
    <comment ref="B198" authorId="1" shapeId="0" xr:uid="{CA7CA933-1447-4730-BC4F-D6406D2A289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22, 23 e 24/01/2026</t>
        </r>
      </text>
    </comment>
    <comment ref="I199" authorId="1" shapeId="0" xr:uid="{145ADDD9-6212-4D57-953C-5E28C084DE7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Ajustar Pedido, Lote era Plusval 54 mil</t>
        </r>
      </text>
    </comment>
    <comment ref="B201" authorId="1" shapeId="0" xr:uid="{31AF8C27-85B8-4CCC-A3AE-CDE7A845EFE7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24 e 25/02/2026</t>
        </r>
      </text>
    </comment>
    <comment ref="B202" authorId="1" shapeId="0" xr:uid="{7FE4D5EC-E3B5-41C2-B6FA-663056B760F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05/03/2026</t>
        </r>
      </text>
    </comment>
    <comment ref="B203" authorId="1" shapeId="0" xr:uid="{255C09A0-0D85-4D7B-9E45-3B9D22F3397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05/03/2026</t>
        </r>
      </text>
    </comment>
    <comment ref="I221" authorId="1" shapeId="0" xr:uid="{184DA3C4-CA13-40D2-A16A-3B79992DB59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Sobra de 20 mil</t>
        </r>
      </text>
    </comment>
    <comment ref="R244" authorId="1" shapeId="0" xr:uid="{DBD2AD90-4F84-48C0-8342-9D31767980E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8 mil vai para casarin</t>
        </r>
      </text>
    </comment>
    <comment ref="E267" authorId="1" shapeId="0" xr:uid="{8A44AD2C-CD6F-4EA1-94C1-4CCF7388EDD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Pedido de 19/11/2026 -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PCP-Volnei-Pereira</author>
  </authors>
  <commentList>
    <comment ref="B2" authorId="0" shapeId="0" xr:uid="{2F36A186-CABB-40BD-894A-4F7CB8FD7F8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20 e 22/11/2025</t>
        </r>
      </text>
    </comment>
    <comment ref="B3" authorId="0" shapeId="0" xr:uid="{271CBD6C-A7C4-4773-A45A-8AC6C2FEB93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20 e 22/11/2025</t>
        </r>
      </text>
    </comment>
    <comment ref="K4" authorId="0" shapeId="0" xr:uid="{C2DC8302-6DEB-43AC-B1D7-946858CB648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Vazio maior devido ao sinistro.</t>
        </r>
      </text>
    </comment>
    <comment ref="B6" authorId="0" shapeId="0" xr:uid="{1C2448B9-ACE6-45E6-B703-219A7349EB5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16 e 20/05/2026
Fêmeas 16/05
Macho 20/05</t>
        </r>
      </text>
    </comment>
    <comment ref="B7" authorId="0" shapeId="0" xr:uid="{076136B9-1E74-4463-831C-BD4CC3A3B0C4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16 e 20/05/2026
Fêmeas 16/05
Macho 20/05</t>
        </r>
      </text>
    </comment>
    <comment ref="B8" authorId="0" shapeId="0" xr:uid="{B500FAD6-B69E-4080-86E1-C71C28232FA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27 E 28/08/2026</t>
        </r>
      </text>
    </comment>
    <comment ref="B9" authorId="0" shapeId="0" xr:uid="{95807407-A057-4288-82F3-2520FC74310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27 E 28/08/2026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JILMENDES DE LIMA</author>
  </authors>
  <commentList>
    <comment ref="K7" authorId="0" shapeId="0" xr:uid="{15E35008-CA34-4ECF-9E11-2EFDEE636766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4"/>
            <color indexed="81"/>
            <rFont val="Segoe UI"/>
            <family val="2"/>
          </rPr>
          <t>OBS: AJUSTAR A PROPOSTA PARA 12 % MACHOS</t>
        </r>
      </text>
    </comment>
    <comment ref="K12" authorId="0" shapeId="0" xr:uid="{E217CD12-E724-49D9-BA2F-A32EB3650AC5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SOLICITAÇÃO Evandro cobb com 14%</t>
        </r>
      </text>
    </comment>
    <comment ref="R16" authorId="0" shapeId="0" xr:uid="{B570E882-3116-436A-99FC-BFE8A530C175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ACERTADO NÉRI ALOJAMENTO 48.000 NA DATA 26/07/2024</t>
        </r>
      </text>
    </comment>
    <comment ref="U18" authorId="0" shapeId="0" xr:uid="{85D9C1E3-5074-48E0-B4FC-E983A157D18C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LOTE COM DESAFIOS</t>
        </r>
      </text>
    </comment>
    <comment ref="U20" authorId="0" shapeId="0" xr:uid="{B316423F-EEB9-490F-AF97-39F75FE13667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4"/>
            <color indexed="81"/>
            <rFont val="Segoe UI"/>
            <family val="2"/>
          </rPr>
          <t>LOTE ANTECIPADO - FERTILIDADE BAIXA</t>
        </r>
      </text>
    </comment>
    <comment ref="C23" authorId="0" shapeId="0" xr:uid="{BA896685-8097-493A-8E33-DBDB5C882F1B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OBS: LOTE PREVISTO PARA 21/01/2025</t>
        </r>
      </text>
    </comment>
    <comment ref="C24" authorId="0" shapeId="0" xr:uid="{9DF0C30D-BEB8-414B-B717-9AB80132090D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OBS: LOTE PREVISTO PARA 22/01/2025</t>
        </r>
      </text>
    </comment>
    <comment ref="C44" authorId="0" shapeId="0" xr:uid="{82DF1558-A6C0-46F2-9FAD-989A3536E9F5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ENTREGA NA DATA 12/08 - ROSS - SENDO ALTERADO COBB</t>
        </r>
      </text>
    </comment>
    <comment ref="M50" authorId="0" shapeId="0" xr:uid="{61077F84-A32E-4BD8-96C4-E9EDE3BB6D11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20"/>
            <color indexed="81"/>
            <rFont val="Segoe UI"/>
            <family val="2"/>
          </rPr>
          <t xml:space="preserve">
LOTE IMPORTAÇÃO</t>
        </r>
      </text>
    </comment>
    <comment ref="C51" authorId="0" shapeId="0" xr:uid="{D26B8981-A175-4653-8C08-A4DC5828D40F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 14/10/2025
</t>
        </r>
      </text>
    </comment>
    <comment ref="C52" authorId="0" shapeId="0" xr:uid="{A74E4526-863A-497C-BD56-60D58117D2CB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24"/>
            <color indexed="81"/>
            <rFont val="Segoe UI"/>
            <family val="2"/>
          </rPr>
          <t>LOTE ANTECIPADO DO DIA 28/10/2025 - EM ACORDO COM O NERI / ELONEY</t>
        </r>
      </text>
    </comment>
    <comment ref="C53" authorId="0" shapeId="0" xr:uid="{54F20D9E-DFC9-405F-8A51-5D1168A16B36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28/10/2025
</t>
        </r>
      </text>
    </comment>
    <comment ref="C54" authorId="0" shapeId="0" xr:uid="{449975A0-0A26-4C93-B5FF-346D35954F93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30/10/2025
</t>
        </r>
      </text>
    </comment>
    <comment ref="C58" authorId="0" shapeId="0" xr:uid="{93B2921D-DE0D-44C7-8AC5-799398612078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22"/>
            <color indexed="81"/>
            <rFont val="Segoe UI"/>
            <family val="2"/>
          </rPr>
          <t>LOTE ESTAVA PROG. 17/12 E 24/12/2025.
ANTECIPADO - P/ ABSOVER MATRIZES COM DESTINO PR.</t>
        </r>
      </text>
    </comment>
    <comment ref="C63" authorId="0" shapeId="0" xr:uid="{FCA39791-9760-4CF8-AD82-74E1EB8B2688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20"/>
            <color indexed="81"/>
            <rFont val="Segoe UI"/>
            <family val="2"/>
          </rPr>
          <t>OBS: LOTE SENDO ALTERADO, P/ COBB, FALTA DE MATRIZES ROSS.</t>
        </r>
      </text>
    </comment>
    <comment ref="C74" authorId="0" shapeId="0" xr:uid="{F1BCDAC4-424C-46C6-9229-7FC6FBB746B9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ALOJAMENTOS NAS DATAS 19/05 E 22/05/2026</t>
        </r>
      </text>
    </comment>
    <comment ref="M88" authorId="0" shapeId="0" xr:uid="{01AD8F22-3C2D-44DE-8F52-446A11A0A1B4}">
      <text>
        <r>
          <rPr>
            <b/>
            <sz val="9"/>
            <color indexed="81"/>
            <rFont val="Segoe UI"/>
            <family val="2"/>
          </rPr>
          <t>JILMENDES DE LIMA:</t>
        </r>
        <r>
          <rPr>
            <sz val="9"/>
            <color indexed="81"/>
            <rFont val="Segoe UI"/>
            <family val="2"/>
          </rPr>
          <t xml:space="preserve">
EXPORTAÇÃO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PCP-Volnei-Pereira</author>
  </authors>
  <commentList>
    <comment ref="B2" authorId="0" shapeId="0" xr:uid="{FA690F2C-6A29-4F3E-8A12-A0756C7C374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13 e 14/06/2025</t>
        </r>
      </text>
    </comment>
    <comment ref="B4" authorId="0" shapeId="0" xr:uid="{C237510E-3B49-42A1-927B-87E55B40F6B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08 E 09/08/2025</t>
        </r>
      </text>
    </comment>
    <comment ref="B5" authorId="0" shapeId="0" xr:uid="{D10CD9E8-F670-447D-A383-9A2F3FFA650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01 e 02//10/2025</t>
        </r>
      </text>
    </comment>
    <comment ref="B9" authorId="0" shapeId="0" xr:uid="{E7F3C92D-DF75-40A9-8A43-5D7963AC62A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04, 07 e 08/02/2026</t>
        </r>
      </text>
    </comment>
    <comment ref="B10" authorId="0" shapeId="0" xr:uid="{7D804145-B55A-456B-97A3-E9635D31DB3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16 e 17/04/2026</t>
        </r>
      </text>
    </comment>
    <comment ref="K10" authorId="0" shapeId="0" xr:uid="{EDF5713C-EFFA-477F-9BED-2C3170F2A389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Atraso COBB + 20 DIAS</t>
        </r>
      </text>
    </comment>
    <comment ref="B11" authorId="0" shapeId="0" xr:uid="{E14E878C-71B3-46A2-BEC5-A74A644DA94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03 e 04/06/2026</t>
        </r>
      </text>
    </comment>
    <comment ref="B12" authorId="0" shapeId="0" xr:uid="{A87F4E46-3CA9-493C-A035-D23E2CA33D02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10 e 11/07/2026</t>
        </r>
      </text>
    </comment>
    <comment ref="B13" authorId="0" shapeId="0" xr:uid="{94740FA3-3B61-4FF5-BFD3-DC6FFEA171F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04 e 05/09/2026</t>
        </r>
      </text>
    </comment>
    <comment ref="B14" authorId="0" shapeId="0" xr:uid="{6ECC8853-B78E-40D4-923F-26516579734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27 e 28/10/2026
Atraso COBB + 20 DIAS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Volnei - PCP</author>
    <author>PCP-Volnei-Pereira</author>
    <author>tc={4CDC8155-67CB-4EB1-98E2-7C13959102F1}</author>
  </authors>
  <commentList>
    <comment ref="B2" authorId="0" shapeId="0" xr:uid="{5D18A430-2770-4B20-A39D-69CB49985321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10 e 11/04/2024</t>
        </r>
      </text>
    </comment>
    <comment ref="B3" authorId="0" shapeId="0" xr:uid="{4126F1F7-AAF8-4EB5-9059-FB325B3343F8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14, 15 e 16/05/2024</t>
        </r>
      </text>
    </comment>
    <comment ref="B5" authorId="0" shapeId="0" xr:uid="{9E12FD90-6586-43F8-ABAD-18202D7DD799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16 e 18/05/2024</t>
        </r>
      </text>
    </comment>
    <comment ref="B6" authorId="0" shapeId="0" xr:uid="{248F6ECC-DF2F-4F46-AA4D-D7090FE30A31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16 e 18/05/2024</t>
        </r>
      </text>
    </comment>
    <comment ref="B7" authorId="0" shapeId="0" xr:uid="{97C5ADA2-7A05-4B86-8A36-A4CF97E87A65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30 e 31/05/2024</t>
        </r>
      </text>
    </comment>
    <comment ref="B8" authorId="0" shapeId="0" xr:uid="{968996C5-EC87-4AF4-949D-13AF0EFF45F0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30/05/24 - Machos
31/05/2024 Fêmeas</t>
        </r>
      </text>
    </comment>
    <comment ref="B13" authorId="0" shapeId="0" xr:uid="{8D9E1502-69AF-487A-9F5B-93EB11F576FC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11 e 13/06/2024</t>
        </r>
      </text>
    </comment>
    <comment ref="B14" authorId="0" shapeId="0" xr:uid="{193C9C06-0CEB-474C-802F-18076ECC6926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11 e 13/06/2024</t>
        </r>
      </text>
    </comment>
    <comment ref="B18" authorId="0" shapeId="0" xr:uid="{2307E3B5-CDE2-40A3-80B3-571E15EE9DD2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28 e 29/06/2024</t>
        </r>
      </text>
    </comment>
    <comment ref="B19" authorId="0" shapeId="0" xr:uid="{587B90F7-6DEC-48E9-A2D6-7FCB48A70D23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28 e 29/06/2024</t>
        </r>
      </text>
    </comment>
    <comment ref="B20" authorId="0" shapeId="0" xr:uid="{59E67B96-8C10-46A1-95FF-A03D9E4E2CE7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25 e 26/06/2024</t>
        </r>
      </text>
    </comment>
    <comment ref="B21" authorId="0" shapeId="0" xr:uid="{A576D984-7113-4162-974F-1FA2F24B1AFB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05 E 06/07/2024</t>
        </r>
      </text>
    </comment>
    <comment ref="B22" authorId="0" shapeId="0" xr:uid="{2F50F920-18B1-438D-A054-0CDAABF522FB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05 E 06/07/2024</t>
        </r>
      </text>
    </comment>
    <comment ref="B23" authorId="0" shapeId="0" xr:uid="{3566140E-FFD6-4F41-835D-05E591A5E0F5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12 e 13/07/2024</t>
        </r>
      </text>
    </comment>
    <comment ref="B24" authorId="0" shapeId="0" xr:uid="{BF5A229A-FE4E-4ABA-B5F9-73E2C9086CE4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25 e 27/07/2024</t>
        </r>
      </text>
    </comment>
    <comment ref="B27" authorId="0" shapeId="0" xr:uid="{08D43237-1523-4EF8-9C9D-2DCD410BF8DB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03 E 06/08/2024</t>
        </r>
      </text>
    </comment>
    <comment ref="M28" authorId="1" shapeId="0" xr:uid="{E249B092-BD40-4BE1-BD47-E296D7DA8B6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ROSS AP95 - Morreu todos os galos (Sinistro) Enviado galos novos do Esperança 3</t>
        </r>
      </text>
    </comment>
    <comment ref="Q28" authorId="1" shapeId="0" xr:uid="{59DF3607-79DE-4DC6-B114-ED2EAF5EFB7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Adubo:
1 Av Claudemir
1 Av Dirceu
1 Av Pluma</t>
        </r>
      </text>
    </comment>
    <comment ref="B29" authorId="0" shapeId="0" xr:uid="{6C9A8AF8-E9EA-403D-BA8F-717D99F50612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20 e 21/08/2024</t>
        </r>
      </text>
    </comment>
    <comment ref="B30" authorId="0" shapeId="0" xr:uid="{96274C97-3739-4AD6-929E-C96DF3441BA5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20 e 21/08/2024</t>
        </r>
      </text>
    </comment>
    <comment ref="B31" authorId="0" shapeId="0" xr:uid="{A003A774-AF31-47ED-A40F-A8683CF7F4CB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21 e 23/08/2024</t>
        </r>
      </text>
    </comment>
    <comment ref="B33" authorId="0" shapeId="0" xr:uid="{A61B74D4-E796-4BE2-A328-D3B7C09E28A2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28 e 29/08/2024</t>
        </r>
      </text>
    </comment>
    <comment ref="Q36" authorId="0" shapeId="0" xr:uid="{981293A1-2FCD-4925-9FDF-93F8AC14FE82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Não alterar granja de Origem ( PICOLLI)</t>
        </r>
      </text>
    </comment>
    <comment ref="B37" authorId="0" shapeId="0" xr:uid="{664EAE34-7A23-41AD-AB38-6D19F8439DFB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04 e 06/09/2024</t>
        </r>
      </text>
    </comment>
    <comment ref="B38" authorId="0" shapeId="0" xr:uid="{D7B519B8-D85D-44CB-A2FC-9AB615CD120D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10 e 11/09/2024</t>
        </r>
      </text>
    </comment>
    <comment ref="B45" authorId="0" shapeId="0" xr:uid="{1ED2C6F8-343A-49EE-8444-6324B8844F2E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15 e 17/05/2024</t>
        </r>
      </text>
    </comment>
    <comment ref="B49" authorId="0" shapeId="0" xr:uid="{39157FAD-4F34-4CCD-9257-74A5F2C22345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21 e 22/03/2024</t>
        </r>
      </text>
    </comment>
    <comment ref="B53" authorId="2" shapeId="0" xr:uid="{4CDC8155-67CB-4EB1-98E2-7C13959102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 e 18/05/2024</t>
      </text>
    </comment>
    <comment ref="B55" authorId="0" shapeId="0" xr:uid="{16287C20-4E10-44E8-8E08-2EA29AD79B08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05 E 06/07/2024</t>
        </r>
      </text>
    </comment>
    <comment ref="B56" authorId="0" shapeId="0" xr:uid="{29C81B9F-448E-4D8E-A126-4A5DF0BB114B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05 E 06/07/2024</t>
        </r>
      </text>
    </comment>
    <comment ref="B58" authorId="0" shapeId="0" xr:uid="{EBA9FF54-7322-4648-BCB8-67317CF75F23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03 e 04/09/2024</t>
        </r>
      </text>
    </comment>
    <comment ref="B59" authorId="0" shapeId="0" xr:uid="{7AF43CF6-13AE-431B-A8CE-48106E4C7DF0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03 e 04/09/2024</t>
        </r>
      </text>
    </comment>
    <comment ref="B62" authorId="0" shapeId="0" xr:uid="{2AB458CC-AB21-46A6-A0D8-AF66C5E67EEB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19 e 20/09/2024</t>
        </r>
      </text>
    </comment>
    <comment ref="B63" authorId="0" shapeId="0" xr:uid="{06AC5EFC-89E9-4DE0-A48F-7CAEDCB9B9ED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20 e 21/09/2024</t>
        </r>
      </text>
    </comment>
    <comment ref="B67" authorId="0" shapeId="0" xr:uid="{949B7035-3E02-4F95-8798-93DD61CC3AD7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02 e 03/10/2024</t>
        </r>
      </text>
    </comment>
    <comment ref="B73" authorId="0" shapeId="0" xr:uid="{3B447F9A-9E3E-4390-AD39-A1B89F6C6154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05, 06 e 09/11/2024</t>
        </r>
      </text>
    </comment>
    <comment ref="B74" authorId="0" shapeId="0" xr:uid="{DAA75DE1-63BD-41AF-86D8-E850519ED8C6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05, 06 e 09/11/2024</t>
        </r>
      </text>
    </comment>
    <comment ref="B76" authorId="1" shapeId="0" xr:uid="{F0E0BD86-CFFE-438C-A0AC-7D2CB09D2A98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09 e 10/04/2025</t>
        </r>
      </text>
    </comment>
    <comment ref="B78" authorId="0" shapeId="0" xr:uid="{74857F9E-6455-4930-A3E9-5A64291427C1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12 e 13/11/2024</t>
        </r>
      </text>
    </comment>
    <comment ref="B80" authorId="0" shapeId="0" xr:uid="{8471D277-B77E-4BD6-BF05-C8972E1DA62D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20 e 21/11/2024</t>
        </r>
      </text>
    </comment>
    <comment ref="B81" authorId="0" shapeId="0" xr:uid="{82420E16-2D89-4E66-BC80-CC5C2BC88E3A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29 e 30/11/2024</t>
        </r>
      </text>
    </comment>
    <comment ref="B82" authorId="0" shapeId="0" xr:uid="{A4E2E3CB-7F7E-4F24-833E-0EB38C8194DC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28, 29 e 30/11/2024</t>
        </r>
      </text>
    </comment>
    <comment ref="B85" authorId="1" shapeId="0" xr:uid="{570F667E-50B4-453B-A15B-A2EB4859207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05 e 07/12/2024</t>
        </r>
      </text>
    </comment>
    <comment ref="B86" authorId="0" shapeId="0" xr:uid="{BA1DD819-05DF-47AF-9811-489C1FE81EFD}">
      <text>
        <r>
          <rPr>
            <b/>
            <sz val="9"/>
            <color indexed="81"/>
            <rFont val="Segoe UI"/>
            <family val="2"/>
          </rPr>
          <t>Volnei - PCP:
Postergar Lote uma semana alterado do dia 06/12 para 12 e 14/12
Adicionar Vacina Talles Passou</t>
        </r>
      </text>
    </comment>
    <comment ref="B87" authorId="1" shapeId="0" xr:uid="{763CDA40-2432-4688-8D0A-9E7455933A1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17, 18, 20 e 21/12/2024</t>
        </r>
      </text>
    </comment>
    <comment ref="B90" authorId="1" shapeId="0" xr:uid="{5352C2B4-9DF4-4028-86D2-C4A3B1BA067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21 e 24/12/2024</t>
        </r>
      </text>
    </comment>
    <comment ref="B91" authorId="1" shapeId="0" xr:uid="{65344EAF-C8D4-4F2E-87CE-A9DA15EFF451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21 e 24/12/2024</t>
        </r>
      </text>
    </comment>
    <comment ref="B93" authorId="0" shapeId="0" xr:uid="{94CCACB3-0240-46D0-991F-643B92C3BB8A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12 e 13/11/2024</t>
        </r>
      </text>
    </comment>
    <comment ref="B96" authorId="1" shapeId="0" xr:uid="{373ED61D-CB2E-4898-A2BC-69390AB7CE1E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09, 10 e 11/01/2025</t>
        </r>
      </text>
    </comment>
    <comment ref="B97" authorId="1" shapeId="0" xr:uid="{E3C22286-6DAB-4397-AFB5-7F26D7D6E39F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10 e 11/01/2025</t>
        </r>
      </text>
    </comment>
    <comment ref="B99" authorId="0" shapeId="0" xr:uid="{02BAADB9-D19B-46C5-BE39-57B4DA9FD8DB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23 e 24/10/2024</t>
        </r>
      </text>
    </comment>
    <comment ref="B100" authorId="0" shapeId="0" xr:uid="{993EF757-25C6-4B4C-9706-692427AAA1AE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23 e 24/10/2024</t>
        </r>
      </text>
    </comment>
    <comment ref="B103" authorId="0" shapeId="0" xr:uid="{D5685BE3-80F7-4B22-B7B1-86DD8390BEE8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12 e 13/11/2024</t>
        </r>
      </text>
    </comment>
    <comment ref="B106" authorId="1" shapeId="0" xr:uid="{8FD9E37F-E0F0-4759-9F40-AEB474E7DF7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09, 10 e 11/01/2025</t>
        </r>
      </text>
    </comment>
    <comment ref="B107" authorId="1" shapeId="0" xr:uid="{D1EED752-404F-43B3-A57A-1766D8A16E43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10 e 11/01/2025</t>
        </r>
      </text>
    </comment>
    <comment ref="B108" authorId="1" shapeId="0" xr:uid="{1339E77E-FB19-4A76-8295-6FA7F10404F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10 e 11/01/2025</t>
        </r>
      </text>
    </comment>
    <comment ref="B111" authorId="1" shapeId="0" xr:uid="{723C6AA2-9FC6-4057-8C66-0BB215663FA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31/01 e 01/02/2025</t>
        </r>
      </text>
    </comment>
    <comment ref="B113" authorId="1" shapeId="0" xr:uid="{DF812AD6-5328-449D-9F87-2720F90E58AA}">
      <text>
        <r>
          <rPr>
            <b/>
            <sz val="9"/>
            <color indexed="81"/>
            <rFont val="Segoe UI"/>
            <family val="2"/>
          </rPr>
          <t>PCP-Volnei-Pereira:
05/02 e 07/02/2025</t>
        </r>
      </text>
    </comment>
    <comment ref="B114" authorId="1" shapeId="0" xr:uid="{5D17AB56-C57C-46F5-8D1D-D9D42F44DEA6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14/02/ e 15/02/2025</t>
        </r>
      </text>
    </comment>
    <comment ref="B115" authorId="1" shapeId="0" xr:uid="{B03A6CC9-9E20-4630-922D-BDD2D1636C5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14/02/ e 15/02/2025</t>
        </r>
      </text>
    </comment>
    <comment ref="B116" authorId="0" shapeId="0" xr:uid="{4E8657DA-51CF-40F6-B13C-B9FCD1D1BFC5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17 e 18/10/2024</t>
        </r>
      </text>
    </comment>
    <comment ref="B117" authorId="0" shapeId="0" xr:uid="{2047BB0F-9772-47B8-8863-00CFBA956BF8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Solicitado alteração do alojamento do dia 22/11 para 28/11/2024 por Eduardo Herrera</t>
        </r>
      </text>
    </comment>
    <comment ref="B118" authorId="1" shapeId="0" xr:uid="{3464A19F-B285-4694-AE7E-F48F8FE0F38B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24 e 27/12/2024</t>
        </r>
      </text>
    </comment>
    <comment ref="B119" authorId="1" shapeId="0" xr:uid="{F26CA4CF-5BEA-4D16-885D-1FDE23DF1ED5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24 e 27/12/2024</t>
        </r>
      </text>
    </comment>
    <comment ref="B120" authorId="1" shapeId="0" xr:uid="{939E3197-8C36-452C-92BC-CB1E4A6F9EA0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28, 30 e 31/01/2025</t>
        </r>
      </text>
    </comment>
    <comment ref="B121" authorId="0" shapeId="0" xr:uid="{6A5DCDA0-0348-4D2D-8BF8-5F97B18CE0CF}">
      <text>
        <r>
          <rPr>
            <b/>
            <sz val="9"/>
            <color indexed="81"/>
            <rFont val="Segoe UI"/>
            <family val="2"/>
          </rPr>
          <t>Volnei - PCP:</t>
        </r>
        <r>
          <rPr>
            <sz val="9"/>
            <color indexed="81"/>
            <rFont val="Segoe UI"/>
            <family val="2"/>
          </rPr>
          <t xml:space="preserve">
15 E 19/04/2025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PCP-Volnei-Pereira</author>
  </authors>
  <commentList>
    <comment ref="I64" authorId="0" shapeId="0" xr:uid="{93F1BBAA-0811-42E5-83AA-08E14DAD350D}">
      <text>
        <r>
          <rPr>
            <b/>
            <sz val="9"/>
            <color indexed="81"/>
            <rFont val="Segoe UI"/>
            <family val="2"/>
          </rPr>
          <t>PCP-Volnei-Pereira:</t>
        </r>
        <r>
          <rPr>
            <sz val="9"/>
            <color indexed="81"/>
            <rFont val="Segoe UI"/>
            <family val="2"/>
          </rPr>
          <t xml:space="preserve">
Ajustar Pedido, Lote era Plusval 54 mil</t>
        </r>
      </text>
    </comment>
  </commentList>
</comments>
</file>

<file path=xl/sharedStrings.xml><?xml version="1.0" encoding="utf-8"?>
<sst xmlns="http://schemas.openxmlformats.org/spreadsheetml/2006/main" count="10541" uniqueCount="1743">
  <si>
    <t>Reg.</t>
  </si>
  <si>
    <t>Dt. Aloj.</t>
  </si>
  <si>
    <t>Dt. Inic. Sem.</t>
  </si>
  <si>
    <t>Lote</t>
  </si>
  <si>
    <t>Idade
Ordem</t>
  </si>
  <si>
    <t>Emp-CC</t>
  </si>
  <si>
    <t>Recria</t>
  </si>
  <si>
    <t>Núcleo</t>
  </si>
  <si>
    <t>Qtde.</t>
  </si>
  <si>
    <t>Cama</t>
  </si>
  <si>
    <t>VZ</t>
  </si>
  <si>
    <t>Raca</t>
  </si>
  <si>
    <t>Fêmea - Macho</t>
  </si>
  <si>
    <t>Inic. 22 Sem.</t>
  </si>
  <si>
    <t>Data Abate</t>
  </si>
  <si>
    <t>Abate</t>
  </si>
  <si>
    <t>Prev. Aloj.</t>
  </si>
  <si>
    <t>PR</t>
  </si>
  <si>
    <t>07-25</t>
  </si>
  <si>
    <t>Esperança 3 - PR</t>
  </si>
  <si>
    <t>2ª</t>
  </si>
  <si>
    <t>500 SLOW - MALE</t>
  </si>
  <si>
    <t>Beltrame - SP</t>
  </si>
  <si>
    <t>11000</t>
  </si>
  <si>
    <t>09-25</t>
  </si>
  <si>
    <t>Picolli Rec. - PR</t>
  </si>
  <si>
    <t>AP95 - 344</t>
  </si>
  <si>
    <t>144-25</t>
  </si>
  <si>
    <t>Darlan - PR</t>
  </si>
  <si>
    <t>08-25</t>
  </si>
  <si>
    <t>Bom S. Rec. 1 - PR</t>
  </si>
  <si>
    <t>AP95 - 344  JBS</t>
  </si>
  <si>
    <t>13000</t>
  </si>
  <si>
    <t>145-25</t>
  </si>
  <si>
    <t>Iguaçu 1 - PR</t>
  </si>
  <si>
    <t>11-25</t>
  </si>
  <si>
    <t>Alto da Serra - PR</t>
  </si>
  <si>
    <t>500 SLOW - MALE JBS</t>
  </si>
  <si>
    <t>146-25</t>
  </si>
  <si>
    <t>Paulo - PR</t>
  </si>
  <si>
    <t>FIM</t>
  </si>
  <si>
    <t>147-25</t>
  </si>
  <si>
    <t>Bem-te-vi - SC</t>
  </si>
  <si>
    <t>10-25</t>
  </si>
  <si>
    <t>Santa Tereza 3 - PR</t>
  </si>
  <si>
    <t>L</t>
  </si>
  <si>
    <t>12-25</t>
  </si>
  <si>
    <t>Viganó 2 - PR</t>
  </si>
  <si>
    <t>3ª</t>
  </si>
  <si>
    <t>148-25</t>
  </si>
  <si>
    <t>Rossi 1 - PR</t>
  </si>
  <si>
    <t>14-25</t>
  </si>
  <si>
    <t>Quedas - PR</t>
  </si>
  <si>
    <t>150-25</t>
  </si>
  <si>
    <t>São Roque - PR</t>
  </si>
  <si>
    <t>13-25</t>
  </si>
  <si>
    <t>149-25</t>
  </si>
  <si>
    <t>Canguçu 1 - PR</t>
  </si>
  <si>
    <t>15-25</t>
  </si>
  <si>
    <t>Esperança 1  - PR</t>
  </si>
  <si>
    <t>1ª</t>
  </si>
  <si>
    <t>151-25</t>
  </si>
  <si>
    <t>São Pedro - PR</t>
  </si>
  <si>
    <t>152-25</t>
  </si>
  <si>
    <t>Ouro Verde - SC</t>
  </si>
  <si>
    <t>Brodoski - SP</t>
  </si>
  <si>
    <t>16-25</t>
  </si>
  <si>
    <t>17-25</t>
  </si>
  <si>
    <t>Pluma 1 - PR</t>
  </si>
  <si>
    <t>18-25</t>
  </si>
  <si>
    <t>153-25</t>
  </si>
  <si>
    <t>Bragapolis - PR</t>
  </si>
  <si>
    <t>154-25</t>
  </si>
  <si>
    <t>Faxinal 1 - SC</t>
  </si>
  <si>
    <t>26-25</t>
  </si>
  <si>
    <t>São Fco de Assis - PR</t>
  </si>
  <si>
    <t>156-25</t>
  </si>
  <si>
    <t>Mariott - PR</t>
  </si>
  <si>
    <t>20-25</t>
  </si>
  <si>
    <t>Pluma 3 - PR</t>
  </si>
  <si>
    <t>157-25</t>
  </si>
  <si>
    <t>Canguçu 2 - PR</t>
  </si>
  <si>
    <t>22-25</t>
  </si>
  <si>
    <t>Pluma 4 - PR</t>
  </si>
  <si>
    <t>158-25</t>
  </si>
  <si>
    <t>Bela Vista 2 - PR</t>
  </si>
  <si>
    <t>161-25</t>
  </si>
  <si>
    <t>Renascença 1 - PR</t>
  </si>
  <si>
    <t>23-25</t>
  </si>
  <si>
    <t>Panorama 3 - PR</t>
  </si>
  <si>
    <t>24-25</t>
  </si>
  <si>
    <t>160-25</t>
  </si>
  <si>
    <t>Iguaçu 2 - PR</t>
  </si>
  <si>
    <t>Faxinal 2 - SC</t>
  </si>
  <si>
    <t>25-25</t>
  </si>
  <si>
    <t>N. S. Carmo 1 - PR</t>
  </si>
  <si>
    <t>159-25</t>
  </si>
  <si>
    <t>Nuernberg - PR</t>
  </si>
  <si>
    <t>21-25</t>
  </si>
  <si>
    <t>Nona Tere - PR</t>
  </si>
  <si>
    <t>31-25</t>
  </si>
  <si>
    <t>Iguaçu Recria - PR</t>
  </si>
  <si>
    <t>Miotto - PR</t>
  </si>
  <si>
    <t>28-25</t>
  </si>
  <si>
    <t>Panorama 2 - PR</t>
  </si>
  <si>
    <t>São Miguel - PR</t>
  </si>
  <si>
    <t>32-25</t>
  </si>
  <si>
    <t>Viganó 1 - PR</t>
  </si>
  <si>
    <t>Fiorin - SC</t>
  </si>
  <si>
    <t>Tortato - SC</t>
  </si>
  <si>
    <t>33-25</t>
  </si>
  <si>
    <t>Rio Chopim 2 - PR</t>
  </si>
  <si>
    <t>500 SLOW - MX</t>
  </si>
  <si>
    <t>Bom sucesso 4 - PR</t>
  </si>
  <si>
    <t>34-25</t>
  </si>
  <si>
    <t>Três Palmeiras - PR</t>
  </si>
  <si>
    <t>Faxinal 3 - SC</t>
  </si>
  <si>
    <t>Ponte serrada 2 - SC</t>
  </si>
  <si>
    <t>Flor da serra - PR</t>
  </si>
  <si>
    <t>29-25</t>
  </si>
  <si>
    <t>Salto Caxias Rec. 1 - PR</t>
  </si>
  <si>
    <t>Salto Caxias Prod. 2 - PR</t>
  </si>
  <si>
    <t>37-25</t>
  </si>
  <si>
    <t>Corti - PR</t>
  </si>
  <si>
    <t>Bom sucesso 3 - PR</t>
  </si>
  <si>
    <t>36-25</t>
  </si>
  <si>
    <t>Ponte serrada 1 - SC</t>
  </si>
  <si>
    <t>São José - PR</t>
  </si>
  <si>
    <t>35-25</t>
  </si>
  <si>
    <t>Santa Tereza 1 - PR</t>
  </si>
  <si>
    <t>Bom sucesso 5 - PR</t>
  </si>
  <si>
    <t>27-25</t>
  </si>
  <si>
    <t>Pluma 2 - PR</t>
  </si>
  <si>
    <t>Vora 1 - PR</t>
  </si>
  <si>
    <t>38-25</t>
  </si>
  <si>
    <t>Panorama 1 - PR</t>
  </si>
  <si>
    <t>Salto 2 - PR</t>
  </si>
  <si>
    <t>39-25</t>
  </si>
  <si>
    <t>40-25</t>
  </si>
  <si>
    <t>Esperança 2 - PR</t>
  </si>
  <si>
    <t>Fronteira 2 - PR</t>
  </si>
  <si>
    <t>41-25</t>
  </si>
  <si>
    <t>JS - PR</t>
  </si>
  <si>
    <t>42-25</t>
  </si>
  <si>
    <t>Santa Izabel - PR</t>
  </si>
  <si>
    <t>Marafon - PR</t>
  </si>
  <si>
    <t>Ilha Bella 1 - PR</t>
  </si>
  <si>
    <t>44-25</t>
  </si>
  <si>
    <t>Rio Chopim 3 - PR</t>
  </si>
  <si>
    <t>CDP4 SF - MALE</t>
  </si>
  <si>
    <t>45-25</t>
  </si>
  <si>
    <t>Rio Chopim 1 - PR</t>
  </si>
  <si>
    <t>Bela Vista 4 - PR</t>
  </si>
  <si>
    <t>48-25</t>
  </si>
  <si>
    <t>N. S. Carmo 2 - PR</t>
  </si>
  <si>
    <t>Celso Hoffelder - PR</t>
  </si>
  <si>
    <t>43-25</t>
  </si>
  <si>
    <t>Santa Tereza 2 - PR</t>
  </si>
  <si>
    <t>Renascença 2 - PR</t>
  </si>
  <si>
    <t>47-25</t>
  </si>
  <si>
    <t>Bom S. Rec. 2 - PR</t>
  </si>
  <si>
    <t>Rossi 2 - PR</t>
  </si>
  <si>
    <t>49-25</t>
  </si>
  <si>
    <t>Ilha Bella 2 - PR</t>
  </si>
  <si>
    <t>46-25</t>
  </si>
  <si>
    <t>Samambaia 2 - SP</t>
  </si>
  <si>
    <t>Saade - SC</t>
  </si>
  <si>
    <t>Biava - PR</t>
  </si>
  <si>
    <t>50-25</t>
  </si>
  <si>
    <t>500 FAST - MALE</t>
  </si>
  <si>
    <t>Salto 1 - PR</t>
  </si>
  <si>
    <t>51-25</t>
  </si>
  <si>
    <t>Fronteira 3 - PR</t>
  </si>
  <si>
    <t>55-25</t>
  </si>
  <si>
    <t>Erveira - PR</t>
  </si>
  <si>
    <t>54-24</t>
  </si>
  <si>
    <t>Fronteira 4 - PR</t>
  </si>
  <si>
    <t>JBS</t>
  </si>
  <si>
    <t>Bom Retiro 02 - SP</t>
  </si>
  <si>
    <t>Alto Verê - PR</t>
  </si>
  <si>
    <t>Bela Vista 3 - PR</t>
  </si>
  <si>
    <t>53-25</t>
  </si>
  <si>
    <t>Km 45 nucleo 2 - PR</t>
  </si>
  <si>
    <t>56-25</t>
  </si>
  <si>
    <t>Renascença 3 - PR</t>
  </si>
  <si>
    <t>Asa branca - PR</t>
  </si>
  <si>
    <t>52-25</t>
  </si>
  <si>
    <t>Aliança - PR</t>
  </si>
  <si>
    <t>Aliança Prod. 1 - PR</t>
  </si>
  <si>
    <t>58-25</t>
  </si>
  <si>
    <t>Bom sucesso 2 - PR</t>
  </si>
  <si>
    <t>59-25</t>
  </si>
  <si>
    <t>Bom sucesso 1 - PR</t>
  </si>
  <si>
    <t>60-25</t>
  </si>
  <si>
    <t>Butiá - PR</t>
  </si>
  <si>
    <t>Rossignol - SC</t>
  </si>
  <si>
    <t>São Bernardo - PR</t>
  </si>
  <si>
    <t>61-25</t>
  </si>
  <si>
    <t>Casarin - SC</t>
  </si>
  <si>
    <t>Saudade - PR</t>
  </si>
  <si>
    <t>Cappellesso - PR</t>
  </si>
  <si>
    <t>Trevisan - SC</t>
  </si>
  <si>
    <t>Pandolfi - PR</t>
  </si>
  <si>
    <t>Morro agudo - SP</t>
  </si>
  <si>
    <t>Carolina - SP</t>
  </si>
  <si>
    <t>Agua do Sabia - PR</t>
  </si>
  <si>
    <t>Santolin - PR</t>
  </si>
  <si>
    <t>Entre Rios 1 - PR</t>
  </si>
  <si>
    <t>Planalto - PR</t>
  </si>
  <si>
    <t>São Braz 2 - PR</t>
  </si>
  <si>
    <t>Salto Caxias Prod. 1 - PR</t>
  </si>
  <si>
    <t>500 SLOW - MX JBS</t>
  </si>
  <si>
    <t>Bela Vista 1 - PR</t>
  </si>
  <si>
    <t>Entre Rios 2 - PR</t>
  </si>
  <si>
    <t>Itapejara - PR</t>
  </si>
  <si>
    <t>São Caetano - PR</t>
  </si>
  <si>
    <t>Pluma 5 - PR</t>
  </si>
  <si>
    <t>Fundo da Grota - PR</t>
  </si>
  <si>
    <t>1341 26</t>
  </si>
  <si>
    <t>Prezotto - SC</t>
  </si>
  <si>
    <t>Plusval</t>
  </si>
  <si>
    <t>Ipe</t>
  </si>
  <si>
    <t>LEVO</t>
  </si>
  <si>
    <t>Pinzon - PR</t>
  </si>
  <si>
    <t>Santelmo - SP</t>
  </si>
  <si>
    <t>Linha Nova - PR</t>
  </si>
  <si>
    <t>Canguçu 3 - PR</t>
  </si>
  <si>
    <t>Trindade - SC</t>
  </si>
  <si>
    <t>Km 45 nucleo 1 - PR</t>
  </si>
  <si>
    <t>APN - 344</t>
  </si>
  <si>
    <t>Fronteira 1 - PR</t>
  </si>
  <si>
    <t>Scolari - PR</t>
  </si>
  <si>
    <t>800 SLOW - MX</t>
  </si>
  <si>
    <t>São Francisco - PR</t>
  </si>
  <si>
    <t>Pardinho 2 - SP</t>
  </si>
  <si>
    <t>CDP4 SF - MX</t>
  </si>
  <si>
    <t>Aliança Prod. 2 - PR</t>
  </si>
  <si>
    <t>Jairo Guzzo - PR</t>
  </si>
  <si>
    <t>Vora 2 - PR</t>
  </si>
  <si>
    <t>N. Sª. Ap. Rec. 1- PR</t>
  </si>
  <si>
    <t>N. Sª. Ap. Prod. 1 - PR</t>
  </si>
  <si>
    <t>Pluma 6 - PR</t>
  </si>
  <si>
    <t>EFFICIENCY PLUS_M77</t>
  </si>
  <si>
    <t>Eduardo Fig. - SP</t>
  </si>
  <si>
    <t>SP</t>
  </si>
  <si>
    <t>Rosa Maria 01 - SP</t>
  </si>
  <si>
    <t>Cafezal Rec. 1 - PR</t>
  </si>
  <si>
    <t>Cafezal Prod. 1 - PR</t>
  </si>
  <si>
    <t>Uberaba - PR</t>
  </si>
  <si>
    <t>Uberaba Prod. 1 - PR</t>
  </si>
  <si>
    <t>63000</t>
  </si>
  <si>
    <t>N. Sª. Ap. Prod. 2 - PR</t>
  </si>
  <si>
    <t>Cafezal Rec. 2 - PR</t>
  </si>
  <si>
    <t>Cafezal Prod. 2 - PR</t>
  </si>
  <si>
    <t>PR_CVL</t>
  </si>
  <si>
    <t>C.VALE</t>
  </si>
  <si>
    <t>Cafezal Prod. 3 - PR</t>
  </si>
  <si>
    <t>Potreiro 4 - SP</t>
  </si>
  <si>
    <t>153551-153561</t>
  </si>
  <si>
    <t>Uberaba Prod. 2 - PR</t>
  </si>
  <si>
    <t>Samambaia 3 - SP</t>
  </si>
  <si>
    <t>Cafezal Prod. 4 - PR</t>
  </si>
  <si>
    <t>1002 28</t>
  </si>
  <si>
    <t>Soma de Qtde.</t>
  </si>
  <si>
    <t>Rótulos de Coluna</t>
  </si>
  <si>
    <t>Rótulos de Linha</t>
  </si>
  <si>
    <t>2025</t>
  </si>
  <si>
    <t>2026</t>
  </si>
  <si>
    <t>2027</t>
  </si>
  <si>
    <t>2028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</si>
  <si>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</si>
  <si>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</si>
  <si>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</si>
  <si>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</si>
  <si>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</si>
  <si>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</si>
  <si>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</si>
  <si>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</si>
  <si>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</si>
  <si>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</si>
  <si>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</si>
  <si>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</si>
  <si>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Geral</t>
  </si>
  <si>
    <t>COBB</t>
  </si>
  <si>
    <t>HUBB</t>
  </si>
  <si>
    <t>ROSS</t>
  </si>
  <si>
    <t>Meses (Dt. Inic. Sem.)</t>
  </si>
  <si>
    <t>(Vários itens)</t>
  </si>
  <si>
    <t>Anos (Dt. Inic. Sem.)</t>
  </si>
  <si>
    <t>COBB Total</t>
  </si>
  <si>
    <t>HUBB Total</t>
  </si>
  <si>
    <t>ROSS Total</t>
  </si>
  <si>
    <t>JBS Total</t>
  </si>
  <si>
    <t>Gr. Recria</t>
  </si>
  <si>
    <t>Vazo</t>
  </si>
  <si>
    <t>Gr. Destino</t>
  </si>
  <si>
    <t>Vazio</t>
  </si>
  <si>
    <t>401-25</t>
  </si>
  <si>
    <t>Bom Retiro 01 - SP</t>
  </si>
  <si>
    <t>509-25</t>
  </si>
  <si>
    <t>Pardinho 1 - SP</t>
  </si>
  <si>
    <t>510-25</t>
  </si>
  <si>
    <t>511-25</t>
  </si>
  <si>
    <t>Bom S. Recria 1 - PR</t>
  </si>
  <si>
    <t>512-25</t>
  </si>
  <si>
    <t>402-25</t>
  </si>
  <si>
    <t>513-25</t>
  </si>
  <si>
    <t>São gabriel - SP</t>
  </si>
  <si>
    <t>404-25</t>
  </si>
  <si>
    <t>516-25</t>
  </si>
  <si>
    <t>403-25</t>
  </si>
  <si>
    <t>515-25</t>
  </si>
  <si>
    <t>Olivio Serra - SP</t>
  </si>
  <si>
    <t>514-25</t>
  </si>
  <si>
    <t>30-25</t>
  </si>
  <si>
    <t>Vilela - PR</t>
  </si>
  <si>
    <t>Faz. Santa Rosa - SP</t>
  </si>
  <si>
    <t>405-25</t>
  </si>
  <si>
    <t>Rosa Maria 02 - SP</t>
  </si>
  <si>
    <t>800 SLOW - MALE</t>
  </si>
  <si>
    <t>406-25</t>
  </si>
  <si>
    <t>Samambaia 1 - SP</t>
  </si>
  <si>
    <t>407-25</t>
  </si>
  <si>
    <t>Potreiro 2 - SP</t>
  </si>
  <si>
    <t>Potreiro 1 - SP</t>
  </si>
  <si>
    <t>Potreiro 3 - SP</t>
  </si>
  <si>
    <t>409-25</t>
  </si>
  <si>
    <t>Potreiro 6 - SP</t>
  </si>
  <si>
    <t>408-25</t>
  </si>
  <si>
    <t>Pluma - PR</t>
  </si>
  <si>
    <t>Pluma - DF</t>
  </si>
  <si>
    <t>Potreiro 5 - SP</t>
  </si>
  <si>
    <t>10_169</t>
  </si>
  <si>
    <t>(N1)</t>
  </si>
  <si>
    <t>10_130</t>
  </si>
  <si>
    <t>124_47</t>
  </si>
  <si>
    <t>10_203</t>
  </si>
  <si>
    <t>112_29</t>
  </si>
  <si>
    <t>10_116</t>
  </si>
  <si>
    <t>Sai</t>
  </si>
  <si>
    <t>Entra</t>
  </si>
  <si>
    <t>Qtde. Mês</t>
  </si>
  <si>
    <t>Ano</t>
  </si>
  <si>
    <t>Mês</t>
  </si>
  <si>
    <t>2024</t>
  </si>
  <si>
    <t>Qtd.</t>
  </si>
  <si>
    <t>Linhagem</t>
  </si>
  <si>
    <t>Campo Verde</t>
  </si>
  <si>
    <t>Lindoia Rec. 01 - MT</t>
  </si>
  <si>
    <t>Lindoia Prod. 05 - MT</t>
  </si>
  <si>
    <t>Lindoia Rec. 02 - MT</t>
  </si>
  <si>
    <t>Lindoia Prod. 06 - MT</t>
  </si>
  <si>
    <t>Lindoia Rec. 03 - MT</t>
  </si>
  <si>
    <t>Lindoia Prod. 07 - MT</t>
  </si>
  <si>
    <t>Lindoia Rec. 04 - MT</t>
  </si>
  <si>
    <t>Lindoia Prod. 08 - MT</t>
  </si>
  <si>
    <t>Lindoia Prod. 09 - MT</t>
  </si>
  <si>
    <t>Lindoia Prod. 10 - MT</t>
  </si>
  <si>
    <t>Lindoia Prod. 11 - MT</t>
  </si>
  <si>
    <t>Lindoia Prod. 12 - MT</t>
  </si>
  <si>
    <t>***    Intervalo entre um alojamento e outro</t>
  </si>
  <si>
    <t>Qtde</t>
  </si>
  <si>
    <t>Idade</t>
  </si>
  <si>
    <t>Inic. 25 Sem.</t>
  </si>
  <si>
    <t>15-24</t>
  </si>
  <si>
    <t>COBB - MALE</t>
  </si>
  <si>
    <t>159-24</t>
  </si>
  <si>
    <t>18-24</t>
  </si>
  <si>
    <t>ROSS AP95</t>
  </si>
  <si>
    <t>162-24</t>
  </si>
  <si>
    <t>20-24</t>
  </si>
  <si>
    <t>164-24</t>
  </si>
  <si>
    <t>22-24</t>
  </si>
  <si>
    <t>165-24</t>
  </si>
  <si>
    <t>24-24</t>
  </si>
  <si>
    <t>Nossa S. Carmo 1 - PR</t>
  </si>
  <si>
    <t>COBB MALE - JBS</t>
  </si>
  <si>
    <t>167-24</t>
  </si>
  <si>
    <t>25-24</t>
  </si>
  <si>
    <t>168-24</t>
  </si>
  <si>
    <t>26-24</t>
  </si>
  <si>
    <t>COBB - MV</t>
  </si>
  <si>
    <t>169-24</t>
  </si>
  <si>
    <t>SC</t>
  </si>
  <si>
    <t>27-24</t>
  </si>
  <si>
    <t xml:space="preserve">Bom Jesus - SC </t>
  </si>
  <si>
    <t>170-24</t>
  </si>
  <si>
    <t>171-24</t>
  </si>
  <si>
    <t>28-24</t>
  </si>
  <si>
    <t>172-24</t>
  </si>
  <si>
    <t>29-24</t>
  </si>
  <si>
    <t>173-24</t>
  </si>
  <si>
    <t>177-24</t>
  </si>
  <si>
    <t>30-24</t>
  </si>
  <si>
    <t>174-24</t>
  </si>
  <si>
    <t>Malacarne 2 - PR</t>
  </si>
  <si>
    <t>31-24</t>
  </si>
  <si>
    <t>175-24</t>
  </si>
  <si>
    <t>32-24</t>
  </si>
  <si>
    <t>33-24</t>
  </si>
  <si>
    <t>178-24</t>
  </si>
  <si>
    <t>34-24</t>
  </si>
  <si>
    <t>Bom S. Recria 2 - PR</t>
  </si>
  <si>
    <t>179-24</t>
  </si>
  <si>
    <t>35-24</t>
  </si>
  <si>
    <t>180-24</t>
  </si>
  <si>
    <t>36-24</t>
  </si>
  <si>
    <t>181-24</t>
  </si>
  <si>
    <t>38-24</t>
  </si>
  <si>
    <t>182-24</t>
  </si>
  <si>
    <t>39-24</t>
  </si>
  <si>
    <t>183-24</t>
  </si>
  <si>
    <t>37-24</t>
  </si>
  <si>
    <t>184-24</t>
  </si>
  <si>
    <t>40-24</t>
  </si>
  <si>
    <t>185-24</t>
  </si>
  <si>
    <t>41-24</t>
  </si>
  <si>
    <t>Nossa S. Carmo 2 - PR</t>
  </si>
  <si>
    <t>186-24</t>
  </si>
  <si>
    <t>43-24</t>
  </si>
  <si>
    <t>187-24</t>
  </si>
  <si>
    <t>101-25</t>
  </si>
  <si>
    <t>42-24</t>
  </si>
  <si>
    <t>102-25</t>
  </si>
  <si>
    <t>103-25</t>
  </si>
  <si>
    <t>44-24</t>
  </si>
  <si>
    <t>104-25</t>
  </si>
  <si>
    <t>105-25</t>
  </si>
  <si>
    <t>45-24</t>
  </si>
  <si>
    <t>Picolli recria - PR</t>
  </si>
  <si>
    <t>106-25</t>
  </si>
  <si>
    <t>46-24</t>
  </si>
  <si>
    <t>107-25</t>
  </si>
  <si>
    <t>Malacarne 4 - PR</t>
  </si>
  <si>
    <t>47-24</t>
  </si>
  <si>
    <t>109-25</t>
  </si>
  <si>
    <t>Malacarne 3 - PR</t>
  </si>
  <si>
    <t>48-24</t>
  </si>
  <si>
    <t>108-25</t>
  </si>
  <si>
    <t>51-24</t>
  </si>
  <si>
    <t>112-25</t>
  </si>
  <si>
    <t>50-24</t>
  </si>
  <si>
    <t>111-25</t>
  </si>
  <si>
    <t>52-24</t>
  </si>
  <si>
    <t>113-25</t>
  </si>
  <si>
    <t>114-25</t>
  </si>
  <si>
    <t>53-24</t>
  </si>
  <si>
    <t>117-25</t>
  </si>
  <si>
    <t>115-25</t>
  </si>
  <si>
    <t>55-24</t>
  </si>
  <si>
    <t>116-25</t>
  </si>
  <si>
    <t>56-24</t>
  </si>
  <si>
    <t>58-24</t>
  </si>
  <si>
    <t>118-25</t>
  </si>
  <si>
    <t>119-25</t>
  </si>
  <si>
    <t>59-24</t>
  </si>
  <si>
    <t>120-25</t>
  </si>
  <si>
    <t>121-25</t>
  </si>
  <si>
    <t>60-24</t>
  </si>
  <si>
    <t>122-25</t>
  </si>
  <si>
    <t>61-24</t>
  </si>
  <si>
    <t>123-25</t>
  </si>
  <si>
    <t>Casarin</t>
  </si>
  <si>
    <t>131-24</t>
  </si>
  <si>
    <t>62-24</t>
  </si>
  <si>
    <t>124-25</t>
  </si>
  <si>
    <t>125-25</t>
  </si>
  <si>
    <t>63-24</t>
  </si>
  <si>
    <t>126-25</t>
  </si>
  <si>
    <t>127-25</t>
  </si>
  <si>
    <t>São Manoel - PR</t>
  </si>
  <si>
    <t>64-24</t>
  </si>
  <si>
    <t>ROSS AP95 - JBS</t>
  </si>
  <si>
    <t>128-25</t>
  </si>
  <si>
    <t>66-24</t>
  </si>
  <si>
    <t>129-25</t>
  </si>
  <si>
    <t>65-24</t>
  </si>
  <si>
    <t>130-25</t>
  </si>
  <si>
    <t>131-25</t>
  </si>
  <si>
    <t>67-24</t>
  </si>
  <si>
    <t>132-25</t>
  </si>
  <si>
    <t>133-25</t>
  </si>
  <si>
    <t>Entre rios 1 - PR</t>
  </si>
  <si>
    <t>68-24</t>
  </si>
  <si>
    <t>134-25</t>
  </si>
  <si>
    <t>69-24</t>
  </si>
  <si>
    <t>135-25</t>
  </si>
  <si>
    <t>70-24</t>
  </si>
  <si>
    <t>136-25</t>
  </si>
  <si>
    <t>01-25</t>
  </si>
  <si>
    <t>137-25</t>
  </si>
  <si>
    <t>02-25</t>
  </si>
  <si>
    <t>138-25</t>
  </si>
  <si>
    <t>03-25</t>
  </si>
  <si>
    <t>141-25</t>
  </si>
  <si>
    <t>05-25</t>
  </si>
  <si>
    <t>140-25</t>
  </si>
  <si>
    <t>Malacarne 1 - PR</t>
  </si>
  <si>
    <t>04-25</t>
  </si>
  <si>
    <t>139-25</t>
  </si>
  <si>
    <t>06-25</t>
  </si>
  <si>
    <t>142-25</t>
  </si>
  <si>
    <t>143-25</t>
  </si>
  <si>
    <t>Brodoski</t>
  </si>
  <si>
    <t>19-25</t>
  </si>
  <si>
    <t>155-25</t>
  </si>
  <si>
    <t>ABS</t>
  </si>
  <si>
    <t>COBB - MX</t>
  </si>
  <si>
    <t>Bom sucesso 3 - Pr</t>
  </si>
  <si>
    <t>Vora 1</t>
  </si>
  <si>
    <t>COBB - MALE CPD4</t>
  </si>
  <si>
    <r>
      <t xml:space="preserve">Samambaia 2 - SP </t>
    </r>
    <r>
      <rPr>
        <b/>
        <sz val="12"/>
        <color rgb="FFFF0000"/>
        <rFont val="Arial"/>
        <family val="2"/>
      </rPr>
      <t>(Não Mudar Origem)</t>
    </r>
  </si>
  <si>
    <t>COBB - FAST</t>
  </si>
  <si>
    <t>COBB MALE MX - JBS</t>
  </si>
  <si>
    <t>17000</t>
  </si>
  <si>
    <t>24000</t>
  </si>
  <si>
    <t>ROSS 308 APN</t>
  </si>
  <si>
    <t>COBB - CPD4 MX</t>
  </si>
  <si>
    <t>151078 - 151079</t>
  </si>
  <si>
    <t>6000</t>
  </si>
  <si>
    <t>153546 Dt 12/11/2026</t>
  </si>
  <si>
    <t>Nossa Sra Aparecida - PR</t>
  </si>
  <si>
    <t>HUBBARD</t>
  </si>
  <si>
    <t>20000</t>
  </si>
  <si>
    <t>Nossa Sra Aparecida Prod. 2 - PR</t>
  </si>
  <si>
    <t>Uberaba 2 Prod - PR</t>
  </si>
  <si>
    <t>Meses (Dt. Aloj.)</t>
  </si>
  <si>
    <t>Duplicado</t>
  </si>
  <si>
    <t>(vazio)</t>
  </si>
  <si>
    <t>xxxxxxxxxxxx</t>
  </si>
  <si>
    <t>Mineiros</t>
  </si>
  <si>
    <t>Baseggio 1 - GO</t>
  </si>
  <si>
    <t>Pedro 1 - GO</t>
  </si>
  <si>
    <t>Luciara 1 - GO</t>
  </si>
  <si>
    <t>Baseggio 2 - GO</t>
  </si>
  <si>
    <t>Deosdedethi 01 - GO</t>
  </si>
  <si>
    <t>Deosdedethi 02 - GO</t>
  </si>
  <si>
    <t>DTA.INCUB.</t>
  </si>
  <si>
    <t>Emp</t>
  </si>
  <si>
    <t>Granja Recria</t>
  </si>
  <si>
    <t>CAMA</t>
  </si>
  <si>
    <t>Qtde. F</t>
  </si>
  <si>
    <t>Qtde. M</t>
  </si>
  <si>
    <t>Dt.Transf.</t>
  </si>
  <si>
    <t>Inic. Prod. 25sem</t>
  </si>
  <si>
    <t>Granja Destino</t>
  </si>
  <si>
    <t>810-24</t>
  </si>
  <si>
    <t>TO-01</t>
  </si>
  <si>
    <t>4°</t>
  </si>
  <si>
    <t>878-24</t>
  </si>
  <si>
    <t>Planaltina 06  - Empresa 94</t>
  </si>
  <si>
    <t>879-24</t>
  </si>
  <si>
    <t>São Francisco  (SF-01)</t>
  </si>
  <si>
    <t>811-24</t>
  </si>
  <si>
    <t>CECIN SARKIS - 02</t>
  </si>
  <si>
    <t>1°</t>
  </si>
  <si>
    <t>850-25</t>
  </si>
  <si>
    <t>Ely  ( EL -01)</t>
  </si>
  <si>
    <t>851-25</t>
  </si>
  <si>
    <t>Planaltina 02  - Empresa 94</t>
  </si>
  <si>
    <t>812-24</t>
  </si>
  <si>
    <t>COBB MALLE</t>
  </si>
  <si>
    <t>852-25</t>
  </si>
  <si>
    <t>Planaltina 07  - Empresa 94</t>
  </si>
  <si>
    <t>813-24</t>
  </si>
  <si>
    <t>TO-03</t>
  </si>
  <si>
    <t>2°</t>
  </si>
  <si>
    <t>853-25</t>
  </si>
  <si>
    <t>Marcelo Bezerra  ( MB-01 )</t>
  </si>
  <si>
    <t>854-25</t>
  </si>
  <si>
    <t>AGUINALDO LELIS (AL-01)</t>
  </si>
  <si>
    <t>814-24</t>
  </si>
  <si>
    <t>TO-04</t>
  </si>
  <si>
    <t>855-25</t>
  </si>
  <si>
    <t>Estrela Dalva 1 (ED-1)</t>
  </si>
  <si>
    <t>815-24</t>
  </si>
  <si>
    <t>CECIN SARKIS - 01</t>
  </si>
  <si>
    <t>3°</t>
  </si>
  <si>
    <t>856-25</t>
  </si>
  <si>
    <t>Estrela Dalva 2 (ED-2)</t>
  </si>
  <si>
    <t>858-25</t>
  </si>
  <si>
    <t>Planaltina 03  - Empresa 94</t>
  </si>
  <si>
    <t>857-25</t>
  </si>
  <si>
    <t>Adriana Barreto ( AB-01)</t>
  </si>
  <si>
    <t>816-24</t>
  </si>
  <si>
    <t>TO-02</t>
  </si>
  <si>
    <t>859-25</t>
  </si>
  <si>
    <t>Jose Marcos (JM-01)</t>
  </si>
  <si>
    <t>860-25</t>
  </si>
  <si>
    <t>Granja - KC-01</t>
  </si>
  <si>
    <t>817-24</t>
  </si>
  <si>
    <t>SIDNEI</t>
  </si>
  <si>
    <t>861-25</t>
  </si>
  <si>
    <t xml:space="preserve">Rufato(RU) </t>
  </si>
  <si>
    <t>818-24</t>
  </si>
  <si>
    <t>TO-05</t>
  </si>
  <si>
    <t>862-25</t>
  </si>
  <si>
    <t>Santa Rita ( SR-01 )</t>
  </si>
  <si>
    <t>800-25</t>
  </si>
  <si>
    <t>TO-06</t>
  </si>
  <si>
    <t>863-25</t>
  </si>
  <si>
    <t>Granja - KC-02</t>
  </si>
  <si>
    <t>801-25</t>
  </si>
  <si>
    <t>864-25</t>
  </si>
  <si>
    <t>Fernando Andrade 1 (FA-01)</t>
  </si>
  <si>
    <t>Distrato</t>
  </si>
  <si>
    <t>802-25</t>
  </si>
  <si>
    <t>865-25</t>
  </si>
  <si>
    <t>Jose Luiz Aborean1(JL-01)</t>
  </si>
  <si>
    <t>803-25</t>
  </si>
  <si>
    <t>804-25</t>
  </si>
  <si>
    <t>866-25</t>
  </si>
  <si>
    <t>Jose Luiz Aborean1(JL-02)</t>
  </si>
  <si>
    <t>805-25</t>
  </si>
  <si>
    <t>867-25</t>
  </si>
  <si>
    <t>Planaltina 01  - Empresa 94</t>
  </si>
  <si>
    <t>868-25</t>
  </si>
  <si>
    <t>Miguel 2(MI-02)</t>
  </si>
  <si>
    <t>806-25</t>
  </si>
  <si>
    <t>869-25</t>
  </si>
  <si>
    <t>Jose Mauro(JE )</t>
  </si>
  <si>
    <t>870-25</t>
  </si>
  <si>
    <t>Planaltina 04  - Empresa 94</t>
  </si>
  <si>
    <t>807-25</t>
  </si>
  <si>
    <t>871-25</t>
  </si>
  <si>
    <t>TOCAIA GRANDE (TG-01</t>
  </si>
  <si>
    <t>872-25</t>
  </si>
  <si>
    <t>Miguel 3 (MI-03)</t>
  </si>
  <si>
    <t>873-25</t>
  </si>
  <si>
    <t>Planaltina 05  - Empresa 94</t>
  </si>
  <si>
    <t>808-25</t>
  </si>
  <si>
    <t>3300-25</t>
  </si>
  <si>
    <t>Luiz Gonzaga 1(LG-01)</t>
  </si>
  <si>
    <t>809-25</t>
  </si>
  <si>
    <t>3301-25</t>
  </si>
  <si>
    <t>Miguel 1 (MI-01)</t>
  </si>
  <si>
    <t>810-25</t>
  </si>
  <si>
    <t>3302-25</t>
  </si>
  <si>
    <t>Elias Marquezi (EM-01)</t>
  </si>
  <si>
    <t>811-25</t>
  </si>
  <si>
    <t>3303-25</t>
  </si>
  <si>
    <t>Eduardo Bezerra 1(EB-01)</t>
  </si>
  <si>
    <t>812-25</t>
  </si>
  <si>
    <t>3304-25</t>
  </si>
  <si>
    <t>Santa Cruz-02 (SC-02)</t>
  </si>
  <si>
    <t>3305-25</t>
  </si>
  <si>
    <t>813-25</t>
  </si>
  <si>
    <t>3306-25</t>
  </si>
  <si>
    <t>Luiz Gonzaga 2(LG-02)</t>
  </si>
  <si>
    <t>814-25</t>
  </si>
  <si>
    <t>3300-26</t>
  </si>
  <si>
    <t>Santa Cruz-01 (SC-01)</t>
  </si>
  <si>
    <t>3301-26</t>
  </si>
  <si>
    <t>815-25</t>
  </si>
  <si>
    <t>3302-26</t>
  </si>
  <si>
    <t>3303-26</t>
  </si>
  <si>
    <t>Rodrigo Bezerra  ( RB-01 )</t>
  </si>
  <si>
    <t>816-25</t>
  </si>
  <si>
    <t>3304-26</t>
  </si>
  <si>
    <t>3000-25</t>
  </si>
  <si>
    <t>3305-26</t>
  </si>
  <si>
    <t>3001-25</t>
  </si>
  <si>
    <t>3306-26</t>
  </si>
  <si>
    <t>3307-26</t>
  </si>
  <si>
    <t>3002-25</t>
  </si>
  <si>
    <t>3308-26</t>
  </si>
  <si>
    <t>Estrela Dalva 1 (ED-2)</t>
  </si>
  <si>
    <t>RECRIA - SP</t>
  </si>
  <si>
    <t>3309-26</t>
  </si>
  <si>
    <t>3003-25</t>
  </si>
  <si>
    <t>3310-26</t>
  </si>
  <si>
    <t>3311-26</t>
  </si>
  <si>
    <t>3004-25</t>
  </si>
  <si>
    <t>3312-26</t>
  </si>
  <si>
    <t>3313-26</t>
  </si>
  <si>
    <t>3005-25</t>
  </si>
  <si>
    <t>3314-26</t>
  </si>
  <si>
    <t>3000-26</t>
  </si>
  <si>
    <t>3001-26</t>
  </si>
  <si>
    <t>3315-26</t>
  </si>
  <si>
    <t>3002-26</t>
  </si>
  <si>
    <t>3316-26</t>
  </si>
  <si>
    <t>3317-26</t>
  </si>
  <si>
    <t>3003-26</t>
  </si>
  <si>
    <t>3318-26</t>
  </si>
  <si>
    <t>3319-26</t>
  </si>
  <si>
    <t>3004-26</t>
  </si>
  <si>
    <t>3320-26</t>
  </si>
  <si>
    <t>3321-26</t>
  </si>
  <si>
    <t>3005-26</t>
  </si>
  <si>
    <t>3322-26</t>
  </si>
  <si>
    <t>3323-26</t>
  </si>
  <si>
    <t>3006-26</t>
  </si>
  <si>
    <t>3324-26</t>
  </si>
  <si>
    <t>3007-26</t>
  </si>
  <si>
    <t>3325-26</t>
  </si>
  <si>
    <t>3008-26</t>
  </si>
  <si>
    <t>3009-26</t>
  </si>
  <si>
    <t>3010-26</t>
  </si>
  <si>
    <t>3011-26</t>
  </si>
  <si>
    <t>3012-26</t>
  </si>
  <si>
    <t>3013-26</t>
  </si>
  <si>
    <t>3014-26</t>
  </si>
  <si>
    <t>3015-26</t>
  </si>
  <si>
    <t>SIDNEI - 01</t>
  </si>
  <si>
    <t>SIDNEI - 02</t>
  </si>
  <si>
    <t>Total Machos</t>
  </si>
  <si>
    <t>Total Fêmeas</t>
  </si>
  <si>
    <t>Pluma G3</t>
  </si>
  <si>
    <t>Pina - 04</t>
  </si>
  <si>
    <t>Pesqueira - 01</t>
  </si>
  <si>
    <t>Pesqueira - 02</t>
  </si>
  <si>
    <t>Pina - 05</t>
  </si>
  <si>
    <t>Pesqueira - 03</t>
  </si>
  <si>
    <t>Pina - 06</t>
  </si>
  <si>
    <t>Riacho - 04</t>
  </si>
  <si>
    <t>Riacho - 02</t>
  </si>
  <si>
    <t>Pina - 07</t>
  </si>
  <si>
    <t>Riacho - 03</t>
  </si>
  <si>
    <t>Riacho - 01</t>
  </si>
  <si>
    <t>Pina - 03</t>
  </si>
  <si>
    <t>200B</t>
  </si>
  <si>
    <t>Ereu - 01</t>
  </si>
  <si>
    <t>200A</t>
  </si>
  <si>
    <t>Pina - 01</t>
  </si>
  <si>
    <t>Cachoeirinha - 02</t>
  </si>
  <si>
    <t>Cachoeirinha - 01</t>
  </si>
  <si>
    <t>8304 26</t>
  </si>
  <si>
    <t>Bezerros - 03</t>
  </si>
  <si>
    <t>8305 26</t>
  </si>
  <si>
    <t>Bezerros - 02</t>
  </si>
  <si>
    <t>8306 26</t>
  </si>
  <si>
    <t>Pina - 02</t>
  </si>
  <si>
    <t>8307 26</t>
  </si>
  <si>
    <t>8001 26</t>
  </si>
  <si>
    <t>Bezerros - 01</t>
  </si>
  <si>
    <t>8308 26</t>
  </si>
  <si>
    <t>8003 26</t>
  </si>
  <si>
    <t>8002 26</t>
  </si>
  <si>
    <t>8004 26</t>
  </si>
  <si>
    <t>8005 26</t>
  </si>
  <si>
    <t>Pina - 08</t>
  </si>
  <si>
    <t>8006 26</t>
  </si>
  <si>
    <t>800 SLOW CDP4 - MALE</t>
  </si>
  <si>
    <t>Inic. 17 Sem.</t>
  </si>
  <si>
    <t>Argentina</t>
  </si>
  <si>
    <t>Don Cristobal 01</t>
  </si>
  <si>
    <t>DKB White</t>
  </si>
  <si>
    <t>Don Cristobal _G1</t>
  </si>
  <si>
    <t>Don Cristobal 03</t>
  </si>
  <si>
    <t>Don Cristobal _G3</t>
  </si>
  <si>
    <t>Don Cristobal 04</t>
  </si>
  <si>
    <t>Don Cristobal _G4</t>
  </si>
  <si>
    <t>DKB Brown</t>
  </si>
  <si>
    <t>Don Cristobal 05</t>
  </si>
  <si>
    <t>Don Cristobal _G5</t>
  </si>
  <si>
    <t>Don Cristobal 06</t>
  </si>
  <si>
    <t>Don Cristobal _G6</t>
  </si>
  <si>
    <t>Nogoya 02 - G01</t>
  </si>
  <si>
    <t>Nogoya 01- G02</t>
  </si>
  <si>
    <t>Nogoya 02_G1</t>
  </si>
  <si>
    <t>Nogoya 01- G03</t>
  </si>
  <si>
    <t>Nogoya 02_G2</t>
  </si>
  <si>
    <t>Nogoya 01- G01</t>
  </si>
  <si>
    <t>Nogoya 01_G3</t>
  </si>
  <si>
    <t>Dom Cristobal  01- G02</t>
  </si>
  <si>
    <t>Dom Cristobal_G2</t>
  </si>
  <si>
    <t>Dom Cristobal 01 -G07</t>
  </si>
  <si>
    <t>Dom Cristobal_G7</t>
  </si>
  <si>
    <t>Dom Cristobal Rec -G01</t>
  </si>
  <si>
    <t>Dom Cristobal_G8</t>
  </si>
  <si>
    <t>Nogoya 01_G1</t>
  </si>
  <si>
    <t>Dom Cristobal_G5</t>
  </si>
  <si>
    <t>Nogoya 01_G2</t>
  </si>
  <si>
    <t>Cassilandia</t>
  </si>
  <si>
    <t>Produção</t>
  </si>
  <si>
    <t>602-25</t>
  </si>
  <si>
    <t>Araucaria</t>
  </si>
  <si>
    <t>Ovolandia</t>
  </si>
  <si>
    <t>603-25</t>
  </si>
  <si>
    <t>Santa Maria</t>
  </si>
  <si>
    <t>604-25</t>
  </si>
  <si>
    <t>Canela</t>
  </si>
  <si>
    <t>Pinheiro</t>
  </si>
  <si>
    <t>Gurucaia</t>
  </si>
  <si>
    <t>Shalon</t>
  </si>
  <si>
    <t>Dos Ipes</t>
  </si>
  <si>
    <t>Fukushima</t>
  </si>
  <si>
    <t>São pedro</t>
  </si>
  <si>
    <t>Fenato</t>
  </si>
  <si>
    <t>5002 26</t>
  </si>
  <si>
    <t>5003 26</t>
  </si>
  <si>
    <t>5004 26</t>
  </si>
  <si>
    <t>5005 26</t>
  </si>
  <si>
    <t>5006 26</t>
  </si>
  <si>
    <t>5007 26</t>
  </si>
  <si>
    <t>NOVA</t>
  </si>
  <si>
    <t>São Pedro</t>
  </si>
  <si>
    <t>5002 27</t>
  </si>
  <si>
    <t>5003 27</t>
  </si>
  <si>
    <t>5004 27</t>
  </si>
  <si>
    <t>5005 27</t>
  </si>
  <si>
    <t>5006 27</t>
  </si>
  <si>
    <t>5007 27</t>
  </si>
  <si>
    <t>5008 27</t>
  </si>
  <si>
    <t>Anos (Dt. Aloj.)</t>
  </si>
  <si>
    <t>Cassilândia</t>
  </si>
  <si>
    <t>703-24</t>
  </si>
  <si>
    <t>Cassilândia Rec. 01 - MS</t>
  </si>
  <si>
    <t>2º</t>
  </si>
  <si>
    <t>Cassilândia Prod. 02 - MS</t>
  </si>
  <si>
    <t>701-25</t>
  </si>
  <si>
    <t>Cassilândia Rec. 02 - MS</t>
  </si>
  <si>
    <t>Cassilândia Prod. 04 - MS</t>
  </si>
  <si>
    <t>702-25</t>
  </si>
  <si>
    <t>Cassilândia Prod. 01 - MS</t>
  </si>
  <si>
    <t>703-25</t>
  </si>
  <si>
    <t>Cassilândia Prod. 03 - MS</t>
  </si>
  <si>
    <t>704-25</t>
  </si>
  <si>
    <t>1º</t>
  </si>
  <si>
    <t>4000 26</t>
  </si>
  <si>
    <t>Cassilândia Rec. 04 - MS</t>
  </si>
  <si>
    <t>4300 26</t>
  </si>
  <si>
    <t>Cassilândia Prod. 07 - MS</t>
  </si>
  <si>
    <t>4001 26</t>
  </si>
  <si>
    <t>4301 26</t>
  </si>
  <si>
    <t>4002 26</t>
  </si>
  <si>
    <t>4302 26</t>
  </si>
  <si>
    <t>4003 26</t>
  </si>
  <si>
    <t>4303 26</t>
  </si>
  <si>
    <t>Cassilândia Prod. 08 - MS</t>
  </si>
  <si>
    <t>4004 26</t>
  </si>
  <si>
    <t>4304 26</t>
  </si>
  <si>
    <t>4005 26</t>
  </si>
  <si>
    <t>4300 27</t>
  </si>
  <si>
    <t>4006 26</t>
  </si>
  <si>
    <t>4301 27</t>
  </si>
  <si>
    <t>4001 27</t>
  </si>
  <si>
    <t>4302 27</t>
  </si>
  <si>
    <t>Valor Matriz</t>
  </si>
  <si>
    <t>Tranf. Sem.16</t>
  </si>
  <si>
    <t>Inic. 20 Sem.</t>
  </si>
  <si>
    <t>Plumagem</t>
  </si>
  <si>
    <t>496-24</t>
  </si>
  <si>
    <t>Rincão 713</t>
  </si>
  <si>
    <t>Dekalb White</t>
  </si>
  <si>
    <t>742-24</t>
  </si>
  <si>
    <t>Pixoxo</t>
  </si>
  <si>
    <t>497-24</t>
  </si>
  <si>
    <t>Rincão 714</t>
  </si>
  <si>
    <t>Dekalb Brown</t>
  </si>
  <si>
    <t>743-24</t>
  </si>
  <si>
    <t>498-24</t>
  </si>
  <si>
    <t>Rincão 719</t>
  </si>
  <si>
    <t>Hisex Brown</t>
  </si>
  <si>
    <t>772-24</t>
  </si>
  <si>
    <t>Barro Preto</t>
  </si>
  <si>
    <t>499-24</t>
  </si>
  <si>
    <t>Rincão 720</t>
  </si>
  <si>
    <t>Hisex White</t>
  </si>
  <si>
    <t>773-24</t>
  </si>
  <si>
    <t>500-24</t>
  </si>
  <si>
    <t>Rincão 718</t>
  </si>
  <si>
    <t>774-24</t>
  </si>
  <si>
    <t>501-24</t>
  </si>
  <si>
    <t>Rincão 717</t>
  </si>
  <si>
    <t>775-24</t>
  </si>
  <si>
    <t>502-24</t>
  </si>
  <si>
    <t>506-24</t>
  </si>
  <si>
    <t>Rincão 708</t>
  </si>
  <si>
    <t>777-24</t>
  </si>
  <si>
    <t>Fenix 01 - G02</t>
  </si>
  <si>
    <t>505-24</t>
  </si>
  <si>
    <t>Rincão 707</t>
  </si>
  <si>
    <t>778-24</t>
  </si>
  <si>
    <t>Fenix 01 - G03</t>
  </si>
  <si>
    <t>780-24</t>
  </si>
  <si>
    <t>504-24</t>
  </si>
  <si>
    <t>Rincão 706</t>
  </si>
  <si>
    <t>776-24</t>
  </si>
  <si>
    <t>503-24</t>
  </si>
  <si>
    <t>Rincão 705</t>
  </si>
  <si>
    <t>508-24</t>
  </si>
  <si>
    <t>Rincão 704</t>
  </si>
  <si>
    <t>779-24</t>
  </si>
  <si>
    <t>Fenix 01 - G01</t>
  </si>
  <si>
    <t xml:space="preserve">   02-25</t>
  </si>
  <si>
    <t>Pombos 02 / Pernanbuco</t>
  </si>
  <si>
    <t>890-24</t>
  </si>
  <si>
    <t>507-24</t>
  </si>
  <si>
    <t>Rincão 703</t>
  </si>
  <si>
    <t>748-24</t>
  </si>
  <si>
    <t>Fenix 02 - G01</t>
  </si>
  <si>
    <t>509-24</t>
  </si>
  <si>
    <t>Rincão 710</t>
  </si>
  <si>
    <t>749-24</t>
  </si>
  <si>
    <t>Fenix 02 - G02</t>
  </si>
  <si>
    <t>750-24</t>
  </si>
  <si>
    <t>Fenix 02 - G03</t>
  </si>
  <si>
    <t>514-24</t>
  </si>
  <si>
    <t>Parceria - Bollis</t>
  </si>
  <si>
    <t>492-25</t>
  </si>
  <si>
    <t>São Francisco - G01</t>
  </si>
  <si>
    <t>752-25</t>
  </si>
  <si>
    <t>Fenix 03 - G01</t>
  </si>
  <si>
    <t>493-25</t>
  </si>
  <si>
    <t>751-25</t>
  </si>
  <si>
    <t>494-25</t>
  </si>
  <si>
    <t>São Francisco - G02</t>
  </si>
  <si>
    <t>753-25</t>
  </si>
  <si>
    <t>Fenix 03 - G02</t>
  </si>
  <si>
    <t xml:space="preserve">  04-25</t>
  </si>
  <si>
    <t>Paulo de Deus 01</t>
  </si>
  <si>
    <t>891-25</t>
  </si>
  <si>
    <t>Paulo de Deus 01 - Campina Grande</t>
  </si>
  <si>
    <t xml:space="preserve">   03-25</t>
  </si>
  <si>
    <t>892-25</t>
  </si>
  <si>
    <t>515-24</t>
  </si>
  <si>
    <t>Parceria - Petacci</t>
  </si>
  <si>
    <t>510-24</t>
  </si>
  <si>
    <t>Santo Expedito - G 01</t>
  </si>
  <si>
    <t>754-25</t>
  </si>
  <si>
    <t>Estiva 01 - G01</t>
  </si>
  <si>
    <t>511-24</t>
  </si>
  <si>
    <t>Santo Expedito - G 02</t>
  </si>
  <si>
    <t>755-25</t>
  </si>
  <si>
    <t>Estiva 01 - G02</t>
  </si>
  <si>
    <t>512-24</t>
  </si>
  <si>
    <t>756-25</t>
  </si>
  <si>
    <t>441-25</t>
  </si>
  <si>
    <t>552-25</t>
  </si>
  <si>
    <t>Far West 2 - Butantan</t>
  </si>
  <si>
    <t>496-25</t>
  </si>
  <si>
    <t>Rincão 713 - ALA B</t>
  </si>
  <si>
    <t>784-25</t>
  </si>
  <si>
    <t>Santa Guiomar 635 - L A</t>
  </si>
  <si>
    <t>497-25</t>
  </si>
  <si>
    <t>Rincão 714 - ALA B</t>
  </si>
  <si>
    <t>785-25</t>
  </si>
  <si>
    <t>Santa Guiomar 635 - L B</t>
  </si>
  <si>
    <t>498-25</t>
  </si>
  <si>
    <t>Rincão 703/704 - ALA A</t>
  </si>
  <si>
    <t>786-25</t>
  </si>
  <si>
    <t>Santa Guiomar 635 - L C/D</t>
  </si>
  <si>
    <t>499-25</t>
  </si>
  <si>
    <t>Rincão 705/706 - ALA A</t>
  </si>
  <si>
    <t>787-25</t>
  </si>
  <si>
    <t>Santa Guiomar 634 - L A/B</t>
  </si>
  <si>
    <t>500-25</t>
  </si>
  <si>
    <t>Rincão 707/708 - ALA A</t>
  </si>
  <si>
    <t>788-25</t>
  </si>
  <si>
    <t>Santa Guiomar 634 - L C/D</t>
  </si>
  <si>
    <t>556-25</t>
  </si>
  <si>
    <t>Dourado - Butantan</t>
  </si>
  <si>
    <t>781-25</t>
  </si>
  <si>
    <t>São Francisco</t>
  </si>
  <si>
    <t>789-25</t>
  </si>
  <si>
    <t>Estiva 02 - G01 - LA</t>
  </si>
  <si>
    <t>782-25</t>
  </si>
  <si>
    <t>Estiva 02 - G01 - LB</t>
  </si>
  <si>
    <t xml:space="preserve">   01-25</t>
  </si>
  <si>
    <t>Paulo de Deus 02</t>
  </si>
  <si>
    <t>894-25</t>
  </si>
  <si>
    <t>Paulo de Deus 02 / Paraiba</t>
  </si>
  <si>
    <t xml:space="preserve">  02-25</t>
  </si>
  <si>
    <t>893-25</t>
  </si>
  <si>
    <t>783-25</t>
  </si>
  <si>
    <t>Matriz Caipira</t>
  </si>
  <si>
    <t>800 - 803/25</t>
  </si>
  <si>
    <t>796 - 799/25</t>
  </si>
  <si>
    <t>790-25</t>
  </si>
  <si>
    <t xml:space="preserve">Rincão 705 </t>
  </si>
  <si>
    <t>Castelo</t>
  </si>
  <si>
    <t>791-25</t>
  </si>
  <si>
    <t>Rincão 704/703</t>
  </si>
  <si>
    <t>792-25</t>
  </si>
  <si>
    <t>Rincão 706/707/708</t>
  </si>
  <si>
    <t>793-25</t>
  </si>
  <si>
    <t>Paineiras</t>
  </si>
  <si>
    <t>Rincão 711</t>
  </si>
  <si>
    <t>Bovans White</t>
  </si>
  <si>
    <t>Parceria - Mantiqueira</t>
  </si>
  <si>
    <t xml:space="preserve">  01-25</t>
  </si>
  <si>
    <t>Pombos 01 C / Pernanbuco</t>
  </si>
  <si>
    <t>895-25</t>
  </si>
  <si>
    <t>794-25</t>
  </si>
  <si>
    <t>517-25</t>
  </si>
  <si>
    <t>Rincão 709</t>
  </si>
  <si>
    <t>Parceria - Paludo</t>
  </si>
  <si>
    <t>795-25</t>
  </si>
  <si>
    <t xml:space="preserve">  03-25</t>
  </si>
  <si>
    <t>Pombos 01 A / Pernanbuco</t>
  </si>
  <si>
    <t>831-26</t>
  </si>
  <si>
    <t>Pombos 01 B / Pernanbuco</t>
  </si>
  <si>
    <t xml:space="preserve">  05-25</t>
  </si>
  <si>
    <t>832-26</t>
  </si>
  <si>
    <t xml:space="preserve">  06-25</t>
  </si>
  <si>
    <t>Pombos 03 - Grja Nova NE</t>
  </si>
  <si>
    <t>836-26</t>
  </si>
  <si>
    <t>Rincão - 717</t>
  </si>
  <si>
    <t>833-26</t>
  </si>
  <si>
    <t>Rincão 716</t>
  </si>
  <si>
    <t>834-26</t>
  </si>
  <si>
    <t>Rincão  - 715</t>
  </si>
  <si>
    <t>835-26</t>
  </si>
  <si>
    <t>800-26</t>
  </si>
  <si>
    <t>Rincão  - 705/706</t>
  </si>
  <si>
    <t>837-26</t>
  </si>
  <si>
    <t>Barro Preto - G02</t>
  </si>
  <si>
    <t>518-26</t>
  </si>
  <si>
    <t>Parceria Mantiqueira</t>
  </si>
  <si>
    <t>441-26</t>
  </si>
  <si>
    <t>Rincão 712 - ALA B</t>
  </si>
  <si>
    <t>551-26 / 552-26</t>
  </si>
  <si>
    <t>Far west 1 e 2 - Butantan</t>
  </si>
  <si>
    <t>801-26</t>
  </si>
  <si>
    <t>Rincão  -707/708</t>
  </si>
  <si>
    <t>838-26</t>
  </si>
  <si>
    <t>Barro Preto - G01</t>
  </si>
  <si>
    <t>802-26</t>
  </si>
  <si>
    <t>Rincão  - 703/704</t>
  </si>
  <si>
    <t>839-26</t>
  </si>
  <si>
    <t>Barro Preto - G03</t>
  </si>
  <si>
    <t>519-26</t>
  </si>
  <si>
    <t>803-26</t>
  </si>
  <si>
    <t>804-26</t>
  </si>
  <si>
    <t>805-26</t>
  </si>
  <si>
    <t>806-26</t>
  </si>
  <si>
    <t>Pombos 02 / Pernambuco</t>
  </si>
  <si>
    <t>442-26</t>
  </si>
  <si>
    <t>807-26</t>
  </si>
  <si>
    <t>Rincão  - 703/704/705</t>
  </si>
  <si>
    <t>Rincão  - 706/707/708</t>
  </si>
  <si>
    <t>808-26</t>
  </si>
  <si>
    <t>Pocinhos 1</t>
  </si>
  <si>
    <t>809-26</t>
  </si>
  <si>
    <t>Pocinhos 2</t>
  </si>
  <si>
    <t>Rincão  - 719</t>
  </si>
  <si>
    <t>Santa Guiomar 634 - L A</t>
  </si>
  <si>
    <t>Rincão  - 720</t>
  </si>
  <si>
    <t>Santa Guiomar 634 - L B</t>
  </si>
  <si>
    <t>Rincão  - 703/705</t>
  </si>
  <si>
    <t>Rincão  - 707</t>
  </si>
  <si>
    <t>Rincão  - 708</t>
  </si>
  <si>
    <t>Raca-F_M</t>
  </si>
  <si>
    <t>10_776</t>
  </si>
  <si>
    <t>(N3)</t>
  </si>
  <si>
    <t>84_162</t>
  </si>
  <si>
    <t>(N2)</t>
  </si>
  <si>
    <t>10_267</t>
  </si>
  <si>
    <t>ROSS AP95_344</t>
  </si>
  <si>
    <t>10_397</t>
  </si>
  <si>
    <t>112_67</t>
  </si>
  <si>
    <t>10_48</t>
  </si>
  <si>
    <t>10_369</t>
  </si>
  <si>
    <t>118_832</t>
  </si>
  <si>
    <t>117_202</t>
  </si>
  <si>
    <t>(N5)</t>
  </si>
  <si>
    <t>10_775</t>
  </si>
  <si>
    <t>10_858</t>
  </si>
  <si>
    <t>10_326</t>
  </si>
  <si>
    <t>10_179</t>
  </si>
  <si>
    <t/>
  </si>
  <si>
    <t>Bom Jesus - SC</t>
  </si>
  <si>
    <t>13_1080</t>
  </si>
  <si>
    <t>101_1079</t>
  </si>
  <si>
    <t>85_158</t>
  </si>
  <si>
    <t>27_181</t>
  </si>
  <si>
    <t>13_1458</t>
  </si>
  <si>
    <t>84_170</t>
  </si>
  <si>
    <t>123_1537</t>
  </si>
  <si>
    <t>10_140</t>
  </si>
  <si>
    <t>10_44</t>
  </si>
  <si>
    <t>10_180</t>
  </si>
  <si>
    <t>10_69</t>
  </si>
  <si>
    <t>117_219</t>
  </si>
  <si>
    <t>(N6)</t>
  </si>
  <si>
    <t>117_1531</t>
  </si>
  <si>
    <t>(N7)</t>
  </si>
  <si>
    <t>10_367</t>
  </si>
  <si>
    <t>10_1405</t>
  </si>
  <si>
    <t>10_327</t>
  </si>
  <si>
    <t>122_22</t>
  </si>
  <si>
    <t>10_149</t>
  </si>
  <si>
    <t>10_55</t>
  </si>
  <si>
    <t>90_861</t>
  </si>
  <si>
    <t>27_165</t>
  </si>
  <si>
    <t>17_107</t>
  </si>
  <si>
    <t>(N4)</t>
  </si>
  <si>
    <t>10_1535</t>
  </si>
  <si>
    <t>10_1182</t>
  </si>
  <si>
    <t>10_26</t>
  </si>
  <si>
    <t>10_1295</t>
  </si>
  <si>
    <t>118_863</t>
  </si>
  <si>
    <t>500 SLOW - MV</t>
  </si>
  <si>
    <t>10_18</t>
  </si>
  <si>
    <t>10_368</t>
  </si>
  <si>
    <t>117_139</t>
  </si>
  <si>
    <t>108_1387</t>
  </si>
  <si>
    <t>10_20</t>
  </si>
  <si>
    <t>10_52</t>
  </si>
  <si>
    <t>10_49</t>
  </si>
  <si>
    <t>123_1539</t>
  </si>
  <si>
    <t>128_1367</t>
  </si>
  <si>
    <t>123_1538</t>
  </si>
  <si>
    <t>603-23</t>
  </si>
  <si>
    <t>12_100</t>
  </si>
  <si>
    <t>620-24</t>
  </si>
  <si>
    <t>6_205</t>
  </si>
  <si>
    <t>604-23</t>
  </si>
  <si>
    <t>12_122</t>
  </si>
  <si>
    <t>621-24</t>
  </si>
  <si>
    <t>20_204</t>
  </si>
  <si>
    <t>605-23</t>
  </si>
  <si>
    <t>12_99</t>
  </si>
  <si>
    <t>622-24</t>
  </si>
  <si>
    <t>6_208</t>
  </si>
  <si>
    <t>N.S.A</t>
  </si>
  <si>
    <t>623-24</t>
  </si>
  <si>
    <t>19_362</t>
  </si>
  <si>
    <t>600-24</t>
  </si>
  <si>
    <t>12_98</t>
  </si>
  <si>
    <t>624-24</t>
  </si>
  <si>
    <t>21_207</t>
  </si>
  <si>
    <t>601-24</t>
  </si>
  <si>
    <t>625-24</t>
  </si>
  <si>
    <t>14_94</t>
  </si>
  <si>
    <t>602-24</t>
  </si>
  <si>
    <t>626-24</t>
  </si>
  <si>
    <t>18_95</t>
  </si>
  <si>
    <t>603-24</t>
  </si>
  <si>
    <t>627-24</t>
  </si>
  <si>
    <t>10_280</t>
  </si>
  <si>
    <t>604-24</t>
  </si>
  <si>
    <t>620-25</t>
  </si>
  <si>
    <t>11_134</t>
  </si>
  <si>
    <t>64-23</t>
  </si>
  <si>
    <t>18_473</t>
  </si>
  <si>
    <t>401-24</t>
  </si>
  <si>
    <t>39_464</t>
  </si>
  <si>
    <t>Betina - SP</t>
  </si>
  <si>
    <t>402-24</t>
  </si>
  <si>
    <t>22_494</t>
  </si>
  <si>
    <t>12-24</t>
  </si>
  <si>
    <t>130_451</t>
  </si>
  <si>
    <t>513-24</t>
  </si>
  <si>
    <t>81_826</t>
  </si>
  <si>
    <t>21-24</t>
  </si>
  <si>
    <t>10-115</t>
  </si>
  <si>
    <t>19_495</t>
  </si>
  <si>
    <t>403-24</t>
  </si>
  <si>
    <t>22_481</t>
  </si>
  <si>
    <t>87_855</t>
  </si>
  <si>
    <t>404-24</t>
  </si>
  <si>
    <t>39_479</t>
  </si>
  <si>
    <t>517-24</t>
  </si>
  <si>
    <t>87_853</t>
  </si>
  <si>
    <t>516-24</t>
  </si>
  <si>
    <t>87_854</t>
  </si>
  <si>
    <t>405-24</t>
  </si>
  <si>
    <t>501-25</t>
  </si>
  <si>
    <t>81_482</t>
  </si>
  <si>
    <t>502-25</t>
  </si>
  <si>
    <t>81_484</t>
  </si>
  <si>
    <t>406-24</t>
  </si>
  <si>
    <t>503-25</t>
  </si>
  <si>
    <t>81_483</t>
  </si>
  <si>
    <t>118_1081</t>
  </si>
  <si>
    <t>10_857</t>
  </si>
  <si>
    <t>26_166</t>
  </si>
  <si>
    <t>10_328</t>
  </si>
  <si>
    <t>89_864</t>
  </si>
  <si>
    <t>17_106</t>
  </si>
  <si>
    <t>93_261</t>
  </si>
  <si>
    <t>112_16</t>
  </si>
  <si>
    <t>117_88</t>
  </si>
  <si>
    <t>16_85</t>
  </si>
  <si>
    <t>119_153</t>
  </si>
  <si>
    <t>10_1938</t>
  </si>
  <si>
    <t>10_233</t>
  </si>
  <si>
    <t>13_2295</t>
  </si>
  <si>
    <t>95_102</t>
  </si>
  <si>
    <t>117_124</t>
  </si>
  <si>
    <t>105_30</t>
  </si>
  <si>
    <t>111_1534</t>
  </si>
  <si>
    <t>10_1250</t>
  </si>
  <si>
    <t>10_17</t>
  </si>
  <si>
    <t>10_34</t>
  </si>
  <si>
    <t>10_41</t>
  </si>
  <si>
    <t>119_154</t>
  </si>
  <si>
    <t>119_155</t>
  </si>
  <si>
    <t>Junção c/ Scaetano</t>
  </si>
  <si>
    <t xml:space="preserve"> </t>
  </si>
  <si>
    <t>17_104</t>
  </si>
  <si>
    <t>10_46</t>
  </si>
  <si>
    <t>10_274</t>
  </si>
  <si>
    <t>10_178</t>
  </si>
  <si>
    <t>10_177</t>
  </si>
  <si>
    <t>10_43</t>
  </si>
  <si>
    <t>10_31</t>
  </si>
  <si>
    <t>13_258</t>
  </si>
  <si>
    <t>10_1183</t>
  </si>
  <si>
    <t>10_1184</t>
  </si>
  <si>
    <t>504-25</t>
  </si>
  <si>
    <t>81_786</t>
  </si>
  <si>
    <t>57-24</t>
  </si>
  <si>
    <t>505-25</t>
  </si>
  <si>
    <t>81_785</t>
  </si>
  <si>
    <t>506-25</t>
  </si>
  <si>
    <t>92_961</t>
  </si>
  <si>
    <t>407-24</t>
  </si>
  <si>
    <t>507-25</t>
  </si>
  <si>
    <t>14_496</t>
  </si>
  <si>
    <t>508-25</t>
  </si>
  <si>
    <t>121_2237</t>
  </si>
  <si>
    <t>10_1459</t>
  </si>
  <si>
    <t>107_248</t>
  </si>
  <si>
    <t>123_1536</t>
  </si>
  <si>
    <t>10_204</t>
  </si>
  <si>
    <t>10_358</t>
  </si>
  <si>
    <t>119_156</t>
  </si>
  <si>
    <t>605-24</t>
  </si>
  <si>
    <t>621-25</t>
  </si>
  <si>
    <t>606-24</t>
  </si>
  <si>
    <t>622-25</t>
  </si>
  <si>
    <t>607-24</t>
  </si>
  <si>
    <t>624-25</t>
  </si>
  <si>
    <t>623-25</t>
  </si>
  <si>
    <t>600-25</t>
  </si>
  <si>
    <t>625-25</t>
  </si>
  <si>
    <t>601-25</t>
  </si>
  <si>
    <t>626-25</t>
  </si>
  <si>
    <t>Raça</t>
  </si>
  <si>
    <t>Formato de lote atual Pluma</t>
  </si>
  <si>
    <t>Novo formato de lote Agrosys</t>
  </si>
  <si>
    <t>Unidade </t>
  </si>
  <si>
    <t>Unidade_Senha</t>
  </si>
  <si>
    <t>PlumaGen</t>
  </si>
  <si>
    <t>800 25 ao 830 25</t>
  </si>
  <si>
    <t>831 25 ao 899 25</t>
  </si>
  <si>
    <t>Ross</t>
  </si>
  <si>
    <t>900 25 ao 930 25</t>
  </si>
  <si>
    <t>931 25 ao 999 25</t>
  </si>
  <si>
    <t>Cobb</t>
  </si>
  <si>
    <t>Pluma - PR+SC </t>
  </si>
  <si>
    <t>001-AA ao 099-AA</t>
  </si>
  <si>
    <t>100-AA ao 299-AA</t>
  </si>
  <si>
    <t>300-AA ao 399-AA</t>
  </si>
  <si>
    <t>Pluma PR+SC</t>
  </si>
  <si>
    <t>1000 25 ao 1299 25</t>
  </si>
  <si>
    <t>1300 25 ao 1999 25</t>
  </si>
  <si>
    <t>Pluma - SP</t>
  </si>
  <si>
    <t>400-AA ao 499-AA</t>
  </si>
  <si>
    <t>500-AA ao 599-AA</t>
  </si>
  <si>
    <t>600-AA ao 699-AA</t>
  </si>
  <si>
    <t>Pluma SP</t>
  </si>
  <si>
    <t>2000 25 ao 2299 25</t>
  </si>
  <si>
    <t>2300 25 ao 2999 25</t>
  </si>
  <si>
    <t>800-AA ao 850-AA</t>
  </si>
  <si>
    <t>851-AA ao 900-AA</t>
  </si>
  <si>
    <t>901-AA ao 999-AA</t>
  </si>
  <si>
    <t>Pluma DF</t>
  </si>
  <si>
    <t>3000 25 ao 3299 25</t>
  </si>
  <si>
    <t>3300 25 ao 3999 25</t>
  </si>
  <si>
    <t>700-AA ao 799-AA</t>
  </si>
  <si>
    <t>4000 25 ao 4299 25</t>
  </si>
  <si>
    <t>4300 25 ao 4999 25</t>
  </si>
  <si>
    <t>600-AA ao 619-AA</t>
  </si>
  <si>
    <t>620-AA ao 659-AA</t>
  </si>
  <si>
    <t>650-AA ao 699-AA</t>
  </si>
  <si>
    <t>5000 25 ao 5299 25</t>
  </si>
  <si>
    <t>5300 25 ao 5999 25</t>
  </si>
  <si>
    <t>Pluma - Mineiros GO</t>
  </si>
  <si>
    <t>Pluma MI</t>
  </si>
  <si>
    <t>6000 25 ao 6299 25</t>
  </si>
  <si>
    <t>6300 25 ao 6999 25</t>
  </si>
  <si>
    <t>800 SLOW CDP4 - MX</t>
  </si>
  <si>
    <t>Pluma - Campo Verde MT</t>
  </si>
  <si>
    <t>Pluma CV</t>
  </si>
  <si>
    <t>7000 25 ao 7299 25</t>
  </si>
  <si>
    <t>7300 25 ao 7999 25</t>
  </si>
  <si>
    <t>Pluma - G3</t>
  </si>
  <si>
    <t>8000 25 ao 8299 25</t>
  </si>
  <si>
    <t>8300 25 ao 8999 25</t>
  </si>
  <si>
    <t>800 SLOW CDP5 - MALE</t>
  </si>
  <si>
    <t>Empresa</t>
  </si>
  <si>
    <t>Qtd. Aloj.</t>
  </si>
  <si>
    <t>Qtd. Tranf.</t>
  </si>
  <si>
    <t>Nº NÚCLEOS</t>
  </si>
  <si>
    <t>Soma de Qtd</t>
  </si>
  <si>
    <t>Pluma - SC</t>
  </si>
  <si>
    <t>Unidade</t>
  </si>
  <si>
    <t>Fase</t>
  </si>
  <si>
    <t>Qtd</t>
  </si>
  <si>
    <t>Emp+CC</t>
  </si>
  <si>
    <t>CC</t>
  </si>
  <si>
    <t>Granja Produção</t>
  </si>
  <si>
    <t>CC Agrosys</t>
  </si>
  <si>
    <t> 5012</t>
  </si>
  <si>
    <t> 5058</t>
  </si>
  <si>
    <t> 5078</t>
  </si>
  <si>
    <t>139_49</t>
  </si>
  <si>
    <t>17_105</t>
  </si>
  <si>
    <t> 5079</t>
  </si>
  <si>
    <t>139_149</t>
  </si>
  <si>
    <t> 5080</t>
  </si>
  <si>
    <t> 5081</t>
  </si>
  <si>
    <t>96_1029</t>
  </si>
  <si>
    <t> 5092</t>
  </si>
  <si>
    <t> 5014</t>
  </si>
  <si>
    <t> 5028</t>
  </si>
  <si>
    <t> 5029</t>
  </si>
  <si>
    <t>117_157</t>
  </si>
  <si>
    <t> 5034</t>
  </si>
  <si>
    <t> 5038</t>
  </si>
  <si>
    <t> 5040</t>
  </si>
  <si>
    <t>10_1027</t>
  </si>
  <si>
    <t> 5059</t>
  </si>
  <si>
    <t> 5015</t>
  </si>
  <si>
    <t>10_860</t>
  </si>
  <si>
    <t> 5055</t>
  </si>
  <si>
    <t>112_1939</t>
  </si>
  <si>
    <t>10_1296</t>
  </si>
  <si>
    <t> 5063 - 5118</t>
  </si>
  <si>
    <t>112_2399</t>
  </si>
  <si>
    <t> 5066 - 5185</t>
  </si>
  <si>
    <t>112_2401</t>
  </si>
  <si>
    <t> 5041</t>
  </si>
  <si>
    <t> 5091</t>
  </si>
  <si>
    <t> 5026</t>
  </si>
  <si>
    <t>10_330</t>
  </si>
  <si>
    <t> 5044</t>
  </si>
  <si>
    <t> 5035</t>
  </si>
  <si>
    <t> 5036</t>
  </si>
  <si>
    <t>138_26</t>
  </si>
  <si>
    <t> 5016</t>
  </si>
  <si>
    <t>84_159</t>
  </si>
  <si>
    <t> 5085</t>
  </si>
  <si>
    <t> 5086</t>
  </si>
  <si>
    <t> 5087</t>
  </si>
  <si>
    <t>252000</t>
  </si>
  <si>
    <t> 5065</t>
  </si>
  <si>
    <t> 5027</t>
  </si>
  <si>
    <t> 5062</t>
  </si>
  <si>
    <t>10_859</t>
  </si>
  <si>
    <t> 5054</t>
  </si>
  <si>
    <t>10_1940</t>
  </si>
  <si>
    <t>10_1460</t>
  </si>
  <si>
    <t> 5067</t>
  </si>
  <si>
    <t>10_1941</t>
  </si>
  <si>
    <t> 5046</t>
  </si>
  <si>
    <t>10_2384</t>
  </si>
  <si>
    <t> 5069</t>
  </si>
  <si>
    <t>135_2389</t>
  </si>
  <si>
    <t> 5095</t>
  </si>
  <si>
    <t>135_2402</t>
  </si>
  <si>
    <t> 5017</t>
  </si>
  <si>
    <t>10_856</t>
  </si>
  <si>
    <t> 5052</t>
  </si>
  <si>
    <t> 5039</t>
  </si>
  <si>
    <t> 5025</t>
  </si>
  <si>
    <t> 5061</t>
  </si>
  <si>
    <t> 5070</t>
  </si>
  <si>
    <t>29_2238</t>
  </si>
  <si>
    <t> 5071</t>
  </si>
  <si>
    <t>225_3001</t>
  </si>
  <si>
    <t> 5072</t>
  </si>
  <si>
    <t>225_3002</t>
  </si>
  <si>
    <t> 5073</t>
  </si>
  <si>
    <t>225_3003</t>
  </si>
  <si>
    <t> 5089</t>
  </si>
  <si>
    <t>222_3004</t>
  </si>
  <si>
    <t>25_53</t>
  </si>
  <si>
    <t> 5082</t>
  </si>
  <si>
    <t>222_3005</t>
  </si>
  <si>
    <t>36000</t>
  </si>
  <si>
    <t>229_3006</t>
  </si>
  <si>
    <t> 5049</t>
  </si>
  <si>
    <t>221_3008</t>
  </si>
  <si>
    <t>12000</t>
  </si>
  <si>
    <t>10_734</t>
  </si>
  <si>
    <t>221_3009</t>
  </si>
  <si>
    <t>102_351</t>
  </si>
  <si>
    <t>221_3010</t>
  </si>
  <si>
    <t> 5068</t>
  </si>
  <si>
    <t>227_3015</t>
  </si>
  <si>
    <t>10_735</t>
  </si>
  <si>
    <t>227_3016</t>
  </si>
  <si>
    <t> 5018</t>
  </si>
  <si>
    <t>227_3017</t>
  </si>
  <si>
    <t>93000</t>
  </si>
  <si>
    <t> 5042</t>
  </si>
  <si>
    <t>227_3018</t>
  </si>
  <si>
    <t> 5093</t>
  </si>
  <si>
    <t>227_3019</t>
  </si>
  <si>
    <t> 5094</t>
  </si>
  <si>
    <t>227_3020</t>
  </si>
  <si>
    <t>5075 - 5119</t>
  </si>
  <si>
    <t>227_3021</t>
  </si>
  <si>
    <t> 5056</t>
  </si>
  <si>
    <t>(N8)</t>
  </si>
  <si>
    <t>227_3022</t>
  </si>
  <si>
    <t> 5057</t>
  </si>
  <si>
    <t>(N1-2)</t>
  </si>
  <si>
    <t>220_3011</t>
  </si>
  <si>
    <t> 5060</t>
  </si>
  <si>
    <t>(N3-4)</t>
  </si>
  <si>
    <t>220_3012</t>
  </si>
  <si>
    <t>10_329</t>
  </si>
  <si>
    <t> 5043</t>
  </si>
  <si>
    <t>(N5-6)</t>
  </si>
  <si>
    <t>220_3013</t>
  </si>
  <si>
    <t> 5047</t>
  </si>
  <si>
    <t>(N7-8)</t>
  </si>
  <si>
    <t>220_3014</t>
  </si>
  <si>
    <t> 5090</t>
  </si>
  <si>
    <t> 5064</t>
  </si>
  <si>
    <t> 5083</t>
  </si>
  <si>
    <t>26_167</t>
  </si>
  <si>
    <t> 5084</t>
  </si>
  <si>
    <t> 5023</t>
  </si>
  <si>
    <t>Pluma - MI</t>
  </si>
  <si>
    <t>132_2414</t>
  </si>
  <si>
    <t> 5053</t>
  </si>
  <si>
    <t>132_2415</t>
  </si>
  <si>
    <t> 5019</t>
  </si>
  <si>
    <t>Pluma - CV</t>
  </si>
  <si>
    <t>136_2441</t>
  </si>
  <si>
    <t> 5030</t>
  </si>
  <si>
    <t>136_2442</t>
  </si>
  <si>
    <t> 5020</t>
  </si>
  <si>
    <t>136_2443</t>
  </si>
  <si>
    <t> 5031</t>
  </si>
  <si>
    <t>136_2444</t>
  </si>
  <si>
    <t> 5033</t>
  </si>
  <si>
    <t>70_952</t>
  </si>
  <si>
    <t> 5021</t>
  </si>
  <si>
    <t>70_953</t>
  </si>
  <si>
    <t>70_1360</t>
  </si>
  <si>
    <t> 5024</t>
  </si>
  <si>
    <t>70_1164</t>
  </si>
  <si>
    <t>120_45</t>
  </si>
  <si>
    <t> 5022</t>
  </si>
  <si>
    <t>70_1165</t>
  </si>
  <si>
    <t>11_150</t>
  </si>
  <si>
    <t> 5074</t>
  </si>
  <si>
    <t>70_1166</t>
  </si>
  <si>
    <t> 5077</t>
  </si>
  <si>
    <t>70_1193</t>
  </si>
  <si>
    <t> 5045</t>
  </si>
  <si>
    <t>70_1194</t>
  </si>
  <si>
    <t> 5088</t>
  </si>
  <si>
    <t>70_1195</t>
  </si>
  <si>
    <t> 5096</t>
  </si>
  <si>
    <t>40_412</t>
  </si>
  <si>
    <t> 5191</t>
  </si>
  <si>
    <t>40_403</t>
  </si>
  <si>
    <t>116_2297</t>
  </si>
  <si>
    <t> 5176</t>
  </si>
  <si>
    <t>Cassilândia Rec. 03 - MS</t>
  </si>
  <si>
    <t>44_3267</t>
  </si>
  <si>
    <t>116_2296</t>
  </si>
  <si>
    <t>10_2382</t>
  </si>
  <si>
    <t> 5178</t>
  </si>
  <si>
    <t>10_2383</t>
  </si>
  <si>
    <t> 5179</t>
  </si>
  <si>
    <t>10_2385</t>
  </si>
  <si>
    <t> 5186</t>
  </si>
  <si>
    <t>10_2386</t>
  </si>
  <si>
    <t> 5187</t>
  </si>
  <si>
    <t>10_2387</t>
  </si>
  <si>
    <t> 5188</t>
  </si>
  <si>
    <t>10_2388</t>
  </si>
  <si>
    <t> 5189</t>
  </si>
  <si>
    <t>135_2390</t>
  </si>
  <si>
    <t> 5180</t>
  </si>
  <si>
    <t>135_2391</t>
  </si>
  <si>
    <t> 5181</t>
  </si>
  <si>
    <t>10</t>
  </si>
  <si>
    <t> 5182</t>
  </si>
  <si>
    <t> 5183</t>
  </si>
  <si>
    <t> 5102</t>
  </si>
  <si>
    <t> 5105</t>
  </si>
  <si>
    <t>18_476</t>
  </si>
  <si>
    <t> 5103</t>
  </si>
  <si>
    <t> 5104</t>
  </si>
  <si>
    <t> 5109</t>
  </si>
  <si>
    <t> 5110</t>
  </si>
  <si>
    <t> 5111</t>
  </si>
  <si>
    <t> 5112</t>
  </si>
  <si>
    <t> 5113</t>
  </si>
  <si>
    <t> 5114</t>
  </si>
  <si>
    <t> 5116</t>
  </si>
  <si>
    <t> 5117</t>
  </si>
  <si>
    <t> 5118</t>
  </si>
  <si>
    <t>Morro Agudo - SP</t>
  </si>
  <si>
    <t> 5120</t>
  </si>
  <si>
    <t> 5101</t>
  </si>
  <si>
    <t> 5168</t>
  </si>
  <si>
    <t>126_2244</t>
  </si>
  <si>
    <t>125_2245</t>
  </si>
  <si>
    <t> 5202</t>
  </si>
  <si>
    <t>São Gabriel - SP</t>
  </si>
  <si>
    <t>127_2243</t>
  </si>
  <si>
    <t> 5171</t>
  </si>
  <si>
    <t>225_3023</t>
  </si>
  <si>
    <t>225_3024</t>
  </si>
  <si>
    <t>225_3025</t>
  </si>
  <si>
    <t>222_3026</t>
  </si>
  <si>
    <t>222_3027</t>
  </si>
  <si>
    <t>229_3028</t>
  </si>
  <si>
    <t>221_3030</t>
  </si>
  <si>
    <t>221_3031</t>
  </si>
  <si>
    <t>221_3032</t>
  </si>
  <si>
    <t>227_3037</t>
  </si>
  <si>
    <t>227_3038</t>
  </si>
  <si>
    <t>227_3039</t>
  </si>
  <si>
    <t>227_3040</t>
  </si>
  <si>
    <t>227_3041</t>
  </si>
  <si>
    <t>227_3042</t>
  </si>
  <si>
    <t>227_3043</t>
  </si>
  <si>
    <t>227_3044</t>
  </si>
  <si>
    <t>220_3033</t>
  </si>
  <si>
    <t>220_3034</t>
  </si>
  <si>
    <t>220_3035</t>
  </si>
  <si>
    <t>220_3036</t>
  </si>
  <si>
    <t> 5703</t>
  </si>
  <si>
    <t> 5708</t>
  </si>
  <si>
    <t>25000</t>
  </si>
  <si>
    <t> 5704</t>
  </si>
  <si>
    <t> 5705</t>
  </si>
  <si>
    <t> 5700</t>
  </si>
  <si>
    <t> 5701</t>
  </si>
  <si>
    <t> 5707</t>
  </si>
  <si>
    <t> 5702</t>
  </si>
  <si>
    <t>134_2416</t>
  </si>
  <si>
    <t> 5173</t>
  </si>
  <si>
    <t>Pedro 2 - GO</t>
  </si>
  <si>
    <t>134_2417</t>
  </si>
  <si>
    <t> 5216</t>
  </si>
  <si>
    <t>133_2418</t>
  </si>
  <si>
    <t> 5200</t>
  </si>
  <si>
    <t>Luciara 2 - GO</t>
  </si>
  <si>
    <t>133_2419</t>
  </si>
  <si>
    <t> 5201</t>
  </si>
  <si>
    <t>140_2420</t>
  </si>
  <si>
    <t> 5217</t>
  </si>
  <si>
    <t>140_2421</t>
  </si>
  <si>
    <t> 5218</t>
  </si>
  <si>
    <t>Deosdedethi 03 - GO</t>
  </si>
  <si>
    <t>140_2422</t>
  </si>
  <si>
    <t> 5219</t>
  </si>
  <si>
    <t>Deosdedethi 04 - GO</t>
  </si>
  <si>
    <t>140_2423</t>
  </si>
  <si>
    <t> 5220</t>
  </si>
  <si>
    <t>136_2445</t>
  </si>
  <si>
    <t> 5206</t>
  </si>
  <si>
    <t>136_2446</t>
  </si>
  <si>
    <t> 5207</t>
  </si>
  <si>
    <t>136_2447</t>
  </si>
  <si>
    <t> 5208</t>
  </si>
  <si>
    <t>136_2448</t>
  </si>
  <si>
    <t> 5209</t>
  </si>
  <si>
    <t>136_2449</t>
  </si>
  <si>
    <t> 5221</t>
  </si>
  <si>
    <t>136_2450</t>
  </si>
  <si>
    <t> 5222</t>
  </si>
  <si>
    <t>136_2451</t>
  </si>
  <si>
    <t> 5223</t>
  </si>
  <si>
    <t>136_2452</t>
  </si>
  <si>
    <t> 5224</t>
  </si>
  <si>
    <t>70_765</t>
  </si>
  <si>
    <t> 5126</t>
  </si>
  <si>
    <t>72_750</t>
  </si>
  <si>
    <t> 5198</t>
  </si>
  <si>
    <t>72_759</t>
  </si>
  <si>
    <t> 5139</t>
  </si>
  <si>
    <t>70_747</t>
  </si>
  <si>
    <t> 5125</t>
  </si>
  <si>
    <t>Granja Santa Cruz (SC-01)</t>
  </si>
  <si>
    <t>70_3282</t>
  </si>
  <si>
    <t> 5196</t>
  </si>
  <si>
    <t>Granja Santa Cruz (SC-02)</t>
  </si>
  <si>
    <t>70_3283</t>
  </si>
  <si>
    <t> 5197</t>
  </si>
  <si>
    <t>72_744</t>
  </si>
  <si>
    <t> 5122</t>
  </si>
  <si>
    <t>72_745</t>
  </si>
  <si>
    <t> 5123</t>
  </si>
  <si>
    <t>70_769</t>
  </si>
  <si>
    <t> 5145</t>
  </si>
  <si>
    <t>70_1646</t>
  </si>
  <si>
    <t> 5149</t>
  </si>
  <si>
    <t>70_1647</t>
  </si>
  <si>
    <t> 5150</t>
  </si>
  <si>
    <t>72_753</t>
  </si>
  <si>
    <t> 5133</t>
  </si>
  <si>
    <t>72_754</t>
  </si>
  <si>
    <t> 5134</t>
  </si>
  <si>
    <t>72_748</t>
  </si>
  <si>
    <t> 5199</t>
  </si>
  <si>
    <t>70_746</t>
  </si>
  <si>
    <t> 5193</t>
  </si>
  <si>
    <t>72_757</t>
  </si>
  <si>
    <t> 5137</t>
  </si>
  <si>
    <t>70_758</t>
  </si>
  <si>
    <t> 5138</t>
  </si>
  <si>
    <t>70_764</t>
  </si>
  <si>
    <t> 5141</t>
  </si>
  <si>
    <t>70_766</t>
  </si>
  <si>
    <t> 5142</t>
  </si>
  <si>
    <t>72_767</t>
  </si>
  <si>
    <t> 5143</t>
  </si>
  <si>
    <t>70_768</t>
  </si>
  <si>
    <t> 5144</t>
  </si>
  <si>
    <t>Planaltina 01</t>
  </si>
  <si>
    <t>94_1382</t>
  </si>
  <si>
    <t> 5152</t>
  </si>
  <si>
    <t>Planaltina 02</t>
  </si>
  <si>
    <t>94_1383</t>
  </si>
  <si>
    <t> 5153</t>
  </si>
  <si>
    <t>Planaltina 03</t>
  </si>
  <si>
    <t>94_1384</t>
  </si>
  <si>
    <t> 5154</t>
  </si>
  <si>
    <t>Planaltina 04</t>
  </si>
  <si>
    <t>94_1385</t>
  </si>
  <si>
    <t> 5155</t>
  </si>
  <si>
    <t>Planaltina 05</t>
  </si>
  <si>
    <t>94_1450</t>
  </si>
  <si>
    <t> 5156</t>
  </si>
  <si>
    <t>Planaltina 06</t>
  </si>
  <si>
    <t>94_634</t>
  </si>
  <si>
    <t> 5127</t>
  </si>
  <si>
    <t>Planaltina 07</t>
  </si>
  <si>
    <t>94_635</t>
  </si>
  <si>
    <t> 5128</t>
  </si>
  <si>
    <t>72_763</t>
  </si>
  <si>
    <t> 5140</t>
  </si>
  <si>
    <t>72_749</t>
  </si>
  <si>
    <t> 5131</t>
  </si>
  <si>
    <t>72_1344</t>
  </si>
  <si>
    <t> 5157</t>
  </si>
  <si>
    <t>110_1677</t>
  </si>
  <si>
    <t> 5151</t>
  </si>
  <si>
    <t>104_1232</t>
  </si>
  <si>
    <t> 5148</t>
  </si>
  <si>
    <t>CASSILANDIA PROD 1</t>
  </si>
  <si>
    <t>40_410</t>
  </si>
  <si>
    <t> 5450</t>
  </si>
  <si>
    <t>CASSILANDIA PROD 2</t>
  </si>
  <si>
    <t>40_411</t>
  </si>
  <si>
    <t> 5451</t>
  </si>
  <si>
    <t>CASSILANDIA PROD 3</t>
  </si>
  <si>
    <t>40_404</t>
  </si>
  <si>
    <t> 5452</t>
  </si>
  <si>
    <t>CASSILANDIA PROD 4</t>
  </si>
  <si>
    <t>40_402</t>
  </si>
  <si>
    <t> 5453</t>
  </si>
  <si>
    <t>CASSILANDIA PROD 7</t>
  </si>
  <si>
    <t>44_3268</t>
  </si>
  <si>
    <t> 5454</t>
  </si>
  <si>
    <t>CASSILANDIA PROD 8</t>
  </si>
  <si>
    <t>44_3269</t>
  </si>
  <si>
    <t> 5455</t>
  </si>
  <si>
    <t>Granjas Novas</t>
  </si>
  <si>
    <t>Data Base</t>
  </si>
  <si>
    <t>Dt Prev 1</t>
  </si>
  <si>
    <t>Dt Prev 2</t>
  </si>
  <si>
    <t>Dt Prev 3</t>
  </si>
  <si>
    <t>Dt Prev 4</t>
  </si>
  <si>
    <t>Dt Prev 5</t>
  </si>
  <si>
    <t>Data Real</t>
  </si>
  <si>
    <t>Descvio</t>
  </si>
  <si>
    <t>Produção I</t>
  </si>
  <si>
    <t>Produção II</t>
  </si>
  <si>
    <t>1ª Lote Previsto</t>
  </si>
  <si>
    <t>2ª Lote Previsto</t>
  </si>
  <si>
    <t>Romias - Aliança - PR</t>
  </si>
  <si>
    <t>-</t>
  </si>
  <si>
    <t>Darlan - Uberaba - PR</t>
  </si>
  <si>
    <t>Cafezal Rec 1</t>
  </si>
  <si>
    <t>31/06/26</t>
  </si>
  <si>
    <t>Cafezal Rec 2</t>
  </si>
  <si>
    <t>Bassegio Rec. 01</t>
  </si>
  <si>
    <t>Prod. 1/2</t>
  </si>
  <si>
    <t>Bassegio Rec. 02</t>
  </si>
  <si>
    <t>Prod. 3/4</t>
  </si>
  <si>
    <t>CV Rec 1</t>
  </si>
  <si>
    <t>CV Prod 1</t>
  </si>
  <si>
    <t>CV Rec 2</t>
  </si>
  <si>
    <t>CV Prod 2</t>
  </si>
  <si>
    <t>CV Rec 3</t>
  </si>
  <si>
    <t>CV Rec 4</t>
  </si>
  <si>
    <t>Pluma 7 - PR</t>
  </si>
  <si>
    <t>Não Aconteceu</t>
  </si>
  <si>
    <t>Arealva - SP</t>
  </si>
  <si>
    <t>Refem 01 - PR</t>
  </si>
  <si>
    <t>2 Produção de 72.000 cada</t>
  </si>
  <si>
    <t>Refem 02 - PR</t>
  </si>
  <si>
    <t>Granja</t>
  </si>
  <si>
    <t>Data</t>
  </si>
  <si>
    <t>Fêmeas</t>
  </si>
  <si>
    <t>Macho</t>
  </si>
  <si>
    <t>%</t>
  </si>
  <si>
    <t>Destino</t>
  </si>
  <si>
    <t>Extra</t>
  </si>
  <si>
    <t>São Pedro - PR / Ouro Verde</t>
  </si>
  <si>
    <t>Uberaba Rec. 1 - PR</t>
  </si>
  <si>
    <t xml:space="preserve">Estiva 02 - G01 - LA </t>
  </si>
  <si>
    <t>817-26</t>
  </si>
  <si>
    <t>816-26</t>
  </si>
  <si>
    <t>812-26</t>
  </si>
  <si>
    <t>Rincão  - 717</t>
  </si>
  <si>
    <t>815-26</t>
  </si>
  <si>
    <t>813-26</t>
  </si>
  <si>
    <t>814-26</t>
  </si>
  <si>
    <t>Rincão  - 718</t>
  </si>
  <si>
    <t>Rincão  - 709</t>
  </si>
  <si>
    <t>Paulo de Deus 02 - Soledade</t>
  </si>
  <si>
    <t>Rincão</t>
  </si>
  <si>
    <t xml:space="preserve">Pombos 03 </t>
  </si>
  <si>
    <t>Pombos 03</t>
  </si>
  <si>
    <t>Estiva 02 - G01 - LA/LB</t>
  </si>
  <si>
    <t>Pombos 02</t>
  </si>
  <si>
    <t>Pocinhos 1 - G1</t>
  </si>
  <si>
    <t>Pocinhos 1 - G2</t>
  </si>
  <si>
    <t>Pocinhos 2 - G3</t>
  </si>
  <si>
    <t>Pocinhos 2 - G4</t>
  </si>
  <si>
    <t>840-26</t>
  </si>
  <si>
    <t>841-26</t>
  </si>
  <si>
    <t>842-26</t>
  </si>
  <si>
    <t>843-26</t>
  </si>
  <si>
    <t>556-26</t>
  </si>
  <si>
    <t>844-26</t>
  </si>
  <si>
    <t>Rincão - 711</t>
  </si>
  <si>
    <t>Rincão  - 710</t>
  </si>
  <si>
    <t>Rincão  - 713</t>
  </si>
  <si>
    <t>Rincão  - 714</t>
  </si>
  <si>
    <t>520-26</t>
  </si>
  <si>
    <t>Rincão - 712</t>
  </si>
  <si>
    <t>151040 Cancelado - situação de mercado</t>
  </si>
  <si>
    <t>sdfgsd</t>
  </si>
  <si>
    <t>2027 - 100% PLUSVAL COBB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</si>
</sst>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"/>
    <numFmt numFmtId="165" formatCode="dd/mm/yyyy\ ddd"/>
    <numFmt numFmtId="166" formatCode="d/m/yy"/>
    <numFmt numFmtId="167" formatCode="dd/mm/yyyy;@"/>
    <numFmt numFmtId="168" formatCode="0000\ 00"/>
    <numFmt numFmtId="169" formatCode="dd/mm/yy;@"/>
    <numFmt numFmtId="170" formatCode="0\º"/>
    <numFmt numFmtId="171" formatCode="_-[$R$-416]\ * #,##0.00_-;\-[$R$-416]\ * #,##0.00_-;_-[$R$-416]\ * &quot;-&quot;??_-;_-@_-"/>
  </numFmts>
  <fonts count="105">
    <font>
      <sz val="10"/>
      <color rgb="FF000000"/>
      <name val="Open Sans"/>
      <scheme val="minor"/>
    </font>
    <font>
      <sz val="12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2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0"/>
      <color theme="1"/>
      <name val="Open Sans"/>
      <family val="2"/>
      <scheme val="minor"/>
    </font>
    <font>
      <sz val="10"/>
      <name val="MS Sans Serif"/>
    </font>
    <font>
      <sz val="11"/>
      <color theme="1"/>
      <name val="Open Sans"/>
      <family val="2"/>
      <scheme val="minor"/>
    </font>
    <font>
      <sz val="12"/>
      <color theme="1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12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0"/>
      <name val="Arial"/>
      <family val="2"/>
    </font>
    <font>
      <sz val="8"/>
      <name val="Open Sans"/>
      <family val="2"/>
      <scheme val="minor"/>
    </font>
    <font>
      <sz val="10"/>
      <color rgb="FF000000"/>
      <name val="Open Sans"/>
      <family val="2"/>
      <scheme val="minor"/>
    </font>
    <font>
      <sz val="12"/>
      <name val="Arial"/>
      <family val="2"/>
    </font>
    <font>
      <sz val="11"/>
      <color rgb="FF006100"/>
      <name val="Open Sans"/>
      <family val="2"/>
      <scheme val="minor"/>
    </font>
    <font>
      <sz val="10"/>
      <color rgb="FF000000"/>
      <name val="Open Sans"/>
      <family val="2"/>
      <scheme val="minor"/>
    </font>
    <font>
      <sz val="11"/>
      <color rgb="FF9C0006"/>
      <name val="Open Sans"/>
      <family val="2"/>
      <scheme val="minor"/>
    </font>
    <font>
      <sz val="8"/>
      <name val="Open Sans"/>
      <family val="2"/>
      <scheme val="minor"/>
    </font>
    <font>
      <sz val="12"/>
      <color rgb="FF000000"/>
      <name val="Arial"/>
      <family val="2"/>
    </font>
    <font>
      <sz val="12"/>
      <color rgb="FF000000"/>
      <name val="Open Sans"/>
      <family val="2"/>
      <scheme val="minor"/>
    </font>
    <font>
      <sz val="14"/>
      <color rgb="FF000000"/>
      <name val="Open Sans"/>
      <family val="2"/>
      <scheme val="minor"/>
    </font>
    <font>
      <sz val="11"/>
      <color rgb="FF000000"/>
      <name val="Calibri"/>
      <family val="2"/>
    </font>
    <font>
      <sz val="10"/>
      <color rgb="FF000000"/>
      <name val="Open Sans"/>
      <family val="2"/>
      <scheme val="minor"/>
    </font>
    <font>
      <b/>
      <sz val="11"/>
      <color theme="1"/>
      <name val="Open Sans"/>
      <family val="2"/>
      <scheme val="minor"/>
    </font>
    <font>
      <sz val="10"/>
      <color rgb="FF000000"/>
      <name val="Open Sans"/>
      <family val="2"/>
      <scheme val="minor"/>
    </font>
    <font>
      <sz val="10"/>
      <color theme="0"/>
      <name val="Open Sans"/>
      <family val="2"/>
      <scheme val="minor"/>
    </font>
    <font>
      <sz val="11"/>
      <name val="Open Sans"/>
      <family val="2"/>
      <scheme val="minor"/>
    </font>
    <font>
      <sz val="14"/>
      <name val="Arial"/>
      <family val="2"/>
    </font>
    <font>
      <sz val="10"/>
      <name val="Open Sans"/>
      <family val="2"/>
      <scheme val="minor"/>
    </font>
    <font>
      <b/>
      <sz val="12"/>
      <color rgb="FF174E86"/>
      <name val="Arial"/>
      <family val="2"/>
    </font>
    <font>
      <b/>
      <sz val="12"/>
      <color rgb="FF174E86"/>
      <name val="Inherit"/>
    </font>
    <font>
      <b/>
      <sz val="12"/>
      <color rgb="FF000000"/>
      <name val="Open Sans"/>
      <family val="2"/>
      <scheme val="minor"/>
    </font>
    <font>
      <sz val="9"/>
      <color rgb="FF174E86"/>
      <name val="Inherit"/>
    </font>
    <font>
      <sz val="9"/>
      <color rgb="FF000000"/>
      <name val="Open Sans"/>
      <family val="2"/>
      <scheme val="minor"/>
    </font>
    <font>
      <sz val="9"/>
      <color rgb="FF174E86"/>
      <name val="Arial"/>
      <family val="2"/>
    </font>
    <font>
      <b/>
      <sz val="10"/>
      <color rgb="FF000000"/>
      <name val="Open Sans"/>
      <family val="2"/>
      <scheme val="minor"/>
    </font>
    <font>
      <b/>
      <sz val="12"/>
      <color rgb="FF0000CC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Open Sans"/>
      <family val="2"/>
      <scheme val="minor"/>
    </font>
    <font>
      <sz val="12"/>
      <color theme="1"/>
      <name val="Open Sans"/>
      <family val="2"/>
      <scheme val="minor"/>
    </font>
    <font>
      <sz val="12"/>
      <name val="Open Sans"/>
      <family val="2"/>
      <scheme val="minor"/>
    </font>
    <font>
      <b/>
      <sz val="12"/>
      <name val="Open Sans"/>
      <family val="2"/>
      <scheme val="minor"/>
    </font>
    <font>
      <b/>
      <sz val="14"/>
      <color theme="1"/>
      <name val="Open Sans"/>
      <family val="2"/>
      <scheme val="minor"/>
    </font>
    <font>
      <b/>
      <sz val="14"/>
      <name val="Open Sans"/>
      <family val="2"/>
      <scheme val="minor"/>
    </font>
    <font>
      <b/>
      <sz val="14"/>
      <color rgb="FFFF0000"/>
      <name val="Open Sans"/>
      <family val="2"/>
      <scheme val="minor"/>
    </font>
    <font>
      <b/>
      <sz val="16"/>
      <color theme="1"/>
      <name val="Open Sans"/>
      <family val="2"/>
      <scheme val="minor"/>
    </font>
    <font>
      <b/>
      <sz val="16"/>
      <name val="Open Sans"/>
      <family val="2"/>
      <scheme val="minor"/>
    </font>
    <font>
      <b/>
      <sz val="14"/>
      <color theme="0"/>
      <name val="Open Sans"/>
      <family val="2"/>
      <scheme val="minor"/>
    </font>
    <font>
      <sz val="14"/>
      <color indexed="81"/>
      <name val="Segoe UI"/>
      <family val="2"/>
    </font>
    <font>
      <b/>
      <sz val="20"/>
      <color indexed="81"/>
      <name val="Segoe UI"/>
      <family val="2"/>
    </font>
    <font>
      <sz val="24"/>
      <color indexed="81"/>
      <name val="Segoe UI"/>
      <family val="2"/>
    </font>
    <font>
      <sz val="8"/>
      <name val="Open Sans"/>
      <family val="2"/>
      <scheme val="minor"/>
    </font>
    <font>
      <b/>
      <sz val="14"/>
      <name val="Arial"/>
      <family val="2"/>
    </font>
    <font>
      <b/>
      <sz val="22"/>
      <color indexed="81"/>
      <name val="Segoe UI"/>
      <family val="2"/>
    </font>
    <font>
      <sz val="20"/>
      <color indexed="81"/>
      <name val="Segoe UI"/>
      <family val="2"/>
    </font>
    <font>
      <sz val="12"/>
      <name val="Arial Nova"/>
      <family val="2"/>
    </font>
    <font>
      <sz val="12"/>
      <color theme="1"/>
      <name val="Arial Nova"/>
      <family val="2"/>
    </font>
    <font>
      <sz val="12"/>
      <color rgb="FF000000"/>
      <name val="Arial Nova"/>
      <family val="2"/>
    </font>
    <font>
      <b/>
      <sz val="12"/>
      <name val="Arial Nova"/>
      <family val="2"/>
    </font>
    <font>
      <b/>
      <sz val="12"/>
      <color rgb="FFFF0000"/>
      <name val="Arial Nova"/>
      <family val="2"/>
    </font>
    <font>
      <b/>
      <sz val="12"/>
      <color theme="0"/>
      <name val="Arial Nova"/>
      <family val="2"/>
    </font>
    <font>
      <b/>
      <sz val="12"/>
      <color theme="1"/>
      <name val="Arial Nova"/>
      <family val="2"/>
    </font>
    <font>
      <sz val="12"/>
      <color rgb="FFFF0000"/>
      <name val="Arial Nova"/>
      <family val="2"/>
    </font>
    <font>
      <sz val="12"/>
      <color rgb="FF0000CC"/>
      <name val="Arial Nova"/>
      <family val="2"/>
    </font>
    <font>
      <sz val="12"/>
      <color theme="0"/>
      <name val="Arial Nova"/>
      <family val="2"/>
    </font>
    <font>
      <sz val="8"/>
      <name val="Open Sans"/>
      <family val="2"/>
      <scheme val="minor"/>
    </font>
    <font>
      <sz val="10"/>
      <color rgb="FFFF0000"/>
      <name val="Open Sans"/>
      <family val="2"/>
      <scheme val="minor"/>
    </font>
    <font>
      <b/>
      <sz val="12"/>
      <color rgb="FF000000"/>
      <name val="Arial Nova"/>
      <family val="2"/>
    </font>
    <font>
      <sz val="11"/>
      <color theme="1"/>
      <name val="Arial Nova"/>
      <family val="2"/>
    </font>
    <font>
      <sz val="11"/>
      <name val="Arial Rounded MT Bold"/>
      <family val="2"/>
    </font>
    <font>
      <b/>
      <sz val="18"/>
      <name val="Open Sans"/>
      <family val="2"/>
      <scheme val="minor"/>
    </font>
    <font>
      <sz val="18"/>
      <name val="Open Sans"/>
      <family val="2"/>
      <scheme val="minor"/>
    </font>
    <font>
      <b/>
      <sz val="18"/>
      <color theme="0"/>
      <name val="Open Sans"/>
      <family val="2"/>
      <scheme val="minor"/>
    </font>
    <font>
      <b/>
      <sz val="16"/>
      <color theme="0"/>
      <name val="Open Sans"/>
      <family val="2"/>
      <scheme val="minor"/>
    </font>
    <font>
      <b/>
      <sz val="18"/>
      <color theme="1"/>
      <name val="Open Sans"/>
      <family val="2"/>
      <scheme val="minor"/>
    </font>
    <font>
      <sz val="12"/>
      <color rgb="FF174E86"/>
      <name val="Arial"/>
      <family val="2"/>
    </font>
    <font>
      <b/>
      <sz val="12"/>
      <color theme="0"/>
      <name val="Century"/>
      <family val="1"/>
    </font>
    <font>
      <sz val="12"/>
      <color theme="1"/>
      <name val="Century"/>
      <family val="1"/>
    </font>
    <font>
      <sz val="12"/>
      <name val="Century"/>
      <family val="1"/>
    </font>
    <font>
      <b/>
      <sz val="10"/>
      <color rgb="FFFF0000"/>
      <name val="Open Sans"/>
      <family val="2"/>
      <scheme val="minor"/>
    </font>
    <font>
      <b/>
      <sz val="12"/>
      <color rgb="FFFF0000"/>
      <name val="Open Sans"/>
      <family val="2"/>
      <scheme val="minor"/>
    </font>
  </fonts>
  <fills count="102">
    <fill>
      <patternFill patternType="none"/>
    </fill>
    <fill>
      <patternFill patternType="gray125"/>
    </fill>
    <fill>
      <patternFill patternType="solid">
        <fgColor rgb="FF0033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F0909"/>
        <bgColor rgb="FFFF0909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000099"/>
        <bgColor rgb="FF000099"/>
      </patternFill>
    </fill>
    <fill>
      <patternFill patternType="solid">
        <fgColor rgb="FFFFFFCC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ABF8F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4B7"/>
        <bgColor rgb="FFFABF8F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FABF8F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66CC"/>
        <bgColor rgb="FFFABF8F"/>
      </patternFill>
    </fill>
    <fill>
      <patternFill patternType="solid">
        <fgColor rgb="FF66FF99"/>
        <bgColor rgb="FFFABF8F"/>
      </patternFill>
    </fill>
    <fill>
      <patternFill patternType="solid">
        <fgColor rgb="FF66FF99"/>
        <bgColor theme="0"/>
      </patternFill>
    </fill>
    <fill>
      <patternFill patternType="solid">
        <fgColor theme="5" tint="0.79998168889431442"/>
        <bgColor rgb="FFFABF8F"/>
      </patternFill>
    </fill>
    <fill>
      <patternFill patternType="solid">
        <fgColor theme="1"/>
        <bgColor rgb="FFFABF8F"/>
      </patternFill>
    </fill>
    <fill>
      <patternFill patternType="solid">
        <fgColor rgb="FF15E18E"/>
        <bgColor indexed="64"/>
      </patternFill>
    </fill>
    <fill>
      <patternFill patternType="solid">
        <fgColor rgb="FF00FF00"/>
        <bgColor rgb="FFFABF8F"/>
      </patternFill>
    </fill>
    <fill>
      <patternFill patternType="solid">
        <fgColor rgb="FFFF0000"/>
        <bgColor rgb="FFFABF8F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ABF8F"/>
      </patternFill>
    </fill>
    <fill>
      <patternFill patternType="solid">
        <fgColor rgb="FFFF0000"/>
        <bgColor indexed="64"/>
      </patternFill>
    </fill>
    <fill>
      <patternFill patternType="solid">
        <fgColor rgb="FFFF9BD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ABF8F"/>
      </patternFill>
    </fill>
    <fill>
      <patternFill patternType="solid">
        <fgColor rgb="FFFF8D3F"/>
        <bgColor rgb="FFFABF8F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ABF8F"/>
      </patternFill>
    </fill>
    <fill>
      <patternFill patternType="solid">
        <fgColor rgb="FFB7FC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rgb="FFFABF8F"/>
      </patternFill>
    </fill>
    <fill>
      <patternFill patternType="solid">
        <fgColor theme="0"/>
        <bgColor rgb="FFFF0909"/>
      </patternFill>
    </fill>
    <fill>
      <patternFill patternType="solid">
        <fgColor theme="0"/>
        <bgColor rgb="FF00FFFF"/>
      </patternFill>
    </fill>
    <fill>
      <patternFill patternType="solid">
        <fgColor rgb="FFFF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ABF8F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EA92D"/>
        <bgColor indexed="64"/>
      </patternFill>
    </fill>
    <fill>
      <patternFill patternType="solid">
        <fgColor rgb="FF6EA92D"/>
        <bgColor rgb="FFFABF8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90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9900"/>
        <bgColor rgb="FFFABF8F"/>
      </patternFill>
    </fill>
    <fill>
      <patternFill patternType="solid">
        <fgColor rgb="FFFFD4B7"/>
        <bgColor indexed="64"/>
      </patternFill>
    </fill>
    <fill>
      <patternFill patternType="solid">
        <fgColor rgb="FFADD9EF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E38DF7"/>
        <bgColor indexed="64"/>
      </patternFill>
    </fill>
    <fill>
      <patternFill patternType="solid">
        <fgColor rgb="FF85EF85"/>
        <bgColor indexed="64"/>
      </patternFill>
    </fill>
    <fill>
      <patternFill patternType="solid">
        <fgColor theme="0"/>
        <bgColor rgb="FF00009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58D8D"/>
        <bgColor rgb="FF00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FABF8F"/>
      </patternFill>
    </fill>
    <fill>
      <patternFill patternType="solid">
        <fgColor theme="0" tint="-4.9989318521683403E-2"/>
        <bgColor rgb="FFFABF8F"/>
      </patternFill>
    </fill>
    <fill>
      <patternFill patternType="solid">
        <fgColor rgb="FFB58D8D"/>
        <bgColor rgb="FFFABF8F"/>
      </patternFill>
    </fill>
    <fill>
      <patternFill patternType="solid">
        <fgColor rgb="FFB58D8D"/>
        <bgColor indexed="64"/>
      </patternFill>
    </fill>
    <fill>
      <patternFill patternType="solid">
        <fgColor rgb="FFE38DF7"/>
        <bgColor rgb="FFFABF8F"/>
      </patternFill>
    </fill>
    <fill>
      <patternFill patternType="solid">
        <fgColor rgb="FFE38DF7"/>
        <bgColor rgb="FFFF0909"/>
      </patternFill>
    </fill>
    <fill>
      <patternFill patternType="solid">
        <fgColor theme="9" tint="0.59999389629810485"/>
        <bgColor rgb="FFFABF8F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14999847407452621"/>
        <bgColor rgb="FFFABF8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FF0909"/>
      </patternFill>
    </fill>
    <fill>
      <patternFill patternType="solid">
        <fgColor rgb="FFFFFF00"/>
        <bgColor rgb="FF000000"/>
      </patternFill>
    </fill>
    <fill>
      <patternFill patternType="solid">
        <fgColor rgb="FFFFD4B7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rgb="FF000099"/>
      </patternFill>
    </fill>
    <fill>
      <patternFill patternType="solid">
        <fgColor rgb="FFFF0000"/>
        <bgColor rgb="FFFF0909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3B175"/>
        <bgColor indexed="64"/>
      </patternFill>
    </fill>
    <fill>
      <patternFill patternType="solid">
        <fgColor rgb="FFF3B175"/>
        <bgColor rgb="FFFABF8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rgb="FFFABF8F"/>
      </patternFill>
    </fill>
    <fill>
      <patternFill patternType="solid">
        <fgColor rgb="FFFFC000"/>
        <bgColor rgb="FFFABF8F"/>
      </patternFill>
    </fill>
  </fills>
  <borders count="3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3071">
    <xf numFmtId="0" fontId="0" fillId="0" borderId="0"/>
    <xf numFmtId="0" fontId="22" fillId="0" borderId="3"/>
    <xf numFmtId="0" fontId="26" fillId="0" borderId="3"/>
    <xf numFmtId="40" fontId="25" fillId="0" borderId="3" applyFont="0" applyFill="0" applyBorder="0" applyAlignment="0" applyProtection="0"/>
    <xf numFmtId="0" fontId="25" fillId="0" borderId="3"/>
    <xf numFmtId="0" fontId="2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24" fillId="0" borderId="3"/>
    <xf numFmtId="0" fontId="25" fillId="0" borderId="3"/>
    <xf numFmtId="40" fontId="25" fillId="0" borderId="3" applyFont="0" applyFill="0" applyBorder="0" applyAlignment="0" applyProtection="0"/>
    <xf numFmtId="0" fontId="24" fillId="0" borderId="3"/>
    <xf numFmtId="0" fontId="24" fillId="0" borderId="3"/>
    <xf numFmtId="0" fontId="24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24" fillId="0" borderId="3"/>
    <xf numFmtId="0" fontId="24" fillId="0" borderId="3"/>
    <xf numFmtId="0" fontId="24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0" fontId="23" fillId="0" borderId="3"/>
    <xf numFmtId="9" fontId="22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0" fontId="22" fillId="8" borderId="4" applyNumberFormat="0" applyFont="0" applyAlignment="0" applyProtection="0"/>
    <xf numFmtId="0" fontId="23" fillId="0" borderId="3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23" fillId="0" borderId="3"/>
    <xf numFmtId="0" fontId="23" fillId="0" borderId="3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0" fontId="23" fillId="0" borderId="3"/>
    <xf numFmtId="0" fontId="23" fillId="0" borderId="3"/>
    <xf numFmtId="0" fontId="32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8" fillId="0" borderId="3"/>
    <xf numFmtId="0" fontId="18" fillId="0" borderId="3"/>
    <xf numFmtId="0" fontId="18" fillId="0" borderId="3"/>
    <xf numFmtId="0" fontId="18" fillId="0" borderId="3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8" fillId="0" borderId="3"/>
    <xf numFmtId="0" fontId="18" fillId="0" borderId="3"/>
    <xf numFmtId="0" fontId="18" fillId="0" borderId="3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9" fontId="32" fillId="0" borderId="3" applyFont="0" applyFill="0" applyBorder="0" applyAlignment="0" applyProtection="0"/>
    <xf numFmtId="0" fontId="3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43" fontId="23" fillId="0" borderId="3" applyFont="0" applyFill="0" applyBorder="0" applyAlignment="0" applyProtection="0"/>
    <xf numFmtId="0" fontId="34" fillId="12" borderId="3" applyNumberFormat="0" applyBorder="0" applyAlignment="0" applyProtection="0"/>
    <xf numFmtId="0" fontId="35" fillId="0" borderId="3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0" fontId="15" fillId="0" borderId="3"/>
    <xf numFmtId="0" fontId="15" fillId="0" borderId="3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0" fontId="15" fillId="0" borderId="3"/>
    <xf numFmtId="0" fontId="15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43" fontId="15" fillId="0" borderId="3" applyFont="0" applyFill="0" applyBorder="0" applyAlignment="0" applyProtection="0"/>
    <xf numFmtId="0" fontId="14" fillId="0" borderId="3"/>
    <xf numFmtId="0" fontId="35" fillId="0" borderId="3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0" fontId="13" fillId="0" borderId="3"/>
    <xf numFmtId="0" fontId="13" fillId="0" borderId="3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13" fillId="0" borderId="3"/>
    <xf numFmtId="0" fontId="13" fillId="0" borderId="3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4" fontId="26" fillId="0" borderId="3" applyFont="0" applyFill="0" applyBorder="0" applyAlignment="0" applyProtection="0"/>
    <xf numFmtId="43" fontId="26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43" fontId="13" fillId="0" borderId="3" applyFont="0" applyFill="0" applyBorder="0" applyAlignment="0" applyProtection="0"/>
    <xf numFmtId="0" fontId="36" fillId="16" borderId="3" applyNumberFormat="0" applyBorder="0" applyAlignment="0" applyProtection="0"/>
    <xf numFmtId="0" fontId="13" fillId="17" borderId="3" applyNumberFormat="0" applyBorder="0" applyAlignment="0" applyProtection="0"/>
    <xf numFmtId="0" fontId="13" fillId="0" borderId="3"/>
    <xf numFmtId="9" fontId="35" fillId="0" borderId="3" applyFont="0" applyFill="0" applyBorder="0" applyAlignment="0" applyProtection="0"/>
    <xf numFmtId="0" fontId="36" fillId="16" borderId="3" applyNumberFormat="0" applyBorder="0" applyAlignment="0" applyProtection="0"/>
    <xf numFmtId="0" fontId="12" fillId="17" borderId="3" applyNumberFormat="0" applyBorder="0" applyAlignment="0" applyProtection="0"/>
    <xf numFmtId="0" fontId="11" fillId="0" borderId="3"/>
    <xf numFmtId="0" fontId="10" fillId="0" borderId="3"/>
    <xf numFmtId="44" fontId="42" fillId="0" borderId="0" applyFont="0" applyFill="0" applyBorder="0" applyAlignment="0" applyProtection="0"/>
    <xf numFmtId="0" fontId="9" fillId="0" borderId="3"/>
    <xf numFmtId="0" fontId="8" fillId="0" borderId="3"/>
    <xf numFmtId="9" fontId="44" fillId="0" borderId="0" applyFont="0" applyFill="0" applyBorder="0" applyAlignment="0" applyProtection="0"/>
    <xf numFmtId="0" fontId="6" fillId="0" borderId="3"/>
    <xf numFmtId="0" fontId="26" fillId="0" borderId="3"/>
    <xf numFmtId="0" fontId="32" fillId="0" borderId="3"/>
    <xf numFmtId="0" fontId="5" fillId="0" borderId="3"/>
    <xf numFmtId="0" fontId="4" fillId="0" borderId="3"/>
  </cellStyleXfs>
  <cellXfs count="1436">
    <xf numFmtId="0" fontId="0" fillId="0" borderId="0" xfId="0"/>
    <xf numFmtId="1" fontId="16" fillId="2" borderId="2" xfId="0" applyNumberFormat="1" applyFont="1" applyFill="1" applyBorder="1" applyAlignment="1">
      <alignment horizontal="center" vertical="top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1" fontId="18" fillId="0" borderId="0" xfId="0" applyNumberFormat="1" applyFont="1" applyAlignment="1">
      <alignment horizontal="center" vertical="center"/>
    </xf>
    <xf numFmtId="1" fontId="16" fillId="2" borderId="6" xfId="0" applyNumberFormat="1" applyFont="1" applyFill="1" applyBorder="1" applyAlignment="1">
      <alignment horizontal="center" vertical="top" wrapText="1"/>
    </xf>
    <xf numFmtId="0" fontId="16" fillId="2" borderId="6" xfId="0" applyFont="1" applyFill="1" applyBorder="1" applyAlignment="1">
      <alignment horizontal="center" vertical="top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left" vertical="top" wrapText="1"/>
    </xf>
    <xf numFmtId="3" fontId="16" fillId="2" borderId="6" xfId="0" applyNumberFormat="1" applyFont="1" applyFill="1" applyBorder="1" applyAlignment="1">
      <alignment horizontal="center" vertical="top" wrapText="1"/>
    </xf>
    <xf numFmtId="0" fontId="18" fillId="4" borderId="6" xfId="0" applyFont="1" applyFill="1" applyBorder="1" applyAlignment="1">
      <alignment horizontal="center" vertical="center"/>
    </xf>
    <xf numFmtId="166" fontId="18" fillId="5" borderId="6" xfId="0" applyNumberFormat="1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165" fontId="18" fillId="10" borderId="6" xfId="0" applyNumberFormat="1" applyFont="1" applyFill="1" applyBorder="1" applyAlignment="1">
      <alignment horizontal="center"/>
    </xf>
    <xf numFmtId="0" fontId="18" fillId="10" borderId="6" xfId="0" applyFont="1" applyFill="1" applyBorder="1" applyAlignment="1">
      <alignment horizontal="center" vertical="center"/>
    </xf>
    <xf numFmtId="3" fontId="18" fillId="10" borderId="6" xfId="0" applyNumberFormat="1" applyFont="1" applyFill="1" applyBorder="1" applyAlignment="1">
      <alignment horizontal="center"/>
    </xf>
    <xf numFmtId="3" fontId="18" fillId="10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33" fillId="11" borderId="6" xfId="0" applyFont="1" applyFill="1" applyBorder="1" applyAlignment="1">
      <alignment horizontal="center" vertical="center"/>
    </xf>
    <xf numFmtId="165" fontId="33" fillId="11" borderId="6" xfId="0" applyNumberFormat="1" applyFont="1" applyFill="1" applyBorder="1" applyAlignment="1">
      <alignment horizontal="center"/>
    </xf>
    <xf numFmtId="3" fontId="33" fillId="11" borderId="6" xfId="0" applyNumberFormat="1" applyFont="1" applyFill="1" applyBorder="1" applyAlignment="1">
      <alignment horizontal="right" vertical="center"/>
    </xf>
    <xf numFmtId="0" fontId="33" fillId="15" borderId="6" xfId="0" applyFont="1" applyFill="1" applyBorder="1" applyAlignment="1">
      <alignment horizontal="center" vertical="center"/>
    </xf>
    <xf numFmtId="164" fontId="33" fillId="10" borderId="6" xfId="0" applyNumberFormat="1" applyFont="1" applyFill="1" applyBorder="1" applyAlignment="1">
      <alignment horizontal="center" vertical="center"/>
    </xf>
    <xf numFmtId="0" fontId="33" fillId="10" borderId="6" xfId="0" applyFont="1" applyFill="1" applyBorder="1" applyAlignment="1">
      <alignment horizontal="center" vertical="center"/>
    </xf>
    <xf numFmtId="3" fontId="33" fillId="10" borderId="6" xfId="0" applyNumberFormat="1" applyFont="1" applyFill="1" applyBorder="1" applyAlignment="1">
      <alignment horizontal="center"/>
    </xf>
    <xf numFmtId="3" fontId="33" fillId="10" borderId="6" xfId="0" applyNumberFormat="1" applyFont="1" applyFill="1" applyBorder="1" applyAlignment="1">
      <alignment horizontal="center" vertical="center"/>
    </xf>
    <xf numFmtId="14" fontId="33" fillId="10" borderId="6" xfId="0" applyNumberFormat="1" applyFont="1" applyFill="1" applyBorder="1" applyAlignment="1">
      <alignment horizontal="left" vertical="center" wrapText="1"/>
    </xf>
    <xf numFmtId="3" fontId="33" fillId="10" borderId="6" xfId="0" applyNumberFormat="1" applyFont="1" applyFill="1" applyBorder="1" applyAlignment="1">
      <alignment horizontal="right" vertical="center"/>
    </xf>
    <xf numFmtId="165" fontId="33" fillId="10" borderId="6" xfId="0" applyNumberFormat="1" applyFont="1" applyFill="1" applyBorder="1" applyAlignment="1">
      <alignment horizontal="center"/>
    </xf>
    <xf numFmtId="0" fontId="18" fillId="6" borderId="3" xfId="2253" applyFont="1" applyFill="1" applyAlignment="1">
      <alignment vertical="center"/>
    </xf>
    <xf numFmtId="0" fontId="18" fillId="4" borderId="1" xfId="2253" applyFont="1" applyFill="1" applyBorder="1" applyAlignment="1">
      <alignment horizontal="center" vertical="center"/>
    </xf>
    <xf numFmtId="0" fontId="33" fillId="11" borderId="6" xfId="2253" applyFont="1" applyFill="1" applyBorder="1" applyAlignment="1">
      <alignment horizontal="center" vertical="center"/>
    </xf>
    <xf numFmtId="164" fontId="33" fillId="11" borderId="6" xfId="2253" applyNumberFormat="1" applyFont="1" applyFill="1" applyBorder="1" applyAlignment="1">
      <alignment horizontal="center" vertical="center"/>
    </xf>
    <xf numFmtId="165" fontId="18" fillId="10" borderId="6" xfId="2253" applyNumberFormat="1" applyFont="1" applyFill="1" applyBorder="1" applyAlignment="1">
      <alignment horizontal="center"/>
    </xf>
    <xf numFmtId="0" fontId="18" fillId="10" borderId="6" xfId="2253" applyFont="1" applyFill="1" applyBorder="1" applyAlignment="1">
      <alignment horizontal="center" vertical="center"/>
    </xf>
    <xf numFmtId="166" fontId="18" fillId="5" borderId="1" xfId="2253" applyNumberFormat="1" applyFont="1" applyFill="1" applyBorder="1" applyAlignment="1">
      <alignment horizontal="center" vertical="center"/>
    </xf>
    <xf numFmtId="0" fontId="20" fillId="7" borderId="6" xfId="2253" applyFont="1" applyFill="1" applyBorder="1" applyAlignment="1">
      <alignment horizontal="center" vertical="center"/>
    </xf>
    <xf numFmtId="3" fontId="18" fillId="10" borderId="6" xfId="2253" applyNumberFormat="1" applyFont="1" applyFill="1" applyBorder="1" applyAlignment="1">
      <alignment horizontal="center" vertical="center"/>
    </xf>
    <xf numFmtId="165" fontId="18" fillId="11" borderId="6" xfId="2253" applyNumberFormat="1" applyFont="1" applyFill="1" applyBorder="1" applyAlignment="1">
      <alignment horizontal="center"/>
    </xf>
    <xf numFmtId="0" fontId="18" fillId="11" borderId="6" xfId="2253" applyFont="1" applyFill="1" applyBorder="1" applyAlignment="1">
      <alignment horizontal="center" vertical="center"/>
    </xf>
    <xf numFmtId="165" fontId="18" fillId="11" borderId="6" xfId="2253" applyNumberFormat="1" applyFont="1" applyFill="1" applyBorder="1" applyAlignment="1">
      <alignment horizontal="center" vertical="center" wrapText="1"/>
    </xf>
    <xf numFmtId="1" fontId="18" fillId="11" borderId="6" xfId="2253" applyNumberFormat="1" applyFont="1" applyFill="1" applyBorder="1" applyAlignment="1">
      <alignment horizontal="center" vertical="center" wrapText="1"/>
    </xf>
    <xf numFmtId="0" fontId="18" fillId="6" borderId="3" xfId="2253" applyFont="1" applyFill="1" applyAlignment="1">
      <alignment horizontal="center" vertical="center"/>
    </xf>
    <xf numFmtId="165" fontId="33" fillId="15" borderId="6" xfId="0" applyNumberFormat="1" applyFont="1" applyFill="1" applyBorder="1" applyAlignment="1">
      <alignment horizontal="center"/>
    </xf>
    <xf numFmtId="3" fontId="33" fillId="15" borderId="6" xfId="0" applyNumberFormat="1" applyFont="1" applyFill="1" applyBorder="1" applyAlignment="1">
      <alignment horizontal="right" vertical="center"/>
    </xf>
    <xf numFmtId="165" fontId="33" fillId="15" borderId="6" xfId="0" applyNumberFormat="1" applyFont="1" applyFill="1" applyBorder="1" applyAlignment="1">
      <alignment horizontal="center" vertical="center" wrapText="1"/>
    </xf>
    <xf numFmtId="1" fontId="33" fillId="15" borderId="6" xfId="0" applyNumberFormat="1" applyFont="1" applyFill="1" applyBorder="1" applyAlignment="1">
      <alignment horizontal="center" vertical="center" wrapText="1"/>
    </xf>
    <xf numFmtId="1" fontId="33" fillId="15" borderId="6" xfId="0" applyNumberFormat="1" applyFont="1" applyFill="1" applyBorder="1" applyAlignment="1">
      <alignment horizontal="center" vertical="center"/>
    </xf>
    <xf numFmtId="164" fontId="33" fillId="15" borderId="2" xfId="0" applyNumberFormat="1" applyFont="1" applyFill="1" applyBorder="1" applyAlignment="1">
      <alignment horizontal="center" vertical="center"/>
    </xf>
    <xf numFmtId="164" fontId="18" fillId="9" borderId="1" xfId="2253" applyNumberFormat="1" applyFont="1" applyFill="1" applyBorder="1" applyAlignment="1">
      <alignment horizontal="center" vertical="center"/>
    </xf>
    <xf numFmtId="164" fontId="27" fillId="10" borderId="6" xfId="2253" applyNumberFormat="1" applyFont="1" applyFill="1" applyBorder="1" applyAlignment="1">
      <alignment horizontal="center" vertical="center"/>
    </xf>
    <xf numFmtId="0" fontId="27" fillId="10" borderId="6" xfId="2253" applyFont="1" applyFill="1" applyBorder="1" applyAlignment="1">
      <alignment horizontal="center" vertical="center"/>
    </xf>
    <xf numFmtId="164" fontId="33" fillId="14" borderId="6" xfId="0" applyNumberFormat="1" applyFont="1" applyFill="1" applyBorder="1" applyAlignment="1">
      <alignment horizontal="center" vertical="center"/>
    </xf>
    <xf numFmtId="0" fontId="33" fillId="14" borderId="6" xfId="0" applyFont="1" applyFill="1" applyBorder="1" applyAlignment="1">
      <alignment horizontal="center" vertical="center"/>
    </xf>
    <xf numFmtId="3" fontId="33" fillId="14" borderId="6" xfId="0" applyNumberFormat="1" applyFont="1" applyFill="1" applyBorder="1" applyAlignment="1">
      <alignment horizontal="right" vertical="center"/>
    </xf>
    <xf numFmtId="0" fontId="18" fillId="10" borderId="6" xfId="2253" applyFont="1" applyFill="1" applyBorder="1" applyAlignment="1">
      <alignment horizontal="left" vertical="center"/>
    </xf>
    <xf numFmtId="0" fontId="38" fillId="10" borderId="6" xfId="0" applyFont="1" applyFill="1" applyBorder="1" applyAlignment="1">
      <alignment horizontal="center" vertical="center"/>
    </xf>
    <xf numFmtId="1" fontId="33" fillId="11" borderId="6" xfId="0" applyNumberFormat="1" applyFont="1" applyFill="1" applyBorder="1" applyAlignment="1">
      <alignment horizontal="center" vertical="center"/>
    </xf>
    <xf numFmtId="164" fontId="33" fillId="11" borderId="2" xfId="0" applyNumberFormat="1" applyFont="1" applyFill="1" applyBorder="1" applyAlignment="1">
      <alignment horizontal="center" vertical="center"/>
    </xf>
    <xf numFmtId="0" fontId="18" fillId="11" borderId="6" xfId="2253" applyFont="1" applyFill="1" applyBorder="1" applyAlignment="1">
      <alignment horizontal="left" vertical="center"/>
    </xf>
    <xf numFmtId="14" fontId="33" fillId="14" borderId="6" xfId="0" applyNumberFormat="1" applyFont="1" applyFill="1" applyBorder="1" applyAlignment="1">
      <alignment horizontal="left" vertical="center" wrapText="1"/>
    </xf>
    <xf numFmtId="165" fontId="27" fillId="10" borderId="6" xfId="2253" applyNumberFormat="1" applyFont="1" applyFill="1" applyBorder="1" applyAlignment="1">
      <alignment horizontal="center"/>
    </xf>
    <xf numFmtId="3" fontId="27" fillId="10" borderId="6" xfId="2253" applyNumberFormat="1" applyFont="1" applyFill="1" applyBorder="1" applyAlignment="1">
      <alignment horizontal="center"/>
    </xf>
    <xf numFmtId="3" fontId="27" fillId="10" borderId="6" xfId="2253" applyNumberFormat="1" applyFont="1" applyFill="1" applyBorder="1" applyAlignment="1">
      <alignment horizontal="center" vertical="center"/>
    </xf>
    <xf numFmtId="14" fontId="27" fillId="10" borderId="6" xfId="2253" applyNumberFormat="1" applyFont="1" applyFill="1" applyBorder="1" applyAlignment="1">
      <alignment horizontal="left" vertical="center" wrapText="1"/>
    </xf>
    <xf numFmtId="0" fontId="39" fillId="0" borderId="3" xfId="2253" applyFont="1" applyAlignment="1">
      <alignment vertical="center"/>
    </xf>
    <xf numFmtId="0" fontId="39" fillId="0" borderId="3" xfId="2253" applyFont="1" applyAlignment="1">
      <alignment horizontal="center" vertical="center"/>
    </xf>
    <xf numFmtId="0" fontId="27" fillId="12" borderId="6" xfId="4310" applyFont="1" applyBorder="1" applyAlignment="1">
      <alignment horizontal="center" vertical="center"/>
    </xf>
    <xf numFmtId="3" fontId="27" fillId="12" borderId="6" xfId="4310" applyNumberFormat="1" applyFont="1" applyBorder="1" applyAlignment="1">
      <alignment horizontal="center" vertical="center"/>
    </xf>
    <xf numFmtId="3" fontId="27" fillId="12" borderId="6" xfId="4310" applyNumberFormat="1" applyFont="1" applyBorder="1" applyAlignment="1">
      <alignment horizontal="right" vertical="center"/>
    </xf>
    <xf numFmtId="0" fontId="33" fillId="12" borderId="6" xfId="4310" applyFont="1" applyBorder="1" applyAlignment="1">
      <alignment horizontal="center" vertical="center"/>
    </xf>
    <xf numFmtId="164" fontId="33" fillId="12" borderId="6" xfId="4310" applyNumberFormat="1" applyFont="1" applyBorder="1" applyAlignment="1">
      <alignment horizontal="center" vertical="center"/>
    </xf>
    <xf numFmtId="165" fontId="33" fillId="12" borderId="6" xfId="4310" applyNumberFormat="1" applyFont="1" applyBorder="1" applyAlignment="1">
      <alignment horizontal="center"/>
    </xf>
    <xf numFmtId="0" fontId="0" fillId="0" borderId="0" xfId="0" pivotButton="1"/>
    <xf numFmtId="165" fontId="33" fillId="11" borderId="6" xfId="2253" applyNumberFormat="1" applyFont="1" applyFill="1" applyBorder="1" applyAlignment="1">
      <alignment horizontal="center"/>
    </xf>
    <xf numFmtId="3" fontId="33" fillId="11" borderId="6" xfId="2253" applyNumberFormat="1" applyFont="1" applyFill="1" applyBorder="1" applyAlignment="1">
      <alignment horizontal="center"/>
    </xf>
    <xf numFmtId="3" fontId="33" fillId="11" borderId="6" xfId="2253" applyNumberFormat="1" applyFont="1" applyFill="1" applyBorder="1" applyAlignment="1">
      <alignment horizontal="center" vertical="center"/>
    </xf>
    <xf numFmtId="14" fontId="33" fillId="11" borderId="6" xfId="2253" applyNumberFormat="1" applyFont="1" applyFill="1" applyBorder="1" applyAlignment="1">
      <alignment horizontal="left" vertical="center" wrapText="1"/>
    </xf>
    <xf numFmtId="14" fontId="33" fillId="10" borderId="6" xfId="2253" applyNumberFormat="1" applyFont="1" applyFill="1" applyBorder="1" applyAlignment="1">
      <alignment horizontal="left" vertical="center" wrapText="1"/>
    </xf>
    <xf numFmtId="0" fontId="11" fillId="0" borderId="3" xfId="13060"/>
    <xf numFmtId="0" fontId="33" fillId="11" borderId="6" xfId="13060" applyFont="1" applyFill="1" applyBorder="1" applyAlignment="1">
      <alignment horizontal="center" vertical="center"/>
    </xf>
    <xf numFmtId="3" fontId="33" fillId="11" borderId="6" xfId="13060" applyNumberFormat="1" applyFont="1" applyFill="1" applyBorder="1" applyAlignment="1">
      <alignment horizontal="right" vertical="center"/>
    </xf>
    <xf numFmtId="14" fontId="33" fillId="11" borderId="6" xfId="13060" applyNumberFormat="1" applyFont="1" applyFill="1" applyBorder="1" applyAlignment="1">
      <alignment horizontal="left" vertical="center" wrapText="1"/>
    </xf>
    <xf numFmtId="3" fontId="33" fillId="11" borderId="6" xfId="13060" applyNumberFormat="1" applyFont="1" applyFill="1" applyBorder="1" applyAlignment="1">
      <alignment horizontal="center" vertical="center"/>
    </xf>
    <xf numFmtId="3" fontId="33" fillId="11" borderId="6" xfId="13060" applyNumberFormat="1" applyFont="1" applyFill="1" applyBorder="1" applyAlignment="1">
      <alignment horizontal="center"/>
    </xf>
    <xf numFmtId="165" fontId="33" fillId="11" borderId="6" xfId="13060" applyNumberFormat="1" applyFont="1" applyFill="1" applyBorder="1" applyAlignment="1">
      <alignment horizontal="center"/>
    </xf>
    <xf numFmtId="164" fontId="33" fillId="11" borderId="6" xfId="13060" applyNumberFormat="1" applyFont="1" applyFill="1" applyBorder="1" applyAlignment="1">
      <alignment horizontal="center" vertical="center"/>
    </xf>
    <xf numFmtId="3" fontId="33" fillId="10" borderId="6" xfId="13060" applyNumberFormat="1" applyFont="1" applyFill="1" applyBorder="1" applyAlignment="1">
      <alignment horizontal="right" vertical="center"/>
    </xf>
    <xf numFmtId="0" fontId="18" fillId="10" borderId="6" xfId="13060" applyFont="1" applyFill="1" applyBorder="1" applyAlignment="1">
      <alignment horizontal="left" vertical="center"/>
    </xf>
    <xf numFmtId="0" fontId="18" fillId="10" borderId="6" xfId="13060" applyFont="1" applyFill="1" applyBorder="1" applyAlignment="1">
      <alignment horizontal="center" vertical="center"/>
    </xf>
    <xf numFmtId="165" fontId="18" fillId="10" borderId="6" xfId="13060" applyNumberFormat="1" applyFont="1" applyFill="1" applyBorder="1" applyAlignment="1">
      <alignment horizontal="center"/>
    </xf>
    <xf numFmtId="1" fontId="16" fillId="2" borderId="2" xfId="13060" applyNumberFormat="1" applyFont="1" applyFill="1" applyBorder="1" applyAlignment="1">
      <alignment horizontal="center" vertical="top" wrapText="1"/>
    </xf>
    <xf numFmtId="1" fontId="16" fillId="2" borderId="6" xfId="13060" applyNumberFormat="1" applyFont="1" applyFill="1" applyBorder="1" applyAlignment="1">
      <alignment horizontal="center" vertical="top" wrapText="1"/>
    </xf>
    <xf numFmtId="0" fontId="16" fillId="2" borderId="6" xfId="13060" applyFont="1" applyFill="1" applyBorder="1" applyAlignment="1">
      <alignment horizontal="center" vertical="top" wrapText="1"/>
    </xf>
    <xf numFmtId="3" fontId="16" fillId="2" borderId="6" xfId="13060" applyNumberFormat="1" applyFont="1" applyFill="1" applyBorder="1" applyAlignment="1">
      <alignment horizontal="center" vertical="top" wrapText="1"/>
    </xf>
    <xf numFmtId="0" fontId="16" fillId="2" borderId="6" xfId="13060" applyFont="1" applyFill="1" applyBorder="1" applyAlignment="1">
      <alignment horizontal="center" vertical="center" wrapText="1"/>
    </xf>
    <xf numFmtId="0" fontId="16" fillId="2" borderId="6" xfId="13060" applyFont="1" applyFill="1" applyBorder="1" applyAlignment="1">
      <alignment horizontal="left" vertical="top" wrapText="1"/>
    </xf>
    <xf numFmtId="3" fontId="33" fillId="26" borderId="6" xfId="13060" applyNumberFormat="1" applyFont="1" applyFill="1" applyBorder="1" applyAlignment="1">
      <alignment horizontal="right" vertical="center"/>
    </xf>
    <xf numFmtId="0" fontId="18" fillId="26" borderId="6" xfId="13060" applyFont="1" applyFill="1" applyBorder="1" applyAlignment="1">
      <alignment horizontal="center" vertical="center"/>
    </xf>
    <xf numFmtId="165" fontId="18" fillId="26" borderId="6" xfId="13060" applyNumberFormat="1" applyFont="1" applyFill="1" applyBorder="1" applyAlignment="1">
      <alignment horizontal="center"/>
    </xf>
    <xf numFmtId="0" fontId="18" fillId="26" borderId="6" xfId="13060" applyFont="1" applyFill="1" applyBorder="1" applyAlignment="1">
      <alignment horizontal="left" vertical="center"/>
    </xf>
    <xf numFmtId="165" fontId="18" fillId="26" borderId="6" xfId="13060" applyNumberFormat="1" applyFont="1" applyFill="1" applyBorder="1" applyAlignment="1">
      <alignment horizontal="center" vertical="center" wrapText="1"/>
    </xf>
    <xf numFmtId="1" fontId="18" fillId="26" borderId="6" xfId="13060" applyNumberFormat="1" applyFont="1" applyFill="1" applyBorder="1" applyAlignment="1">
      <alignment horizontal="center" vertical="center" wrapText="1"/>
    </xf>
    <xf numFmtId="1" fontId="18" fillId="26" borderId="6" xfId="13060" applyNumberFormat="1" applyFont="1" applyFill="1" applyBorder="1" applyAlignment="1">
      <alignment horizontal="center" vertical="center"/>
    </xf>
    <xf numFmtId="164" fontId="18" fillId="26" borderId="2" xfId="13060" applyNumberFormat="1" applyFont="1" applyFill="1" applyBorder="1" applyAlignment="1">
      <alignment horizontal="center" vertical="center"/>
    </xf>
    <xf numFmtId="165" fontId="33" fillId="14" borderId="6" xfId="0" applyNumberFormat="1" applyFont="1" applyFill="1" applyBorder="1" applyAlignment="1">
      <alignment horizontal="center"/>
    </xf>
    <xf numFmtId="3" fontId="33" fillId="14" borderId="6" xfId="0" applyNumberFormat="1" applyFont="1" applyFill="1" applyBorder="1" applyAlignment="1">
      <alignment horizontal="center" vertical="center"/>
    </xf>
    <xf numFmtId="0" fontId="18" fillId="28" borderId="6" xfId="0" applyFont="1" applyFill="1" applyBorder="1" applyAlignment="1">
      <alignment horizontal="center" vertical="center"/>
    </xf>
    <xf numFmtId="3" fontId="33" fillId="3" borderId="6" xfId="1306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9" fillId="0" borderId="0" xfId="0" applyFont="1"/>
    <xf numFmtId="0" fontId="18" fillId="0" borderId="1" xfId="0" applyFont="1" applyBorder="1" applyAlignment="1">
      <alignment horizontal="center" vertical="center"/>
    </xf>
    <xf numFmtId="0" fontId="27" fillId="11" borderId="6" xfId="2253" applyFont="1" applyFill="1" applyBorder="1" applyAlignment="1">
      <alignment horizontal="center" vertical="center"/>
    </xf>
    <xf numFmtId="164" fontId="27" fillId="11" borderId="6" xfId="2253" applyNumberFormat="1" applyFont="1" applyFill="1" applyBorder="1" applyAlignment="1">
      <alignment horizontal="center" vertical="center"/>
    </xf>
    <xf numFmtId="165" fontId="27" fillId="11" borderId="6" xfId="2253" applyNumberFormat="1" applyFont="1" applyFill="1" applyBorder="1" applyAlignment="1">
      <alignment horizontal="center"/>
    </xf>
    <xf numFmtId="3" fontId="27" fillId="11" borderId="6" xfId="2253" applyNumberFormat="1" applyFont="1" applyFill="1" applyBorder="1" applyAlignment="1">
      <alignment horizontal="center" vertical="center"/>
    </xf>
    <xf numFmtId="14" fontId="27" fillId="11" borderId="6" xfId="2253" applyNumberFormat="1" applyFont="1" applyFill="1" applyBorder="1" applyAlignment="1">
      <alignment horizontal="left" vertical="center" wrapText="1"/>
    </xf>
    <xf numFmtId="0" fontId="30" fillId="18" borderId="6" xfId="0" applyFont="1" applyFill="1" applyBorder="1" applyAlignment="1">
      <alignment horizontal="center" vertical="center"/>
    </xf>
    <xf numFmtId="164" fontId="30" fillId="18" borderId="6" xfId="0" applyNumberFormat="1" applyFont="1" applyFill="1" applyBorder="1" applyAlignment="1">
      <alignment horizontal="center" vertical="center"/>
    </xf>
    <xf numFmtId="0" fontId="30" fillId="27" borderId="6" xfId="0" applyFont="1" applyFill="1" applyBorder="1" applyAlignment="1">
      <alignment horizontal="center" vertical="center"/>
    </xf>
    <xf numFmtId="165" fontId="30" fillId="18" borderId="6" xfId="0" applyNumberFormat="1" applyFont="1" applyFill="1" applyBorder="1" applyAlignment="1">
      <alignment horizontal="center"/>
    </xf>
    <xf numFmtId="3" fontId="30" fillId="18" borderId="6" xfId="0" applyNumberFormat="1" applyFont="1" applyFill="1" applyBorder="1" applyAlignment="1">
      <alignment horizontal="center" vertical="center"/>
    </xf>
    <xf numFmtId="14" fontId="30" fillId="18" borderId="6" xfId="0" applyNumberFormat="1" applyFont="1" applyFill="1" applyBorder="1" applyAlignment="1">
      <alignment horizontal="left" vertical="center" wrapText="1"/>
    </xf>
    <xf numFmtId="3" fontId="30" fillId="18" borderId="6" xfId="0" applyNumberFormat="1" applyFont="1" applyFill="1" applyBorder="1" applyAlignment="1">
      <alignment horizontal="right" vertical="center"/>
    </xf>
    <xf numFmtId="165" fontId="30" fillId="27" borderId="6" xfId="0" applyNumberFormat="1" applyFont="1" applyFill="1" applyBorder="1" applyAlignment="1">
      <alignment horizontal="center"/>
    </xf>
    <xf numFmtId="3" fontId="30" fillId="27" borderId="6" xfId="0" applyNumberFormat="1" applyFont="1" applyFill="1" applyBorder="1" applyAlignment="1">
      <alignment horizontal="right" vertical="center"/>
    </xf>
    <xf numFmtId="165" fontId="30" fillId="27" borderId="6" xfId="0" applyNumberFormat="1" applyFont="1" applyFill="1" applyBorder="1" applyAlignment="1">
      <alignment horizontal="center" vertical="center" wrapText="1"/>
    </xf>
    <xf numFmtId="1" fontId="30" fillId="27" borderId="6" xfId="0" applyNumberFormat="1" applyFont="1" applyFill="1" applyBorder="1" applyAlignment="1">
      <alignment horizontal="center" vertical="center" wrapText="1"/>
    </xf>
    <xf numFmtId="1" fontId="30" fillId="27" borderId="6" xfId="0" applyNumberFormat="1" applyFont="1" applyFill="1" applyBorder="1" applyAlignment="1">
      <alignment horizontal="center" vertical="center"/>
    </xf>
    <xf numFmtId="164" fontId="30" fillId="27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3" fontId="27" fillId="11" borderId="6" xfId="2253" applyNumberFormat="1" applyFont="1" applyFill="1" applyBorder="1" applyAlignment="1">
      <alignment horizontal="center"/>
    </xf>
    <xf numFmtId="3" fontId="27" fillId="12" borderId="6" xfId="4310" applyNumberFormat="1" applyFont="1" applyBorder="1" applyAlignment="1">
      <alignment horizontal="center"/>
    </xf>
    <xf numFmtId="167" fontId="41" fillId="0" borderId="0" xfId="0" applyNumberFormat="1" applyFont="1" applyAlignment="1">
      <alignment horizontal="center" vertical="top" shrinkToFit="1"/>
    </xf>
    <xf numFmtId="0" fontId="33" fillId="29" borderId="6" xfId="0" applyFont="1" applyFill="1" applyBorder="1" applyAlignment="1">
      <alignment horizontal="center" vertical="center"/>
    </xf>
    <xf numFmtId="1" fontId="18" fillId="11" borderId="6" xfId="0" applyNumberFormat="1" applyFont="1" applyFill="1" applyBorder="1" applyAlignment="1">
      <alignment horizontal="center" vertical="center"/>
    </xf>
    <xf numFmtId="3" fontId="33" fillId="15" borderId="6" xfId="13060" applyNumberFormat="1" applyFont="1" applyFill="1" applyBorder="1" applyAlignment="1">
      <alignment horizontal="right" vertical="center"/>
    </xf>
    <xf numFmtId="165" fontId="18" fillId="15" borderId="6" xfId="13060" applyNumberFormat="1" applyFont="1" applyFill="1" applyBorder="1" applyAlignment="1">
      <alignment horizontal="center"/>
    </xf>
    <xf numFmtId="0" fontId="18" fillId="15" borderId="6" xfId="13060" applyFont="1" applyFill="1" applyBorder="1" applyAlignment="1">
      <alignment horizontal="center" vertical="center"/>
    </xf>
    <xf numFmtId="0" fontId="18" fillId="15" borderId="6" xfId="13060" applyFont="1" applyFill="1" applyBorder="1" applyAlignment="1">
      <alignment horizontal="left" vertical="center"/>
    </xf>
    <xf numFmtId="165" fontId="18" fillId="15" borderId="6" xfId="13060" applyNumberFormat="1" applyFont="1" applyFill="1" applyBorder="1" applyAlignment="1">
      <alignment horizontal="center" vertical="center" wrapText="1"/>
    </xf>
    <xf numFmtId="1" fontId="18" fillId="15" borderId="6" xfId="13060" applyNumberFormat="1" applyFont="1" applyFill="1" applyBorder="1" applyAlignment="1">
      <alignment horizontal="center" vertical="center" wrapText="1"/>
    </xf>
    <xf numFmtId="1" fontId="18" fillId="15" borderId="6" xfId="13060" applyNumberFormat="1" applyFont="1" applyFill="1" applyBorder="1" applyAlignment="1">
      <alignment horizontal="center" vertical="center"/>
    </xf>
    <xf numFmtId="164" fontId="18" fillId="15" borderId="2" xfId="13060" applyNumberFormat="1" applyFont="1" applyFill="1" applyBorder="1" applyAlignment="1">
      <alignment horizontal="center" vertical="center"/>
    </xf>
    <xf numFmtId="0" fontId="33" fillId="31" borderId="6" xfId="0" applyFont="1" applyFill="1" applyBorder="1" applyAlignment="1">
      <alignment horizontal="center" vertical="center"/>
    </xf>
    <xf numFmtId="164" fontId="33" fillId="31" borderId="6" xfId="0" applyNumberFormat="1" applyFont="1" applyFill="1" applyBorder="1" applyAlignment="1">
      <alignment horizontal="center" vertical="center"/>
    </xf>
    <xf numFmtId="165" fontId="33" fillId="31" borderId="6" xfId="0" applyNumberFormat="1" applyFont="1" applyFill="1" applyBorder="1" applyAlignment="1">
      <alignment horizontal="center"/>
    </xf>
    <xf numFmtId="3" fontId="33" fillId="31" borderId="6" xfId="0" applyNumberFormat="1" applyFont="1" applyFill="1" applyBorder="1" applyAlignment="1">
      <alignment horizontal="center"/>
    </xf>
    <xf numFmtId="3" fontId="33" fillId="31" borderId="6" xfId="0" applyNumberFormat="1" applyFont="1" applyFill="1" applyBorder="1" applyAlignment="1">
      <alignment horizontal="center" vertical="center"/>
    </xf>
    <xf numFmtId="14" fontId="33" fillId="31" borderId="6" xfId="0" applyNumberFormat="1" applyFont="1" applyFill="1" applyBorder="1" applyAlignment="1">
      <alignment horizontal="left" vertical="center" wrapText="1"/>
    </xf>
    <xf numFmtId="3" fontId="33" fillId="31" borderId="6" xfId="0" applyNumberFormat="1" applyFont="1" applyFill="1" applyBorder="1" applyAlignment="1">
      <alignment horizontal="right" vertical="center"/>
    </xf>
    <xf numFmtId="0" fontId="33" fillId="32" borderId="6" xfId="0" applyFont="1" applyFill="1" applyBorder="1" applyAlignment="1">
      <alignment horizontal="center" vertical="center"/>
    </xf>
    <xf numFmtId="165" fontId="33" fillId="32" borderId="6" xfId="0" applyNumberFormat="1" applyFont="1" applyFill="1" applyBorder="1" applyAlignment="1">
      <alignment horizontal="center"/>
    </xf>
    <xf numFmtId="3" fontId="33" fillId="32" borderId="6" xfId="0" applyNumberFormat="1" applyFont="1" applyFill="1" applyBorder="1" applyAlignment="1">
      <alignment horizontal="right" vertical="center"/>
    </xf>
    <xf numFmtId="165" fontId="33" fillId="32" borderId="6" xfId="0" applyNumberFormat="1" applyFont="1" applyFill="1" applyBorder="1" applyAlignment="1">
      <alignment horizontal="center" vertical="center" wrapText="1"/>
    </xf>
    <xf numFmtId="1" fontId="33" fillId="32" borderId="6" xfId="0" applyNumberFormat="1" applyFont="1" applyFill="1" applyBorder="1" applyAlignment="1">
      <alignment horizontal="center" vertical="center" wrapText="1"/>
    </xf>
    <xf numFmtId="0" fontId="33" fillId="11" borderId="6" xfId="2253" applyFont="1" applyFill="1" applyBorder="1" applyAlignment="1">
      <alignment horizontal="left" vertical="center"/>
    </xf>
    <xf numFmtId="165" fontId="33" fillId="11" borderId="6" xfId="0" applyNumberFormat="1" applyFont="1" applyFill="1" applyBorder="1" applyAlignment="1">
      <alignment horizontal="center" vertical="center" wrapText="1"/>
    </xf>
    <xf numFmtId="1" fontId="33" fillId="11" borderId="6" xfId="0" applyNumberFormat="1" applyFont="1" applyFill="1" applyBorder="1" applyAlignment="1">
      <alignment horizontal="center" vertical="center" wrapText="1"/>
    </xf>
    <xf numFmtId="0" fontId="32" fillId="0" borderId="0" xfId="0" applyFont="1"/>
    <xf numFmtId="164" fontId="33" fillId="15" borderId="6" xfId="0" applyNumberFormat="1" applyFont="1" applyFill="1" applyBorder="1" applyAlignment="1">
      <alignment horizontal="center" vertical="center"/>
    </xf>
    <xf numFmtId="164" fontId="33" fillId="32" borderId="6" xfId="0" applyNumberFormat="1" applyFont="1" applyFill="1" applyBorder="1" applyAlignment="1">
      <alignment horizontal="center" vertical="center"/>
    </xf>
    <xf numFmtId="3" fontId="33" fillId="10" borderId="6" xfId="0" quotePrefix="1" applyNumberFormat="1" applyFont="1" applyFill="1" applyBorder="1" applyAlignment="1">
      <alignment horizontal="center"/>
    </xf>
    <xf numFmtId="3" fontId="18" fillId="3" borderId="6" xfId="13060" applyNumberFormat="1" applyFont="1" applyFill="1" applyBorder="1" applyAlignment="1">
      <alignment horizontal="center"/>
    </xf>
    <xf numFmtId="14" fontId="18" fillId="11" borderId="6" xfId="13060" applyNumberFormat="1" applyFont="1" applyFill="1" applyBorder="1" applyAlignment="1">
      <alignment horizontal="left" vertical="center" wrapText="1"/>
    </xf>
    <xf numFmtId="0" fontId="18" fillId="11" borderId="6" xfId="1306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left" vertical="center"/>
    </xf>
    <xf numFmtId="3" fontId="27" fillId="10" borderId="6" xfId="4310" applyNumberFormat="1" applyFont="1" applyFill="1" applyBorder="1" applyAlignment="1">
      <alignment horizontal="center"/>
    </xf>
    <xf numFmtId="14" fontId="27" fillId="10" borderId="6" xfId="4310" applyNumberFormat="1" applyFont="1" applyFill="1" applyBorder="1" applyAlignment="1">
      <alignment horizontal="left" vertical="center" wrapText="1"/>
    </xf>
    <xf numFmtId="17" fontId="33" fillId="10" borderId="6" xfId="0" quotePrefix="1" applyNumberFormat="1" applyFont="1" applyFill="1" applyBorder="1" applyAlignment="1">
      <alignment horizontal="center"/>
    </xf>
    <xf numFmtId="0" fontId="45" fillId="0" borderId="0" xfId="0" applyFont="1"/>
    <xf numFmtId="0" fontId="18" fillId="35" borderId="6" xfId="0" applyFont="1" applyFill="1" applyBorder="1" applyAlignment="1">
      <alignment horizontal="center" vertical="center"/>
    </xf>
    <xf numFmtId="164" fontId="18" fillId="35" borderId="6" xfId="0" applyNumberFormat="1" applyFont="1" applyFill="1" applyBorder="1" applyAlignment="1">
      <alignment horizontal="center" vertical="center"/>
    </xf>
    <xf numFmtId="0" fontId="18" fillId="36" borderId="6" xfId="0" applyFont="1" applyFill="1" applyBorder="1" applyAlignment="1">
      <alignment horizontal="center" vertical="center"/>
    </xf>
    <xf numFmtId="165" fontId="18" fillId="35" borderId="6" xfId="0" applyNumberFormat="1" applyFont="1" applyFill="1" applyBorder="1" applyAlignment="1">
      <alignment horizontal="center"/>
    </xf>
    <xf numFmtId="3" fontId="18" fillId="35" borderId="6" xfId="0" applyNumberFormat="1" applyFont="1" applyFill="1" applyBorder="1" applyAlignment="1">
      <alignment horizontal="center" vertical="center"/>
    </xf>
    <xf numFmtId="14" fontId="18" fillId="35" borderId="6" xfId="0" applyNumberFormat="1" applyFont="1" applyFill="1" applyBorder="1" applyAlignment="1">
      <alignment horizontal="left" vertical="center" wrapText="1"/>
    </xf>
    <xf numFmtId="3" fontId="18" fillId="35" borderId="6" xfId="0" applyNumberFormat="1" applyFont="1" applyFill="1" applyBorder="1" applyAlignment="1">
      <alignment horizontal="right" vertical="center"/>
    </xf>
    <xf numFmtId="0" fontId="18" fillId="37" borderId="6" xfId="13060" applyFont="1" applyFill="1" applyBorder="1" applyAlignment="1">
      <alignment horizontal="center" vertical="center"/>
    </xf>
    <xf numFmtId="3" fontId="33" fillId="37" borderId="6" xfId="13060" applyNumberFormat="1" applyFont="1" applyFill="1" applyBorder="1" applyAlignment="1">
      <alignment horizontal="center" vertical="center"/>
    </xf>
    <xf numFmtId="1" fontId="27" fillId="11" borderId="6" xfId="0" applyNumberFormat="1" applyFont="1" applyFill="1" applyBorder="1" applyAlignment="1">
      <alignment horizontal="center" vertical="center" wrapText="1"/>
    </xf>
    <xf numFmtId="0" fontId="33" fillId="10" borderId="6" xfId="0" applyFont="1" applyFill="1" applyBorder="1" applyAlignment="1">
      <alignment horizontal="left" vertical="center"/>
    </xf>
    <xf numFmtId="0" fontId="33" fillId="21" borderId="6" xfId="0" applyFont="1" applyFill="1" applyBorder="1" applyAlignment="1">
      <alignment horizontal="left" vertical="center"/>
    </xf>
    <xf numFmtId="44" fontId="0" fillId="0" borderId="0" xfId="13062" applyFont="1"/>
    <xf numFmtId="165" fontId="33" fillId="38" borderId="6" xfId="0" applyNumberFormat="1" applyFont="1" applyFill="1" applyBorder="1" applyAlignment="1">
      <alignment horizontal="center"/>
    </xf>
    <xf numFmtId="3" fontId="33" fillId="38" borderId="6" xfId="0" applyNumberFormat="1" applyFont="1" applyFill="1" applyBorder="1" applyAlignment="1">
      <alignment horizontal="center"/>
    </xf>
    <xf numFmtId="3" fontId="33" fillId="38" borderId="6" xfId="0" applyNumberFormat="1" applyFont="1" applyFill="1" applyBorder="1" applyAlignment="1">
      <alignment horizontal="center" vertical="center"/>
    </xf>
    <xf numFmtId="14" fontId="33" fillId="38" borderId="6" xfId="0" applyNumberFormat="1" applyFont="1" applyFill="1" applyBorder="1" applyAlignment="1">
      <alignment horizontal="left" vertical="center" wrapText="1"/>
    </xf>
    <xf numFmtId="3" fontId="33" fillId="38" borderId="6" xfId="0" applyNumberFormat="1" applyFont="1" applyFill="1" applyBorder="1" applyAlignment="1">
      <alignment horizontal="right" vertical="center"/>
    </xf>
    <xf numFmtId="0" fontId="33" fillId="38" borderId="6" xfId="0" applyFont="1" applyFill="1" applyBorder="1" applyAlignment="1">
      <alignment horizontal="center" vertical="center"/>
    </xf>
    <xf numFmtId="165" fontId="33" fillId="39" borderId="6" xfId="0" applyNumberFormat="1" applyFont="1" applyFill="1" applyBorder="1" applyAlignment="1">
      <alignment horizontal="center"/>
    </xf>
    <xf numFmtId="0" fontId="33" fillId="39" borderId="6" xfId="0" applyFont="1" applyFill="1" applyBorder="1" applyAlignment="1">
      <alignment horizontal="center" vertical="center"/>
    </xf>
    <xf numFmtId="3" fontId="33" fillId="39" borderId="6" xfId="0" applyNumberFormat="1" applyFont="1" applyFill="1" applyBorder="1" applyAlignment="1">
      <alignment horizontal="right" vertical="center"/>
    </xf>
    <xf numFmtId="165" fontId="33" fillId="39" borderId="6" xfId="0" applyNumberFormat="1" applyFont="1" applyFill="1" applyBorder="1" applyAlignment="1">
      <alignment horizontal="center" vertical="center" wrapText="1"/>
    </xf>
    <xf numFmtId="1" fontId="33" fillId="39" borderId="6" xfId="0" applyNumberFormat="1" applyFont="1" applyFill="1" applyBorder="1" applyAlignment="1">
      <alignment horizontal="center" vertical="center" wrapText="1"/>
    </xf>
    <xf numFmtId="164" fontId="33" fillId="39" borderId="2" xfId="0" applyNumberFormat="1" applyFont="1" applyFill="1" applyBorder="1" applyAlignment="1">
      <alignment horizontal="center" vertical="center"/>
    </xf>
    <xf numFmtId="14" fontId="33" fillId="38" borderId="6" xfId="0" applyNumberFormat="1" applyFont="1" applyFill="1" applyBorder="1" applyAlignment="1">
      <alignment horizontal="center" vertical="center"/>
    </xf>
    <xf numFmtId="3" fontId="18" fillId="40" borderId="6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43" fillId="0" borderId="7" xfId="0" applyFont="1" applyBorder="1"/>
    <xf numFmtId="0" fontId="43" fillId="0" borderId="8" xfId="0" applyFont="1" applyBorder="1"/>
    <xf numFmtId="0" fontId="43" fillId="0" borderId="9" xfId="0" applyFont="1" applyBorder="1"/>
    <xf numFmtId="0" fontId="0" fillId="0" borderId="10" xfId="0" applyBorder="1"/>
    <xf numFmtId="14" fontId="0" fillId="0" borderId="3" xfId="0" applyNumberFormat="1" applyBorder="1"/>
    <xf numFmtId="3" fontId="0" fillId="0" borderId="3" xfId="0" applyNumberFormat="1" applyBorder="1"/>
    <xf numFmtId="9" fontId="0" fillId="0" borderId="3" xfId="13065" applyFont="1" applyBorder="1"/>
    <xf numFmtId="0" fontId="0" fillId="0" borderId="11" xfId="0" applyBorder="1"/>
    <xf numFmtId="3" fontId="46" fillId="0" borderId="3" xfId="0" applyNumberFormat="1" applyFont="1" applyBorder="1"/>
    <xf numFmtId="3" fontId="43" fillId="0" borderId="8" xfId="0" applyNumberFormat="1" applyFont="1" applyBorder="1"/>
    <xf numFmtId="10" fontId="43" fillId="0" borderId="8" xfId="13065" applyNumberFormat="1" applyFont="1" applyBorder="1"/>
    <xf numFmtId="165" fontId="18" fillId="10" borderId="6" xfId="13060" applyNumberFormat="1" applyFont="1" applyFill="1" applyBorder="1" applyAlignment="1">
      <alignment horizontal="center" vertical="center" wrapText="1"/>
    </xf>
    <xf numFmtId="1" fontId="18" fillId="10" borderId="6" xfId="13060" applyNumberFormat="1" applyFont="1" applyFill="1" applyBorder="1" applyAlignment="1">
      <alignment horizontal="center" vertical="center" wrapText="1"/>
    </xf>
    <xf numFmtId="1" fontId="18" fillId="10" borderId="6" xfId="13060" applyNumberFormat="1" applyFont="1" applyFill="1" applyBorder="1" applyAlignment="1">
      <alignment horizontal="center" vertical="center"/>
    </xf>
    <xf numFmtId="164" fontId="18" fillId="10" borderId="2" xfId="13060" applyNumberFormat="1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left" vertical="center"/>
    </xf>
    <xf numFmtId="0" fontId="47" fillId="2" borderId="6" xfId="0" applyFont="1" applyFill="1" applyBorder="1" applyAlignment="1">
      <alignment horizontal="center" vertical="center" wrapText="1"/>
    </xf>
    <xf numFmtId="0" fontId="33" fillId="34" borderId="6" xfId="0" applyFont="1" applyFill="1" applyBorder="1" applyAlignment="1">
      <alignment horizontal="left" vertical="center"/>
    </xf>
    <xf numFmtId="0" fontId="33" fillId="38" borderId="6" xfId="0" applyFont="1" applyFill="1" applyBorder="1" applyAlignment="1">
      <alignment horizontal="left" vertical="center"/>
    </xf>
    <xf numFmtId="0" fontId="33" fillId="31" borderId="6" xfId="0" applyFont="1" applyFill="1" applyBorder="1" applyAlignment="1">
      <alignment horizontal="left" vertical="center"/>
    </xf>
    <xf numFmtId="0" fontId="33" fillId="18" borderId="6" xfId="0" applyFont="1" applyFill="1" applyBorder="1" applyAlignment="1">
      <alignment horizontal="left" vertical="center"/>
    </xf>
    <xf numFmtId="3" fontId="33" fillId="0" borderId="0" xfId="0" applyNumberFormat="1" applyFont="1" applyAlignment="1">
      <alignment horizontal="right" vertical="center"/>
    </xf>
    <xf numFmtId="0" fontId="48" fillId="0" borderId="0" xfId="0" applyFont="1"/>
    <xf numFmtId="165" fontId="33" fillId="39" borderId="6" xfId="0" applyNumberFormat="1" applyFont="1" applyFill="1" applyBorder="1" applyAlignment="1">
      <alignment horizontal="left" vertical="center" wrapText="1"/>
    </xf>
    <xf numFmtId="0" fontId="33" fillId="10" borderId="6" xfId="4310" applyFont="1" applyFill="1" applyBorder="1" applyAlignment="1">
      <alignment horizontal="center" vertical="center"/>
    </xf>
    <xf numFmtId="164" fontId="33" fillId="10" borderId="6" xfId="4310" applyNumberFormat="1" applyFont="1" applyFill="1" applyBorder="1" applyAlignment="1">
      <alignment horizontal="center" vertical="center"/>
    </xf>
    <xf numFmtId="165" fontId="33" fillId="10" borderId="6" xfId="4310" applyNumberFormat="1" applyFont="1" applyFill="1" applyBorder="1" applyAlignment="1">
      <alignment horizontal="center"/>
    </xf>
    <xf numFmtId="3" fontId="33" fillId="10" borderId="6" xfId="4310" applyNumberFormat="1" applyFont="1" applyFill="1" applyBorder="1" applyAlignment="1">
      <alignment horizontal="center" vertical="center"/>
    </xf>
    <xf numFmtId="14" fontId="33" fillId="10" borderId="6" xfId="4310" applyNumberFormat="1" applyFont="1" applyFill="1" applyBorder="1" applyAlignment="1">
      <alignment horizontal="left" vertical="center" wrapText="1"/>
    </xf>
    <xf numFmtId="0" fontId="49" fillId="42" borderId="12" xfId="0" applyFont="1" applyFill="1" applyBorder="1" applyAlignment="1">
      <alignment vertical="center" wrapText="1"/>
    </xf>
    <xf numFmtId="0" fontId="50" fillId="42" borderId="13" xfId="0" applyFont="1" applyFill="1" applyBorder="1" applyAlignment="1">
      <alignment horizontal="center" vertical="center" wrapText="1"/>
    </xf>
    <xf numFmtId="0" fontId="50" fillId="42" borderId="14" xfId="0" applyFont="1" applyFill="1" applyBorder="1" applyAlignment="1">
      <alignment horizontal="center" vertical="center" wrapText="1"/>
    </xf>
    <xf numFmtId="0" fontId="51" fillId="0" borderId="0" xfId="0" applyFont="1"/>
    <xf numFmtId="0" fontId="50" fillId="42" borderId="17" xfId="0" applyFont="1" applyFill="1" applyBorder="1" applyAlignment="1">
      <alignment horizontal="center" vertical="center" wrapText="1"/>
    </xf>
    <xf numFmtId="0" fontId="52" fillId="41" borderId="15" xfId="0" applyFont="1" applyFill="1" applyBorder="1" applyAlignment="1">
      <alignment horizontal="left" vertical="center" wrapText="1"/>
    </xf>
    <xf numFmtId="0" fontId="52" fillId="41" borderId="16" xfId="0" applyFont="1" applyFill="1" applyBorder="1" applyAlignment="1">
      <alignment horizontal="center" vertical="center" wrapText="1"/>
    </xf>
    <xf numFmtId="0" fontId="53" fillId="0" borderId="0" xfId="0" applyFont="1"/>
    <xf numFmtId="0" fontId="52" fillId="41" borderId="18" xfId="0" applyFont="1" applyFill="1" applyBorder="1" applyAlignment="1">
      <alignment horizontal="center" vertical="center" wrapText="1"/>
    </xf>
    <xf numFmtId="0" fontId="54" fillId="41" borderId="15" xfId="0" applyFont="1" applyFill="1" applyBorder="1" applyAlignment="1">
      <alignment vertical="center" wrapText="1"/>
    </xf>
    <xf numFmtId="165" fontId="27" fillId="11" borderId="6" xfId="0" applyNumberFormat="1" applyFont="1" applyFill="1" applyBorder="1" applyAlignment="1">
      <alignment horizontal="center"/>
    </xf>
    <xf numFmtId="0" fontId="27" fillId="11" borderId="6" xfId="0" applyFont="1" applyFill="1" applyBorder="1" applyAlignment="1">
      <alignment horizontal="center" vertical="center"/>
    </xf>
    <xf numFmtId="3" fontId="27" fillId="11" borderId="6" xfId="0" applyNumberFormat="1" applyFont="1" applyFill="1" applyBorder="1" applyAlignment="1">
      <alignment horizontal="right" vertical="center"/>
    </xf>
    <xf numFmtId="165" fontId="27" fillId="11" borderId="6" xfId="0" applyNumberFormat="1" applyFont="1" applyFill="1" applyBorder="1" applyAlignment="1">
      <alignment horizontal="center" vertical="center" wrapText="1"/>
    </xf>
    <xf numFmtId="1" fontId="27" fillId="11" borderId="6" xfId="0" applyNumberFormat="1" applyFont="1" applyFill="1" applyBorder="1" applyAlignment="1">
      <alignment horizontal="center" vertical="center"/>
    </xf>
    <xf numFmtId="164" fontId="27" fillId="11" borderId="2" xfId="0" applyNumberFormat="1" applyFont="1" applyFill="1" applyBorder="1" applyAlignment="1">
      <alignment horizontal="center" vertical="center"/>
    </xf>
    <xf numFmtId="0" fontId="55" fillId="0" borderId="0" xfId="0" applyFont="1"/>
    <xf numFmtId="0" fontId="57" fillId="4" borderId="6" xfId="0" applyFont="1" applyFill="1" applyBorder="1" applyAlignment="1">
      <alignment horizontal="center" vertical="center"/>
    </xf>
    <xf numFmtId="0" fontId="30" fillId="18" borderId="6" xfId="0" applyFont="1" applyFill="1" applyBorder="1" applyAlignment="1">
      <alignment horizontal="left" vertical="center"/>
    </xf>
    <xf numFmtId="0" fontId="58" fillId="7" borderId="6" xfId="2253" applyFont="1" applyFill="1" applyBorder="1" applyAlignment="1">
      <alignment horizontal="center" vertical="center"/>
    </xf>
    <xf numFmtId="0" fontId="39" fillId="0" borderId="0" xfId="0" pivotButton="1" applyFont="1"/>
    <xf numFmtId="0" fontId="39" fillId="0" borderId="0" xfId="0" applyFont="1" applyAlignment="1">
      <alignment horizontal="left"/>
    </xf>
    <xf numFmtId="1" fontId="33" fillId="43" borderId="6" xfId="0" applyNumberFormat="1" applyFont="1" applyFill="1" applyBorder="1" applyAlignment="1">
      <alignment horizontal="center" vertical="center"/>
    </xf>
    <xf numFmtId="1" fontId="33" fillId="30" borderId="6" xfId="0" applyNumberFormat="1" applyFont="1" applyFill="1" applyBorder="1" applyAlignment="1">
      <alignment horizontal="center" vertical="center" wrapText="1"/>
    </xf>
    <xf numFmtId="3" fontId="27" fillId="11" borderId="6" xfId="0" quotePrefix="1" applyNumberFormat="1" applyFont="1" applyFill="1" applyBorder="1" applyAlignment="1">
      <alignment horizontal="right" vertical="center"/>
    </xf>
    <xf numFmtId="3" fontId="27" fillId="27" borderId="6" xfId="0" applyNumberFormat="1" applyFont="1" applyFill="1" applyBorder="1" applyAlignment="1">
      <alignment horizontal="right" vertical="center"/>
    </xf>
    <xf numFmtId="3" fontId="39" fillId="0" borderId="0" xfId="0" applyNumberFormat="1" applyFont="1"/>
    <xf numFmtId="3" fontId="30" fillId="18" borderId="6" xfId="0" applyNumberFormat="1" applyFont="1" applyFill="1" applyBorder="1" applyAlignment="1">
      <alignment horizontal="center"/>
    </xf>
    <xf numFmtId="3" fontId="18" fillId="35" borderId="6" xfId="0" applyNumberFormat="1" applyFont="1" applyFill="1" applyBorder="1" applyAlignment="1">
      <alignment horizontal="center"/>
    </xf>
    <xf numFmtId="165" fontId="33" fillId="11" borderId="6" xfId="2253" applyNumberFormat="1" applyFont="1" applyFill="1" applyBorder="1" applyAlignment="1">
      <alignment horizontal="center" vertical="center" wrapText="1"/>
    </xf>
    <xf numFmtId="1" fontId="33" fillId="11" borderId="6" xfId="2253" applyNumberFormat="1" applyFont="1" applyFill="1" applyBorder="1" applyAlignment="1">
      <alignment horizontal="center" vertical="center" wrapText="1"/>
    </xf>
    <xf numFmtId="3" fontId="18" fillId="11" borderId="6" xfId="2253" applyNumberFormat="1" applyFont="1" applyFill="1" applyBorder="1" applyAlignment="1">
      <alignment horizontal="center" vertical="center"/>
    </xf>
    <xf numFmtId="3" fontId="33" fillId="11" borderId="6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165" fontId="18" fillId="11" borderId="6" xfId="0" applyNumberFormat="1" applyFont="1" applyFill="1" applyBorder="1" applyAlignment="1">
      <alignment horizontal="center" vertical="center" wrapText="1"/>
    </xf>
    <xf numFmtId="0" fontId="7" fillId="0" borderId="0" xfId="13060" applyFont="1" applyBorder="1"/>
    <xf numFmtId="164" fontId="33" fillId="11" borderId="6" xfId="0" applyNumberFormat="1" applyFont="1" applyFill="1" applyBorder="1" applyAlignment="1">
      <alignment horizontal="center" vertical="center"/>
    </xf>
    <xf numFmtId="164" fontId="59" fillId="35" borderId="6" xfId="0" applyNumberFormat="1" applyFont="1" applyFill="1" applyBorder="1" applyAlignment="1">
      <alignment horizontal="center" vertical="center"/>
    </xf>
    <xf numFmtId="3" fontId="33" fillId="11" borderId="6" xfId="2253" quotePrefix="1" applyNumberFormat="1" applyFont="1" applyFill="1" applyBorder="1" applyAlignment="1">
      <alignment horizontal="right" vertical="center"/>
    </xf>
    <xf numFmtId="0" fontId="27" fillId="46" borderId="6" xfId="4310" applyFont="1" applyFill="1" applyBorder="1" applyAlignment="1">
      <alignment horizontal="center" vertical="center"/>
    </xf>
    <xf numFmtId="164" fontId="27" fillId="46" borderId="6" xfId="4310" applyNumberFormat="1" applyFont="1" applyFill="1" applyBorder="1" applyAlignment="1">
      <alignment horizontal="center" vertical="center"/>
    </xf>
    <xf numFmtId="165" fontId="27" fillId="46" borderId="6" xfId="4310" applyNumberFormat="1" applyFont="1" applyFill="1" applyBorder="1" applyAlignment="1">
      <alignment horizontal="center"/>
    </xf>
    <xf numFmtId="3" fontId="27" fillId="46" borderId="6" xfId="4310" applyNumberFormat="1" applyFont="1" applyFill="1" applyBorder="1" applyAlignment="1">
      <alignment horizontal="center"/>
    </xf>
    <xf numFmtId="3" fontId="27" fillId="46" borderId="6" xfId="4310" applyNumberFormat="1" applyFont="1" applyFill="1" applyBorder="1" applyAlignment="1">
      <alignment horizontal="center" vertical="center"/>
    </xf>
    <xf numFmtId="0" fontId="27" fillId="10" borderId="6" xfId="4310" applyFont="1" applyFill="1" applyBorder="1" applyAlignment="1">
      <alignment horizontal="center" vertical="center"/>
    </xf>
    <xf numFmtId="164" fontId="27" fillId="10" borderId="6" xfId="4310" applyNumberFormat="1" applyFont="1" applyFill="1" applyBorder="1" applyAlignment="1">
      <alignment horizontal="center" vertical="center"/>
    </xf>
    <xf numFmtId="3" fontId="27" fillId="10" borderId="6" xfId="4310" applyNumberFormat="1" applyFont="1" applyFill="1" applyBorder="1" applyAlignment="1">
      <alignment horizontal="center" vertical="center"/>
    </xf>
    <xf numFmtId="1" fontId="33" fillId="11" borderId="6" xfId="2253" applyNumberFormat="1" applyFont="1" applyFill="1" applyBorder="1" applyAlignment="1">
      <alignment horizontal="center" vertical="center"/>
    </xf>
    <xf numFmtId="0" fontId="27" fillId="11" borderId="6" xfId="13060" applyFont="1" applyFill="1" applyBorder="1" applyAlignment="1">
      <alignment horizontal="center" vertical="center"/>
    </xf>
    <xf numFmtId="0" fontId="33" fillId="48" borderId="6" xfId="0" applyFont="1" applyFill="1" applyBorder="1" applyAlignment="1">
      <alignment horizontal="center" vertical="center"/>
    </xf>
    <xf numFmtId="164" fontId="33" fillId="48" borderId="6" xfId="0" applyNumberFormat="1" applyFont="1" applyFill="1" applyBorder="1" applyAlignment="1">
      <alignment horizontal="center" vertical="center"/>
    </xf>
    <xf numFmtId="0" fontId="33" fillId="49" borderId="6" xfId="0" applyFont="1" applyFill="1" applyBorder="1" applyAlignment="1">
      <alignment horizontal="center" vertical="center"/>
    </xf>
    <xf numFmtId="165" fontId="33" fillId="48" borderId="6" xfId="0" applyNumberFormat="1" applyFont="1" applyFill="1" applyBorder="1" applyAlignment="1">
      <alignment horizontal="center"/>
    </xf>
    <xf numFmtId="3" fontId="33" fillId="48" borderId="6" xfId="0" applyNumberFormat="1" applyFont="1" applyFill="1" applyBorder="1" applyAlignment="1">
      <alignment horizontal="center" vertical="center"/>
    </xf>
    <xf numFmtId="14" fontId="27" fillId="48" borderId="6" xfId="0" applyNumberFormat="1" applyFont="1" applyFill="1" applyBorder="1" applyAlignment="1">
      <alignment horizontal="left" vertical="center" wrapText="1"/>
    </xf>
    <xf numFmtId="0" fontId="18" fillId="48" borderId="6" xfId="0" applyFont="1" applyFill="1" applyBorder="1" applyAlignment="1">
      <alignment horizontal="center" vertical="center"/>
    </xf>
    <xf numFmtId="164" fontId="59" fillId="48" borderId="6" xfId="0" applyNumberFormat="1" applyFont="1" applyFill="1" applyBorder="1" applyAlignment="1">
      <alignment horizontal="center" vertical="center"/>
    </xf>
    <xf numFmtId="0" fontId="18" fillId="49" borderId="6" xfId="0" applyFont="1" applyFill="1" applyBorder="1" applyAlignment="1">
      <alignment horizontal="center" vertical="center"/>
    </xf>
    <xf numFmtId="165" fontId="18" fillId="48" borderId="6" xfId="0" applyNumberFormat="1" applyFont="1" applyFill="1" applyBorder="1" applyAlignment="1">
      <alignment horizontal="center"/>
    </xf>
    <xf numFmtId="3" fontId="18" fillId="48" borderId="6" xfId="0" applyNumberFormat="1" applyFont="1" applyFill="1" applyBorder="1" applyAlignment="1">
      <alignment horizontal="center"/>
    </xf>
    <xf numFmtId="3" fontId="18" fillId="48" borderId="6" xfId="0" applyNumberFormat="1" applyFont="1" applyFill="1" applyBorder="1" applyAlignment="1">
      <alignment horizontal="center" vertical="center"/>
    </xf>
    <xf numFmtId="3" fontId="18" fillId="48" borderId="6" xfId="0" applyNumberFormat="1" applyFont="1" applyFill="1" applyBorder="1" applyAlignment="1">
      <alignment horizontal="right" vertical="center"/>
    </xf>
    <xf numFmtId="14" fontId="18" fillId="48" borderId="6" xfId="0" applyNumberFormat="1" applyFont="1" applyFill="1" applyBorder="1" applyAlignment="1">
      <alignment horizontal="left" vertical="center" wrapText="1"/>
    </xf>
    <xf numFmtId="164" fontId="18" fillId="48" borderId="6" xfId="0" applyNumberFormat="1" applyFont="1" applyFill="1" applyBorder="1" applyAlignment="1">
      <alignment horizontal="center" vertical="center"/>
    </xf>
    <xf numFmtId="14" fontId="18" fillId="28" borderId="6" xfId="0" applyNumberFormat="1" applyFont="1" applyFill="1" applyBorder="1" applyAlignment="1">
      <alignment horizontal="left" vertical="center" wrapText="1"/>
    </xf>
    <xf numFmtId="14" fontId="18" fillId="14" borderId="6" xfId="0" applyNumberFormat="1" applyFont="1" applyFill="1" applyBorder="1" applyAlignment="1">
      <alignment horizontal="left" vertical="center" wrapText="1"/>
    </xf>
    <xf numFmtId="14" fontId="18" fillId="10" borderId="6" xfId="0" applyNumberFormat="1" applyFont="1" applyFill="1" applyBorder="1" applyAlignment="1">
      <alignment horizontal="left" vertical="center" wrapText="1"/>
    </xf>
    <xf numFmtId="0" fontId="54" fillId="50" borderId="15" xfId="0" applyFont="1" applyFill="1" applyBorder="1" applyAlignment="1">
      <alignment vertical="center" wrapText="1"/>
    </xf>
    <xf numFmtId="0" fontId="52" fillId="50" borderId="16" xfId="0" applyFont="1" applyFill="1" applyBorder="1" applyAlignment="1">
      <alignment horizontal="center" vertical="center" wrapText="1"/>
    </xf>
    <xf numFmtId="0" fontId="53" fillId="0" borderId="3" xfId="0" applyFont="1" applyBorder="1"/>
    <xf numFmtId="0" fontId="52" fillId="50" borderId="18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168" fontId="33" fillId="21" borderId="6" xfId="0" applyNumberFormat="1" applyFont="1" applyFill="1" applyBorder="1" applyAlignment="1">
      <alignment horizontal="center"/>
    </xf>
    <xf numFmtId="168" fontId="33" fillId="51" borderId="6" xfId="0" applyNumberFormat="1" applyFont="1" applyFill="1" applyBorder="1" applyAlignment="1">
      <alignment horizontal="center"/>
    </xf>
    <xf numFmtId="168" fontId="56" fillId="15" borderId="6" xfId="0" applyNumberFormat="1" applyFont="1" applyFill="1" applyBorder="1" applyAlignment="1">
      <alignment horizontal="center" vertical="center"/>
    </xf>
    <xf numFmtId="3" fontId="32" fillId="0" borderId="0" xfId="0" applyNumberFormat="1" applyFont="1" applyAlignment="1">
      <alignment horizontal="center"/>
    </xf>
    <xf numFmtId="164" fontId="21" fillId="0" borderId="3" xfId="0" applyNumberFormat="1" applyFont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8" fontId="33" fillId="10" borderId="6" xfId="0" applyNumberFormat="1" applyFont="1" applyFill="1" applyBorder="1" applyAlignment="1">
      <alignment horizontal="center"/>
    </xf>
    <xf numFmtId="0" fontId="18" fillId="14" borderId="6" xfId="0" applyFont="1" applyFill="1" applyBorder="1" applyAlignment="1">
      <alignment horizontal="center" vertical="center"/>
    </xf>
    <xf numFmtId="164" fontId="18" fillId="14" borderId="6" xfId="0" applyNumberFormat="1" applyFont="1" applyFill="1" applyBorder="1" applyAlignment="1">
      <alignment horizontal="center" vertical="center"/>
    </xf>
    <xf numFmtId="0" fontId="18" fillId="29" borderId="6" xfId="0" applyFont="1" applyFill="1" applyBorder="1" applyAlignment="1">
      <alignment horizontal="center" vertical="center"/>
    </xf>
    <xf numFmtId="165" fontId="18" fillId="14" borderId="6" xfId="0" applyNumberFormat="1" applyFont="1" applyFill="1" applyBorder="1" applyAlignment="1">
      <alignment horizontal="center"/>
    </xf>
    <xf numFmtId="3" fontId="18" fillId="14" borderId="6" xfId="0" applyNumberFormat="1" applyFont="1" applyFill="1" applyBorder="1" applyAlignment="1">
      <alignment horizontal="center" vertical="center"/>
    </xf>
    <xf numFmtId="3" fontId="18" fillId="14" borderId="6" xfId="0" applyNumberFormat="1" applyFont="1" applyFill="1" applyBorder="1" applyAlignment="1">
      <alignment horizontal="right" vertical="center"/>
    </xf>
    <xf numFmtId="3" fontId="61" fillId="48" borderId="6" xfId="0" applyNumberFormat="1" applyFont="1" applyFill="1" applyBorder="1" applyAlignment="1">
      <alignment horizontal="center"/>
    </xf>
    <xf numFmtId="165" fontId="33" fillId="10" borderId="6" xfId="0" applyNumberFormat="1" applyFont="1" applyFill="1" applyBorder="1" applyAlignment="1">
      <alignment horizontal="center" vertical="center" wrapText="1"/>
    </xf>
    <xf numFmtId="1" fontId="33" fillId="10" borderId="6" xfId="0" applyNumberFormat="1" applyFont="1" applyFill="1" applyBorder="1" applyAlignment="1">
      <alignment horizontal="center" vertical="center" wrapText="1"/>
    </xf>
    <xf numFmtId="1" fontId="33" fillId="10" borderId="6" xfId="0" applyNumberFormat="1" applyFont="1" applyFill="1" applyBorder="1" applyAlignment="1">
      <alignment horizontal="center" vertical="center"/>
    </xf>
    <xf numFmtId="164" fontId="33" fillId="10" borderId="2" xfId="0" applyNumberFormat="1" applyFont="1" applyFill="1" applyBorder="1" applyAlignment="1">
      <alignment horizontal="center" vertical="center"/>
    </xf>
    <xf numFmtId="0" fontId="18" fillId="13" borderId="5" xfId="13066" applyFont="1" applyFill="1" applyBorder="1" applyAlignment="1">
      <alignment horizontal="center" vertical="center"/>
    </xf>
    <xf numFmtId="0" fontId="18" fillId="19" borderId="5" xfId="13066" applyFont="1" applyFill="1" applyBorder="1" applyAlignment="1">
      <alignment horizontal="center" vertical="center"/>
    </xf>
    <xf numFmtId="165" fontId="18" fillId="13" borderId="5" xfId="13066" applyNumberFormat="1" applyFont="1" applyFill="1" applyBorder="1" applyAlignment="1">
      <alignment horizontal="center"/>
    </xf>
    <xf numFmtId="168" fontId="33" fillId="13" borderId="5" xfId="13066" applyNumberFormat="1" applyFont="1" applyFill="1" applyBorder="1" applyAlignment="1">
      <alignment horizontal="center"/>
    </xf>
    <xf numFmtId="3" fontId="18" fillId="14" borderId="5" xfId="13066" applyNumberFormat="1" applyFont="1" applyFill="1" applyBorder="1" applyAlignment="1">
      <alignment horizontal="center" vertical="center"/>
    </xf>
    <xf numFmtId="165" fontId="18" fillId="19" borderId="5" xfId="13066" applyNumberFormat="1" applyFont="1" applyFill="1" applyBorder="1" applyAlignment="1">
      <alignment horizontal="center"/>
    </xf>
    <xf numFmtId="3" fontId="33" fillId="19" borderId="5" xfId="13066" applyNumberFormat="1" applyFont="1" applyFill="1" applyBorder="1" applyAlignment="1">
      <alignment horizontal="right" vertical="center"/>
    </xf>
    <xf numFmtId="165" fontId="18" fillId="19" borderId="5" xfId="13066" applyNumberFormat="1" applyFont="1" applyFill="1" applyBorder="1" applyAlignment="1">
      <alignment horizontal="center" vertical="center" wrapText="1"/>
    </xf>
    <xf numFmtId="1" fontId="18" fillId="19" borderId="5" xfId="13066" applyNumberFormat="1" applyFont="1" applyFill="1" applyBorder="1" applyAlignment="1">
      <alignment horizontal="center" vertical="center" wrapText="1"/>
    </xf>
    <xf numFmtId="1" fontId="18" fillId="19" borderId="5" xfId="13066" applyNumberFormat="1" applyFont="1" applyFill="1" applyBorder="1" applyAlignment="1">
      <alignment horizontal="center" vertical="center"/>
    </xf>
    <xf numFmtId="164" fontId="18" fillId="19" borderId="22" xfId="13066" applyNumberFormat="1" applyFont="1" applyFill="1" applyBorder="1" applyAlignment="1">
      <alignment horizontal="center" vertical="center"/>
    </xf>
    <xf numFmtId="0" fontId="18" fillId="54" borderId="5" xfId="13066" applyFont="1" applyFill="1" applyBorder="1" applyAlignment="1">
      <alignment horizontal="center" vertical="center"/>
    </xf>
    <xf numFmtId="0" fontId="18" fillId="55" borderId="5" xfId="13066" applyFont="1" applyFill="1" applyBorder="1" applyAlignment="1">
      <alignment horizontal="center" vertical="center"/>
    </xf>
    <xf numFmtId="165" fontId="18" fillId="54" borderId="5" xfId="13066" applyNumberFormat="1" applyFont="1" applyFill="1" applyBorder="1" applyAlignment="1">
      <alignment horizontal="center"/>
    </xf>
    <xf numFmtId="3" fontId="18" fillId="54" borderId="5" xfId="13066" applyNumberFormat="1" applyFont="1" applyFill="1" applyBorder="1" applyAlignment="1">
      <alignment horizontal="center" vertical="center"/>
    </xf>
    <xf numFmtId="165" fontId="18" fillId="55" borderId="5" xfId="13066" applyNumberFormat="1" applyFont="1" applyFill="1" applyBorder="1" applyAlignment="1">
      <alignment horizontal="center"/>
    </xf>
    <xf numFmtId="3" fontId="33" fillId="55" borderId="5" xfId="13066" applyNumberFormat="1" applyFont="1" applyFill="1" applyBorder="1" applyAlignment="1">
      <alignment horizontal="right" vertical="center"/>
    </xf>
    <xf numFmtId="165" fontId="18" fillId="55" borderId="5" xfId="13066" applyNumberFormat="1" applyFont="1" applyFill="1" applyBorder="1" applyAlignment="1">
      <alignment horizontal="center" vertical="center" wrapText="1"/>
    </xf>
    <xf numFmtId="1" fontId="18" fillId="55" borderId="5" xfId="13066" applyNumberFormat="1" applyFont="1" applyFill="1" applyBorder="1" applyAlignment="1">
      <alignment horizontal="center" vertical="center" wrapText="1"/>
    </xf>
    <xf numFmtId="0" fontId="30" fillId="2" borderId="6" xfId="13066" applyFont="1" applyFill="1" applyBorder="1" applyAlignment="1">
      <alignment horizontal="center" vertical="top" wrapText="1"/>
    </xf>
    <xf numFmtId="0" fontId="30" fillId="2" borderId="6" xfId="13066" applyFont="1" applyFill="1" applyBorder="1" applyAlignment="1">
      <alignment horizontal="left" vertical="top" wrapText="1"/>
    </xf>
    <xf numFmtId="0" fontId="30" fillId="2" borderId="6" xfId="13066" applyFont="1" applyFill="1" applyBorder="1" applyAlignment="1">
      <alignment horizontal="center" vertical="center" wrapText="1"/>
    </xf>
    <xf numFmtId="3" fontId="30" fillId="2" borderId="6" xfId="13066" applyNumberFormat="1" applyFont="1" applyFill="1" applyBorder="1" applyAlignment="1">
      <alignment horizontal="center" vertical="top" wrapText="1"/>
    </xf>
    <xf numFmtId="1" fontId="20" fillId="2" borderId="6" xfId="13066" applyNumberFormat="1" applyFont="1" applyFill="1" applyBorder="1" applyAlignment="1">
      <alignment horizontal="center" vertical="top" wrapText="1"/>
    </xf>
    <xf numFmtId="1" fontId="30" fillId="2" borderId="2" xfId="13066" applyNumberFormat="1" applyFont="1" applyFill="1" applyBorder="1" applyAlignment="1">
      <alignment horizontal="center" vertical="top" wrapText="1"/>
    </xf>
    <xf numFmtId="0" fontId="63" fillId="0" borderId="3" xfId="13066" applyFont="1"/>
    <xf numFmtId="14" fontId="64" fillId="13" borderId="5" xfId="13066" applyNumberFormat="1" applyFont="1" applyFill="1" applyBorder="1" applyAlignment="1">
      <alignment horizontal="center"/>
    </xf>
    <xf numFmtId="0" fontId="65" fillId="52" borderId="5" xfId="13066" applyFont="1" applyFill="1" applyBorder="1" applyAlignment="1">
      <alignment horizontal="center"/>
    </xf>
    <xf numFmtId="0" fontId="63" fillId="13" borderId="3" xfId="13066" applyFont="1" applyFill="1"/>
    <xf numFmtId="3" fontId="64" fillId="13" borderId="5" xfId="13066" applyNumberFormat="1" applyFont="1" applyFill="1" applyBorder="1" applyAlignment="1">
      <alignment horizontal="center"/>
    </xf>
    <xf numFmtId="14" fontId="64" fillId="13" borderId="5" xfId="13066" applyNumberFormat="1" applyFont="1" applyFill="1" applyBorder="1" applyAlignment="1">
      <alignment horizontal="center" vertical="center"/>
    </xf>
    <xf numFmtId="14" fontId="64" fillId="54" borderId="5" xfId="13066" applyNumberFormat="1" applyFont="1" applyFill="1" applyBorder="1" applyAlignment="1">
      <alignment horizontal="center"/>
    </xf>
    <xf numFmtId="3" fontId="64" fillId="54" borderId="5" xfId="13066" applyNumberFormat="1" applyFont="1" applyFill="1" applyBorder="1" applyAlignment="1">
      <alignment horizontal="center"/>
    </xf>
    <xf numFmtId="14" fontId="64" fillId="54" borderId="5" xfId="13066" applyNumberFormat="1" applyFont="1" applyFill="1" applyBorder="1" applyAlignment="1">
      <alignment horizontal="center" vertical="center"/>
    </xf>
    <xf numFmtId="0" fontId="18" fillId="54" borderId="5" xfId="13066" applyFont="1" applyFill="1" applyBorder="1" applyAlignment="1">
      <alignment horizontal="center"/>
    </xf>
    <xf numFmtId="0" fontId="18" fillId="0" borderId="5" xfId="13066" applyFont="1" applyBorder="1" applyAlignment="1">
      <alignment horizontal="center"/>
    </xf>
    <xf numFmtId="14" fontId="64" fillId="0" borderId="5" xfId="13066" applyNumberFormat="1" applyFont="1" applyBorder="1" applyAlignment="1">
      <alignment horizontal="center" vertical="center"/>
    </xf>
    <xf numFmtId="14" fontId="64" fillId="56" borderId="5" xfId="13066" applyNumberFormat="1" applyFont="1" applyFill="1" applyBorder="1" applyAlignment="1">
      <alignment horizontal="center" vertical="center"/>
    </xf>
    <xf numFmtId="0" fontId="63" fillId="0" borderId="3" xfId="13066" applyFont="1" applyAlignment="1">
      <alignment horizontal="center"/>
    </xf>
    <xf numFmtId="0" fontId="63" fillId="0" borderId="3" xfId="13066" applyFont="1" applyAlignment="1">
      <alignment horizontal="center" vertical="center"/>
    </xf>
    <xf numFmtId="0" fontId="18" fillId="0" borderId="3" xfId="13066" applyFont="1" applyAlignment="1">
      <alignment horizontal="center"/>
    </xf>
    <xf numFmtId="1" fontId="18" fillId="11" borderId="6" xfId="2253" applyNumberFormat="1" applyFont="1" applyFill="1" applyBorder="1" applyAlignment="1">
      <alignment horizontal="center" vertical="center"/>
    </xf>
    <xf numFmtId="164" fontId="18" fillId="11" borderId="1" xfId="2253" applyNumberFormat="1" applyFont="1" applyFill="1" applyBorder="1" applyAlignment="1">
      <alignment horizontal="center" vertical="center"/>
    </xf>
    <xf numFmtId="168" fontId="60" fillId="15" borderId="6" xfId="0" applyNumberFormat="1" applyFont="1" applyFill="1" applyBorder="1" applyAlignment="1">
      <alignment horizontal="center" vertical="center"/>
    </xf>
    <xf numFmtId="0" fontId="60" fillId="11" borderId="6" xfId="0" applyFont="1" applyFill="1" applyBorder="1" applyAlignment="1">
      <alignment horizontal="center" vertical="center"/>
    </xf>
    <xf numFmtId="0" fontId="64" fillId="13" borderId="3" xfId="4" applyFont="1" applyFill="1" applyAlignment="1">
      <alignment horizontal="center" vertical="center"/>
    </xf>
    <xf numFmtId="165" fontId="67" fillId="60" borderId="5" xfId="4" applyNumberFormat="1" applyFont="1" applyFill="1" applyBorder="1" applyAlignment="1">
      <alignment horizontal="center" vertical="center"/>
    </xf>
    <xf numFmtId="0" fontId="67" fillId="60" borderId="5" xfId="4" applyFont="1" applyFill="1" applyBorder="1" applyAlignment="1">
      <alignment horizontal="center" vertical="center"/>
    </xf>
    <xf numFmtId="0" fontId="67" fillId="60" borderId="5" xfId="4" applyFont="1" applyFill="1" applyBorder="1" applyAlignment="1">
      <alignment horizontal="left" vertical="center"/>
    </xf>
    <xf numFmtId="3" fontId="67" fillId="60" borderId="5" xfId="4" applyNumberFormat="1" applyFont="1" applyFill="1" applyBorder="1" applyAlignment="1">
      <alignment horizontal="center" vertical="center"/>
    </xf>
    <xf numFmtId="169" fontId="67" fillId="60" borderId="5" xfId="10" applyNumberFormat="1" applyFont="1" applyFill="1" applyBorder="1" applyAlignment="1" applyProtection="1">
      <alignment horizontal="center" vertical="center" wrapText="1"/>
    </xf>
    <xf numFmtId="1" fontId="67" fillId="60" borderId="5" xfId="4" applyNumberFormat="1" applyFont="1" applyFill="1" applyBorder="1" applyAlignment="1">
      <alignment horizontal="center" vertical="center" wrapText="1"/>
    </xf>
    <xf numFmtId="1" fontId="67" fillId="60" borderId="5" xfId="4" applyNumberFormat="1" applyFont="1" applyFill="1" applyBorder="1" applyAlignment="1">
      <alignment horizontal="center" vertical="center"/>
    </xf>
    <xf numFmtId="169" fontId="67" fillId="60" borderId="5" xfId="4" applyNumberFormat="1" applyFont="1" applyFill="1" applyBorder="1" applyAlignment="1">
      <alignment horizontal="center" vertical="center"/>
    </xf>
    <xf numFmtId="3" fontId="67" fillId="10" borderId="5" xfId="4" applyNumberFormat="1" applyFont="1" applyFill="1" applyBorder="1" applyAlignment="1">
      <alignment horizontal="center" vertical="center"/>
    </xf>
    <xf numFmtId="169" fontId="67" fillId="10" borderId="5" xfId="10" applyNumberFormat="1" applyFont="1" applyFill="1" applyBorder="1" applyAlignment="1" applyProtection="1">
      <alignment horizontal="center" vertical="center" wrapText="1"/>
    </xf>
    <xf numFmtId="1" fontId="67" fillId="10" borderId="5" xfId="4" applyNumberFormat="1" applyFont="1" applyFill="1" applyBorder="1" applyAlignment="1">
      <alignment horizontal="center" vertical="center" wrapText="1"/>
    </xf>
    <xf numFmtId="1" fontId="67" fillId="10" borderId="5" xfId="4" applyNumberFormat="1" applyFont="1" applyFill="1" applyBorder="1" applyAlignment="1">
      <alignment horizontal="center" vertical="center"/>
    </xf>
    <xf numFmtId="169" fontId="67" fillId="10" borderId="5" xfId="4" applyNumberFormat="1" applyFont="1" applyFill="1" applyBorder="1" applyAlignment="1">
      <alignment horizontal="center" vertical="center"/>
    </xf>
    <xf numFmtId="169" fontId="67" fillId="60" borderId="5" xfId="4" applyNumberFormat="1" applyFont="1" applyFill="1" applyBorder="1" applyAlignment="1">
      <alignment horizontal="left" vertical="center"/>
    </xf>
    <xf numFmtId="0" fontId="68" fillId="60" borderId="5" xfId="4" applyFont="1" applyFill="1" applyBorder="1" applyAlignment="1">
      <alignment horizontal="left" vertical="center"/>
    </xf>
    <xf numFmtId="0" fontId="64" fillId="10" borderId="3" xfId="4" applyFont="1" applyFill="1" applyAlignment="1">
      <alignment horizontal="center" vertical="center"/>
    </xf>
    <xf numFmtId="169" fontId="66" fillId="60" borderId="5" xfId="4" applyNumberFormat="1" applyFont="1" applyFill="1" applyBorder="1" applyAlignment="1">
      <alignment horizontal="left" vertical="center"/>
    </xf>
    <xf numFmtId="169" fontId="68" fillId="60" borderId="5" xfId="4" applyNumberFormat="1" applyFont="1" applyFill="1" applyBorder="1" applyAlignment="1">
      <alignment horizontal="left" vertical="center"/>
    </xf>
    <xf numFmtId="0" fontId="66" fillId="60" borderId="5" xfId="4" applyFont="1" applyFill="1" applyBorder="1" applyAlignment="1">
      <alignment horizontal="left" vertical="center"/>
    </xf>
    <xf numFmtId="165" fontId="67" fillId="10" borderId="5" xfId="4" applyNumberFormat="1" applyFont="1" applyFill="1" applyBorder="1" applyAlignment="1">
      <alignment horizontal="center" vertical="center"/>
    </xf>
    <xf numFmtId="0" fontId="68" fillId="10" borderId="5" xfId="4" applyFont="1" applyFill="1" applyBorder="1" applyAlignment="1">
      <alignment horizontal="center" vertical="center"/>
    </xf>
    <xf numFmtId="0" fontId="68" fillId="10" borderId="5" xfId="4" applyFont="1" applyFill="1" applyBorder="1" applyAlignment="1">
      <alignment horizontal="left" vertical="center"/>
    </xf>
    <xf numFmtId="0" fontId="67" fillId="22" borderId="5" xfId="4" applyFont="1" applyFill="1" applyBorder="1" applyAlignment="1">
      <alignment horizontal="left" vertical="center"/>
    </xf>
    <xf numFmtId="0" fontId="66" fillId="13" borderId="5" xfId="4" applyFont="1" applyFill="1" applyBorder="1" applyAlignment="1">
      <alignment horizontal="center" vertical="center"/>
    </xf>
    <xf numFmtId="3" fontId="66" fillId="13" borderId="5" xfId="4" applyNumberFormat="1" applyFont="1" applyFill="1" applyBorder="1" applyAlignment="1">
      <alignment horizontal="center" vertical="center"/>
    </xf>
    <xf numFmtId="0" fontId="67" fillId="13" borderId="5" xfId="4" applyFont="1" applyFill="1" applyBorder="1" applyAlignment="1">
      <alignment horizontal="center" vertical="center"/>
    </xf>
    <xf numFmtId="3" fontId="67" fillId="13" borderId="5" xfId="4" applyNumberFormat="1" applyFont="1" applyFill="1" applyBorder="1" applyAlignment="1">
      <alignment horizontal="center" vertical="center"/>
    </xf>
    <xf numFmtId="0" fontId="66" fillId="58" borderId="5" xfId="4" applyFont="1" applyFill="1" applyBorder="1" applyAlignment="1">
      <alignment horizontal="center" vertical="center"/>
    </xf>
    <xf numFmtId="169" fontId="68" fillId="10" borderId="5" xfId="4" applyNumberFormat="1" applyFont="1" applyFill="1" applyBorder="1" applyAlignment="1">
      <alignment horizontal="left" vertical="center"/>
    </xf>
    <xf numFmtId="0" fontId="71" fillId="59" borderId="5" xfId="4" applyFont="1" applyFill="1" applyBorder="1" applyAlignment="1">
      <alignment horizontal="center" vertical="center"/>
    </xf>
    <xf numFmtId="0" fontId="66" fillId="10" borderId="5" xfId="4" applyFont="1" applyFill="1" applyBorder="1" applyAlignment="1">
      <alignment horizontal="left" vertical="center"/>
    </xf>
    <xf numFmtId="14" fontId="66" fillId="13" borderId="5" xfId="4" applyNumberFormat="1" applyFont="1" applyFill="1" applyBorder="1" applyAlignment="1">
      <alignment horizontal="center" vertical="center" wrapText="1"/>
    </xf>
    <xf numFmtId="0" fontId="66" fillId="63" borderId="5" xfId="4" applyFont="1" applyFill="1" applyBorder="1" applyAlignment="1">
      <alignment horizontal="center" vertical="center"/>
    </xf>
    <xf numFmtId="169" fontId="67" fillId="63" borderId="5" xfId="4" applyNumberFormat="1" applyFont="1" applyFill="1" applyBorder="1" applyAlignment="1">
      <alignment horizontal="center" vertical="center"/>
    </xf>
    <xf numFmtId="165" fontId="67" fillId="63" borderId="5" xfId="4" applyNumberFormat="1" applyFont="1" applyFill="1" applyBorder="1" applyAlignment="1">
      <alignment horizontal="center" vertical="center"/>
    </xf>
    <xf numFmtId="1" fontId="67" fillId="63" borderId="5" xfId="4" applyNumberFormat="1" applyFont="1" applyFill="1" applyBorder="1" applyAlignment="1">
      <alignment horizontal="center" vertical="center"/>
    </xf>
    <xf numFmtId="3" fontId="67" fillId="63" borderId="5" xfId="4" applyNumberFormat="1" applyFont="1" applyFill="1" applyBorder="1" applyAlignment="1">
      <alignment horizontal="center" vertical="center"/>
    </xf>
    <xf numFmtId="169" fontId="67" fillId="13" borderId="5" xfId="4" applyNumberFormat="1" applyFont="1" applyFill="1" applyBorder="1" applyAlignment="1">
      <alignment horizontal="center" vertical="center"/>
    </xf>
    <xf numFmtId="165" fontId="67" fillId="13" borderId="5" xfId="4" applyNumberFormat="1" applyFont="1" applyFill="1" applyBorder="1" applyAlignment="1">
      <alignment horizontal="center" vertical="center"/>
    </xf>
    <xf numFmtId="1" fontId="67" fillId="13" borderId="5" xfId="4" applyNumberFormat="1" applyFont="1" applyFill="1" applyBorder="1" applyAlignment="1">
      <alignment horizontal="center" vertical="center"/>
    </xf>
    <xf numFmtId="0" fontId="65" fillId="13" borderId="3" xfId="4" applyFont="1" applyFill="1" applyAlignment="1">
      <alignment horizontal="center" vertical="center"/>
    </xf>
    <xf numFmtId="1" fontId="64" fillId="13" borderId="3" xfId="4" applyNumberFormat="1" applyFont="1" applyFill="1" applyAlignment="1">
      <alignment horizontal="center" vertical="center"/>
    </xf>
    <xf numFmtId="10" fontId="65" fillId="13" borderId="3" xfId="49" applyNumberFormat="1" applyFont="1" applyFill="1" applyAlignment="1">
      <alignment horizontal="center" vertical="center"/>
    </xf>
    <xf numFmtId="3" fontId="64" fillId="13" borderId="3" xfId="4" applyNumberFormat="1" applyFont="1" applyFill="1" applyAlignment="1">
      <alignment horizontal="center" vertical="center"/>
    </xf>
    <xf numFmtId="168" fontId="27" fillId="14" borderId="6" xfId="0" applyNumberFormat="1" applyFont="1" applyFill="1" applyBorder="1" applyAlignment="1">
      <alignment horizontal="center"/>
    </xf>
    <xf numFmtId="168" fontId="27" fillId="11" borderId="6" xfId="0" applyNumberFormat="1" applyFont="1" applyFill="1" applyBorder="1" applyAlignment="1">
      <alignment horizontal="center" vertical="center"/>
    </xf>
    <xf numFmtId="168" fontId="33" fillId="11" borderId="6" xfId="0" applyNumberFormat="1" applyFont="1" applyFill="1" applyBorder="1" applyAlignment="1">
      <alignment horizontal="center" vertical="center"/>
    </xf>
    <xf numFmtId="168" fontId="33" fillId="32" borderId="6" xfId="0" applyNumberFormat="1" applyFont="1" applyFill="1" applyBorder="1" applyAlignment="1">
      <alignment horizontal="center" vertical="center"/>
    </xf>
    <xf numFmtId="0" fontId="18" fillId="60" borderId="6" xfId="0" applyFont="1" applyFill="1" applyBorder="1" applyAlignment="1">
      <alignment horizontal="center" vertical="center"/>
    </xf>
    <xf numFmtId="164" fontId="18" fillId="60" borderId="6" xfId="0" applyNumberFormat="1" applyFont="1" applyFill="1" applyBorder="1" applyAlignment="1">
      <alignment horizontal="center" vertical="center"/>
    </xf>
    <xf numFmtId="165" fontId="18" fillId="60" borderId="6" xfId="0" applyNumberFormat="1" applyFont="1" applyFill="1" applyBorder="1" applyAlignment="1">
      <alignment horizontal="center"/>
    </xf>
    <xf numFmtId="168" fontId="33" fillId="60" borderId="6" xfId="0" applyNumberFormat="1" applyFont="1" applyFill="1" applyBorder="1" applyAlignment="1">
      <alignment horizontal="center"/>
    </xf>
    <xf numFmtId="3" fontId="18" fillId="60" borderId="6" xfId="0" applyNumberFormat="1" applyFont="1" applyFill="1" applyBorder="1" applyAlignment="1">
      <alignment horizontal="center" vertical="center"/>
    </xf>
    <xf numFmtId="14" fontId="18" fillId="60" borderId="6" xfId="0" applyNumberFormat="1" applyFont="1" applyFill="1" applyBorder="1" applyAlignment="1">
      <alignment horizontal="left" vertical="center" wrapText="1"/>
    </xf>
    <xf numFmtId="3" fontId="18" fillId="60" borderId="6" xfId="0" applyNumberFormat="1" applyFont="1" applyFill="1" applyBorder="1" applyAlignment="1">
      <alignment horizontal="right" vertical="center"/>
    </xf>
    <xf numFmtId="3" fontId="18" fillId="60" borderId="6" xfId="0" applyNumberFormat="1" applyFont="1" applyFill="1" applyBorder="1" applyAlignment="1">
      <alignment horizontal="center"/>
    </xf>
    <xf numFmtId="0" fontId="18" fillId="35" borderId="1" xfId="0" applyFont="1" applyFill="1" applyBorder="1" applyAlignment="1">
      <alignment horizontal="center" vertical="center"/>
    </xf>
    <xf numFmtId="164" fontId="18" fillId="35" borderId="1" xfId="0" applyNumberFormat="1" applyFont="1" applyFill="1" applyBorder="1" applyAlignment="1">
      <alignment horizontal="center" vertical="center"/>
    </xf>
    <xf numFmtId="165" fontId="18" fillId="35" borderId="1" xfId="0" applyNumberFormat="1" applyFont="1" applyFill="1" applyBorder="1" applyAlignment="1">
      <alignment horizontal="center"/>
    </xf>
    <xf numFmtId="3" fontId="18" fillId="35" borderId="1" xfId="0" applyNumberFormat="1" applyFont="1" applyFill="1" applyBorder="1" applyAlignment="1">
      <alignment horizontal="center"/>
    </xf>
    <xf numFmtId="3" fontId="18" fillId="35" borderId="1" xfId="0" applyNumberFormat="1" applyFont="1" applyFill="1" applyBorder="1" applyAlignment="1">
      <alignment horizontal="center" vertical="center"/>
    </xf>
    <xf numFmtId="3" fontId="18" fillId="35" borderId="1" xfId="0" applyNumberFormat="1" applyFont="1" applyFill="1" applyBorder="1" applyAlignment="1">
      <alignment horizontal="right" vertical="center"/>
    </xf>
    <xf numFmtId="165" fontId="18" fillId="15" borderId="1" xfId="13060" applyNumberFormat="1" applyFont="1" applyFill="1" applyBorder="1" applyAlignment="1">
      <alignment horizontal="center"/>
    </xf>
    <xf numFmtId="168" fontId="33" fillId="21" borderId="1" xfId="0" applyNumberFormat="1" applyFont="1" applyFill="1" applyBorder="1" applyAlignment="1">
      <alignment horizontal="center"/>
    </xf>
    <xf numFmtId="0" fontId="18" fillId="15" borderId="1" xfId="13060" applyFont="1" applyFill="1" applyBorder="1" applyAlignment="1">
      <alignment horizontal="center" vertical="center"/>
    </xf>
    <xf numFmtId="0" fontId="18" fillId="15" borderId="1" xfId="13060" applyFont="1" applyFill="1" applyBorder="1" applyAlignment="1">
      <alignment horizontal="left" vertical="center"/>
    </xf>
    <xf numFmtId="3" fontId="33" fillId="15" borderId="1" xfId="13060" applyNumberFormat="1" applyFont="1" applyFill="1" applyBorder="1" applyAlignment="1">
      <alignment horizontal="right" vertical="center"/>
    </xf>
    <xf numFmtId="165" fontId="18" fillId="15" borderId="1" xfId="13060" applyNumberFormat="1" applyFont="1" applyFill="1" applyBorder="1" applyAlignment="1">
      <alignment horizontal="center" vertical="center" wrapText="1"/>
    </xf>
    <xf numFmtId="1" fontId="18" fillId="15" borderId="1" xfId="13060" applyNumberFormat="1" applyFont="1" applyFill="1" applyBorder="1" applyAlignment="1">
      <alignment horizontal="center" vertical="center" wrapText="1"/>
    </xf>
    <xf numFmtId="1" fontId="18" fillId="15" borderId="1" xfId="13060" applyNumberFormat="1" applyFont="1" applyFill="1" applyBorder="1" applyAlignment="1">
      <alignment horizontal="center" vertical="center"/>
    </xf>
    <xf numFmtId="164" fontId="18" fillId="15" borderId="1" xfId="13060" applyNumberFormat="1" applyFont="1" applyFill="1" applyBorder="1" applyAlignment="1">
      <alignment horizontal="center" vertical="center"/>
    </xf>
    <xf numFmtId="3" fontId="33" fillId="13" borderId="5" xfId="13066" applyNumberFormat="1" applyFont="1" applyFill="1" applyBorder="1" applyAlignment="1">
      <alignment horizontal="right" vertical="center"/>
    </xf>
    <xf numFmtId="165" fontId="18" fillId="13" borderId="5" xfId="13066" applyNumberFormat="1" applyFont="1" applyFill="1" applyBorder="1" applyAlignment="1">
      <alignment horizontal="center" vertical="center" wrapText="1"/>
    </xf>
    <xf numFmtId="1" fontId="18" fillId="13" borderId="5" xfId="13066" applyNumberFormat="1" applyFont="1" applyFill="1" applyBorder="1" applyAlignment="1">
      <alignment horizontal="center" vertical="center" wrapText="1"/>
    </xf>
    <xf numFmtId="0" fontId="18" fillId="13" borderId="5" xfId="13066" applyFont="1" applyFill="1" applyBorder="1" applyAlignment="1">
      <alignment horizontal="center"/>
    </xf>
    <xf numFmtId="0" fontId="62" fillId="67" borderId="5" xfId="13066" applyFont="1" applyFill="1" applyBorder="1" applyAlignment="1">
      <alignment horizontal="center"/>
    </xf>
    <xf numFmtId="164" fontId="18" fillId="10" borderId="6" xfId="0" applyNumberFormat="1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165" fontId="18" fillId="11" borderId="6" xfId="13060" applyNumberFormat="1" applyFont="1" applyFill="1" applyBorder="1" applyAlignment="1">
      <alignment horizontal="center"/>
    </xf>
    <xf numFmtId="14" fontId="27" fillId="14" borderId="6" xfId="0" applyNumberFormat="1" applyFont="1" applyFill="1" applyBorder="1" applyAlignment="1">
      <alignment horizontal="left" vertical="center" wrapText="1"/>
    </xf>
    <xf numFmtId="168" fontId="27" fillId="70" borderId="6" xfId="0" applyNumberFormat="1" applyFont="1" applyFill="1" applyBorder="1" applyAlignment="1">
      <alignment horizontal="center"/>
    </xf>
    <xf numFmtId="0" fontId="16" fillId="2" borderId="6" xfId="702" applyFont="1" applyFill="1" applyBorder="1" applyAlignment="1">
      <alignment horizontal="center" vertical="top" wrapText="1"/>
    </xf>
    <xf numFmtId="0" fontId="16" fillId="2" borderId="6" xfId="702" applyFont="1" applyFill="1" applyBorder="1" applyAlignment="1">
      <alignment horizontal="center" vertical="center" wrapText="1"/>
    </xf>
    <xf numFmtId="0" fontId="16" fillId="2" borderId="6" xfId="702" applyFont="1" applyFill="1" applyBorder="1" applyAlignment="1">
      <alignment horizontal="left" vertical="top" wrapText="1"/>
    </xf>
    <xf numFmtId="3" fontId="16" fillId="2" borderId="6" xfId="702" applyNumberFormat="1" applyFont="1" applyFill="1" applyBorder="1" applyAlignment="1">
      <alignment horizontal="center" vertical="top" wrapText="1"/>
    </xf>
    <xf numFmtId="1" fontId="16" fillId="2" borderId="6" xfId="702" applyNumberFormat="1" applyFont="1" applyFill="1" applyBorder="1" applyAlignment="1">
      <alignment horizontal="center" vertical="top" wrapText="1"/>
    </xf>
    <xf numFmtId="1" fontId="16" fillId="2" borderId="2" xfId="702" applyNumberFormat="1" applyFont="1" applyFill="1" applyBorder="1" applyAlignment="1">
      <alignment horizontal="center" vertical="top" wrapText="1"/>
    </xf>
    <xf numFmtId="0" fontId="32" fillId="0" borderId="3" xfId="702"/>
    <xf numFmtId="0" fontId="33" fillId="10" borderId="6" xfId="702" applyFont="1" applyFill="1" applyBorder="1" applyAlignment="1">
      <alignment horizontal="center" vertical="center"/>
    </xf>
    <xf numFmtId="164" fontId="33" fillId="10" borderId="6" xfId="702" applyNumberFormat="1" applyFont="1" applyFill="1" applyBorder="1" applyAlignment="1">
      <alignment horizontal="center" vertical="center"/>
    </xf>
    <xf numFmtId="3" fontId="33" fillId="10" borderId="6" xfId="702" applyNumberFormat="1" applyFont="1" applyFill="1" applyBorder="1" applyAlignment="1">
      <alignment horizontal="center" vertical="center"/>
    </xf>
    <xf numFmtId="14" fontId="33" fillId="10" borderId="6" xfId="702" applyNumberFormat="1" applyFont="1" applyFill="1" applyBorder="1" applyAlignment="1">
      <alignment horizontal="left" vertical="center" wrapText="1"/>
    </xf>
    <xf numFmtId="3" fontId="33" fillId="10" borderId="6" xfId="702" applyNumberFormat="1" applyFont="1" applyFill="1" applyBorder="1" applyAlignment="1">
      <alignment horizontal="right" vertical="center"/>
    </xf>
    <xf numFmtId="0" fontId="33" fillId="11" borderId="6" xfId="702" applyFont="1" applyFill="1" applyBorder="1" applyAlignment="1">
      <alignment horizontal="center" vertical="center"/>
    </xf>
    <xf numFmtId="0" fontId="33" fillId="10" borderId="6" xfId="702" applyFont="1" applyFill="1" applyBorder="1" applyAlignment="1">
      <alignment horizontal="left" vertical="center"/>
    </xf>
    <xf numFmtId="3" fontId="33" fillId="11" borderId="6" xfId="702" applyNumberFormat="1" applyFont="1" applyFill="1" applyBorder="1" applyAlignment="1">
      <alignment horizontal="right" vertical="center"/>
    </xf>
    <xf numFmtId="165" fontId="33" fillId="11" borderId="6" xfId="702" applyNumberFormat="1" applyFont="1" applyFill="1" applyBorder="1" applyAlignment="1">
      <alignment horizontal="center" vertical="center" wrapText="1"/>
    </xf>
    <xf numFmtId="1" fontId="33" fillId="11" borderId="6" xfId="702" applyNumberFormat="1" applyFont="1" applyFill="1" applyBorder="1" applyAlignment="1">
      <alignment horizontal="center" vertical="center" wrapText="1"/>
    </xf>
    <xf numFmtId="1" fontId="33" fillId="11" borderId="6" xfId="702" applyNumberFormat="1" applyFont="1" applyFill="1" applyBorder="1" applyAlignment="1">
      <alignment horizontal="center" vertical="center"/>
    </xf>
    <xf numFmtId="164" fontId="33" fillId="11" borderId="2" xfId="702" applyNumberFormat="1" applyFont="1" applyFill="1" applyBorder="1" applyAlignment="1">
      <alignment horizontal="center" vertical="center"/>
    </xf>
    <xf numFmtId="0" fontId="18" fillId="10" borderId="6" xfId="702" applyFont="1" applyFill="1" applyBorder="1" applyAlignment="1">
      <alignment horizontal="center" vertical="center"/>
    </xf>
    <xf numFmtId="3" fontId="18" fillId="10" borderId="6" xfId="702" applyNumberFormat="1" applyFont="1" applyFill="1" applyBorder="1" applyAlignment="1">
      <alignment horizontal="center" vertical="center"/>
    </xf>
    <xf numFmtId="166" fontId="18" fillId="5" borderId="6" xfId="702" applyNumberFormat="1" applyFont="1" applyFill="1" applyBorder="1" applyAlignment="1">
      <alignment horizontal="center" vertical="center"/>
    </xf>
    <xf numFmtId="0" fontId="38" fillId="10" borderId="6" xfId="702" applyFont="1" applyFill="1" applyBorder="1" applyAlignment="1">
      <alignment horizontal="center" vertical="center"/>
    </xf>
    <xf numFmtId="165" fontId="33" fillId="10" borderId="6" xfId="702" applyNumberFormat="1" applyFont="1" applyFill="1" applyBorder="1" applyAlignment="1">
      <alignment horizontal="center" vertical="center" wrapText="1"/>
    </xf>
    <xf numFmtId="1" fontId="33" fillId="10" borderId="6" xfId="702" applyNumberFormat="1" applyFont="1" applyFill="1" applyBorder="1" applyAlignment="1">
      <alignment horizontal="center" vertical="center" wrapText="1"/>
    </xf>
    <xf numFmtId="1" fontId="33" fillId="10" borderId="6" xfId="702" applyNumberFormat="1" applyFont="1" applyFill="1" applyBorder="1" applyAlignment="1">
      <alignment horizontal="center" vertical="center"/>
    </xf>
    <xf numFmtId="164" fontId="33" fillId="10" borderId="2" xfId="702" applyNumberFormat="1" applyFont="1" applyFill="1" applyBorder="1" applyAlignment="1">
      <alignment horizontal="center" vertical="center"/>
    </xf>
    <xf numFmtId="164" fontId="33" fillId="11" borderId="6" xfId="702" applyNumberFormat="1" applyFont="1" applyFill="1" applyBorder="1" applyAlignment="1">
      <alignment horizontal="center" vertical="center"/>
    </xf>
    <xf numFmtId="0" fontId="18" fillId="6" borderId="3" xfId="13068" applyFont="1" applyFill="1" applyAlignment="1">
      <alignment vertical="center"/>
    </xf>
    <xf numFmtId="0" fontId="39" fillId="0" borderId="3" xfId="13068" applyFont="1" applyAlignment="1">
      <alignment vertical="center"/>
    </xf>
    <xf numFmtId="0" fontId="18" fillId="0" borderId="3" xfId="702" applyFont="1" applyAlignment="1">
      <alignment horizontal="center" vertical="center"/>
    </xf>
    <xf numFmtId="0" fontId="18" fillId="0" borderId="3" xfId="702" applyFont="1" applyAlignment="1">
      <alignment vertical="center"/>
    </xf>
    <xf numFmtId="0" fontId="18" fillId="0" borderId="3" xfId="702" applyFont="1" applyAlignment="1">
      <alignment horizontal="right" vertical="center"/>
    </xf>
    <xf numFmtId="3" fontId="33" fillId="0" borderId="3" xfId="702" applyNumberFormat="1" applyFont="1" applyAlignment="1">
      <alignment horizontal="right" vertical="center"/>
    </xf>
    <xf numFmtId="1" fontId="18" fillId="0" borderId="3" xfId="702" applyNumberFormat="1" applyFont="1" applyAlignment="1">
      <alignment horizontal="center" vertical="center"/>
    </xf>
    <xf numFmtId="14" fontId="33" fillId="10" borderId="6" xfId="702" applyNumberFormat="1" applyFont="1" applyFill="1" applyBorder="1" applyAlignment="1">
      <alignment horizontal="center" vertical="center" wrapText="1"/>
    </xf>
    <xf numFmtId="14" fontId="33" fillId="11" borderId="6" xfId="1306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6" xfId="0" applyBorder="1"/>
    <xf numFmtId="0" fontId="0" fillId="0" borderId="27" xfId="0" applyBorder="1"/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20" xfId="0" applyBorder="1"/>
    <xf numFmtId="0" fontId="32" fillId="0" borderId="21" xfId="0" applyFont="1" applyBorder="1"/>
    <xf numFmtId="0" fontId="32" fillId="53" borderId="21" xfId="0" applyFont="1" applyFill="1" applyBorder="1"/>
    <xf numFmtId="0" fontId="32" fillId="64" borderId="21" xfId="0" applyFont="1" applyFill="1" applyBorder="1"/>
    <xf numFmtId="0" fontId="32" fillId="72" borderId="30" xfId="0" applyFont="1" applyFill="1" applyBorder="1"/>
    <xf numFmtId="0" fontId="57" fillId="0" borderId="21" xfId="0" applyFont="1" applyBorder="1" applyAlignment="1">
      <alignment vertical="center"/>
    </xf>
    <xf numFmtId="3" fontId="57" fillId="0" borderId="21" xfId="0" applyNumberFormat="1" applyFont="1" applyBorder="1" applyAlignment="1">
      <alignment vertical="center"/>
    </xf>
    <xf numFmtId="49" fontId="57" fillId="0" borderId="21" xfId="0" applyNumberFormat="1" applyFont="1" applyBorder="1" applyAlignment="1">
      <alignment horizontal="right" vertical="center"/>
    </xf>
    <xf numFmtId="0" fontId="57" fillId="0" borderId="21" xfId="0" applyFont="1" applyBorder="1" applyAlignment="1">
      <alignment horizontal="left" vertical="center"/>
    </xf>
    <xf numFmtId="3" fontId="57" fillId="0" borderId="21" xfId="0" applyNumberFormat="1" applyFont="1" applyBorder="1" applyAlignment="1">
      <alignment horizontal="right" vertical="center"/>
    </xf>
    <xf numFmtId="0" fontId="57" fillId="10" borderId="21" xfId="0" applyFont="1" applyFill="1" applyBorder="1" applyAlignment="1">
      <alignment vertical="center"/>
    </xf>
    <xf numFmtId="0" fontId="57" fillId="53" borderId="21" xfId="0" applyFont="1" applyFill="1" applyBorder="1" applyAlignment="1">
      <alignment vertical="center"/>
    </xf>
    <xf numFmtId="3" fontId="57" fillId="53" borderId="21" xfId="0" applyNumberFormat="1" applyFont="1" applyFill="1" applyBorder="1" applyAlignment="1">
      <alignment horizontal="center" vertical="center"/>
    </xf>
    <xf numFmtId="49" fontId="57" fillId="53" borderId="21" xfId="0" applyNumberFormat="1" applyFont="1" applyFill="1" applyBorder="1" applyAlignment="1">
      <alignment vertical="center"/>
    </xf>
    <xf numFmtId="0" fontId="57" fillId="64" borderId="21" xfId="0" applyFont="1" applyFill="1" applyBorder="1" applyAlignment="1">
      <alignment vertical="center"/>
    </xf>
    <xf numFmtId="3" fontId="57" fillId="64" borderId="21" xfId="0" applyNumberFormat="1" applyFont="1" applyFill="1" applyBorder="1" applyAlignment="1">
      <alignment vertical="center"/>
    </xf>
    <xf numFmtId="49" fontId="57" fillId="64" borderId="21" xfId="0" applyNumberFormat="1" applyFont="1" applyFill="1" applyBorder="1" applyAlignment="1">
      <alignment horizontal="right" vertical="center"/>
    </xf>
    <xf numFmtId="0" fontId="57" fillId="72" borderId="30" xfId="0" applyFont="1" applyFill="1" applyBorder="1" applyAlignment="1">
      <alignment vertical="center"/>
    </xf>
    <xf numFmtId="3" fontId="57" fillId="72" borderId="30" xfId="0" applyNumberFormat="1" applyFont="1" applyFill="1" applyBorder="1" applyAlignment="1">
      <alignment vertical="center"/>
    </xf>
    <xf numFmtId="49" fontId="57" fillId="72" borderId="30" xfId="0" applyNumberFormat="1" applyFont="1" applyFill="1" applyBorder="1" applyAlignment="1">
      <alignment horizontal="right" vertical="center"/>
    </xf>
    <xf numFmtId="14" fontId="18" fillId="11" borderId="6" xfId="13060" applyNumberFormat="1" applyFont="1" applyFill="1" applyBorder="1" applyAlignment="1">
      <alignment horizontal="center" vertical="center" wrapText="1"/>
    </xf>
    <xf numFmtId="14" fontId="18" fillId="35" borderId="6" xfId="0" applyNumberFormat="1" applyFont="1" applyFill="1" applyBorder="1" applyAlignment="1">
      <alignment horizontal="center" vertical="center" wrapText="1"/>
    </xf>
    <xf numFmtId="0" fontId="32" fillId="73" borderId="21" xfId="0" applyFont="1" applyFill="1" applyBorder="1"/>
    <xf numFmtId="0" fontId="32" fillId="73" borderId="30" xfId="0" applyFont="1" applyFill="1" applyBorder="1"/>
    <xf numFmtId="3" fontId="57" fillId="0" borderId="21" xfId="0" applyNumberFormat="1" applyFont="1" applyBorder="1" applyAlignment="1">
      <alignment horizontal="center" vertical="center"/>
    </xf>
    <xf numFmtId="49" fontId="57" fillId="0" borderId="21" xfId="0" applyNumberFormat="1" applyFont="1" applyBorder="1" applyAlignment="1">
      <alignment vertical="center"/>
    </xf>
    <xf numFmtId="0" fontId="57" fillId="20" borderId="21" xfId="0" applyFont="1" applyFill="1" applyBorder="1" applyAlignment="1">
      <alignment vertical="center"/>
    </xf>
    <xf numFmtId="3" fontId="57" fillId="20" borderId="21" xfId="0" applyNumberFormat="1" applyFont="1" applyFill="1" applyBorder="1" applyAlignment="1">
      <alignment horizontal="center" vertical="center"/>
    </xf>
    <xf numFmtId="49" fontId="57" fillId="20" borderId="21" xfId="0" applyNumberFormat="1" applyFont="1" applyFill="1" applyBorder="1" applyAlignment="1">
      <alignment vertical="center"/>
    </xf>
    <xf numFmtId="3" fontId="57" fillId="64" borderId="21" xfId="0" applyNumberFormat="1" applyFont="1" applyFill="1" applyBorder="1" applyAlignment="1">
      <alignment horizontal="center" vertical="center"/>
    </xf>
    <xf numFmtId="49" fontId="57" fillId="64" borderId="21" xfId="0" applyNumberFormat="1" applyFont="1" applyFill="1" applyBorder="1" applyAlignment="1">
      <alignment vertical="center"/>
    </xf>
    <xf numFmtId="3" fontId="57" fillId="72" borderId="30" xfId="0" applyNumberFormat="1" applyFont="1" applyFill="1" applyBorder="1" applyAlignment="1">
      <alignment horizontal="center" vertical="center"/>
    </xf>
    <xf numFmtId="49" fontId="57" fillId="72" borderId="30" xfId="0" applyNumberFormat="1" applyFont="1" applyFill="1" applyBorder="1" applyAlignment="1">
      <alignment vertical="center"/>
    </xf>
    <xf numFmtId="0" fontId="57" fillId="73" borderId="21" xfId="0" applyFont="1" applyFill="1" applyBorder="1" applyAlignment="1">
      <alignment vertical="center"/>
    </xf>
    <xf numFmtId="3" fontId="57" fillId="73" borderId="21" xfId="0" applyNumberFormat="1" applyFont="1" applyFill="1" applyBorder="1" applyAlignment="1">
      <alignment horizontal="center" vertical="center"/>
    </xf>
    <xf numFmtId="49" fontId="57" fillId="73" borderId="21" xfId="0" applyNumberFormat="1" applyFont="1" applyFill="1" applyBorder="1" applyAlignment="1">
      <alignment vertical="center"/>
    </xf>
    <xf numFmtId="0" fontId="57" fillId="73" borderId="30" xfId="0" applyFont="1" applyFill="1" applyBorder="1" applyAlignment="1">
      <alignment vertical="center"/>
    </xf>
    <xf numFmtId="0" fontId="32" fillId="10" borderId="21" xfId="0" applyFont="1" applyFill="1" applyBorder="1"/>
    <xf numFmtId="3" fontId="57" fillId="10" borderId="21" xfId="0" applyNumberFormat="1" applyFont="1" applyFill="1" applyBorder="1" applyAlignment="1">
      <alignment horizontal="center" vertical="center"/>
    </xf>
    <xf numFmtId="49" fontId="57" fillId="10" borderId="21" xfId="0" applyNumberFormat="1" applyFont="1" applyFill="1" applyBorder="1" applyAlignment="1">
      <alignment vertical="center"/>
    </xf>
    <xf numFmtId="0" fontId="32" fillId="10" borderId="30" xfId="0" applyFont="1" applyFill="1" applyBorder="1"/>
    <xf numFmtId="0" fontId="57" fillId="10" borderId="30" xfId="0" applyFont="1" applyFill="1" applyBorder="1" applyAlignment="1">
      <alignment vertical="center"/>
    </xf>
    <xf numFmtId="3" fontId="57" fillId="73" borderId="21" xfId="0" applyNumberFormat="1" applyFont="1" applyFill="1" applyBorder="1" applyAlignment="1">
      <alignment vertical="center"/>
    </xf>
    <xf numFmtId="49" fontId="57" fillId="73" borderId="21" xfId="0" applyNumberFormat="1" applyFont="1" applyFill="1" applyBorder="1" applyAlignment="1">
      <alignment horizontal="right" vertical="center"/>
    </xf>
    <xf numFmtId="3" fontId="57" fillId="73" borderId="30" xfId="0" applyNumberFormat="1" applyFont="1" applyFill="1" applyBorder="1" applyAlignment="1">
      <alignment vertical="center"/>
    </xf>
    <xf numFmtId="49" fontId="57" fillId="73" borderId="30" xfId="0" applyNumberFormat="1" applyFont="1" applyFill="1" applyBorder="1" applyAlignment="1">
      <alignment horizontal="right" vertical="center"/>
    </xf>
    <xf numFmtId="0" fontId="18" fillId="11" borderId="6" xfId="13060" applyFont="1" applyFill="1" applyBorder="1" applyAlignment="1">
      <alignment horizontal="left" vertical="center"/>
    </xf>
    <xf numFmtId="0" fontId="65" fillId="20" borderId="5" xfId="13066" applyFont="1" applyFill="1" applyBorder="1" applyAlignment="1">
      <alignment horizontal="center"/>
    </xf>
    <xf numFmtId="0" fontId="32" fillId="75" borderId="21" xfId="0" applyFont="1" applyFill="1" applyBorder="1"/>
    <xf numFmtId="0" fontId="57" fillId="75" borderId="21" xfId="0" applyFont="1" applyFill="1" applyBorder="1" applyAlignment="1">
      <alignment vertical="center"/>
    </xf>
    <xf numFmtId="3" fontId="57" fillId="75" borderId="21" xfId="0" applyNumberFormat="1" applyFont="1" applyFill="1" applyBorder="1" applyAlignment="1">
      <alignment vertical="center"/>
    </xf>
    <xf numFmtId="2" fontId="57" fillId="75" borderId="21" xfId="0" applyNumberFormat="1" applyFont="1" applyFill="1" applyBorder="1" applyAlignment="1">
      <alignment horizontal="right" vertical="center"/>
    </xf>
    <xf numFmtId="0" fontId="32" fillId="75" borderId="30" xfId="0" applyFont="1" applyFill="1" applyBorder="1"/>
    <xf numFmtId="0" fontId="57" fillId="75" borderId="30" xfId="0" applyFont="1" applyFill="1" applyBorder="1" applyAlignment="1">
      <alignment vertical="center"/>
    </xf>
    <xf numFmtId="3" fontId="57" fillId="75" borderId="30" xfId="0" applyNumberFormat="1" applyFont="1" applyFill="1" applyBorder="1" applyAlignment="1">
      <alignment vertical="center"/>
    </xf>
    <xf numFmtId="3" fontId="57" fillId="75" borderId="21" xfId="0" applyNumberFormat="1" applyFont="1" applyFill="1" applyBorder="1" applyAlignment="1">
      <alignment horizontal="center" vertical="center"/>
    </xf>
    <xf numFmtId="0" fontId="0" fillId="75" borderId="21" xfId="0" applyFill="1" applyBorder="1"/>
    <xf numFmtId="2" fontId="57" fillId="75" borderId="21" xfId="0" applyNumberFormat="1" applyFont="1" applyFill="1" applyBorder="1" applyAlignment="1">
      <alignment vertical="center"/>
    </xf>
    <xf numFmtId="3" fontId="57" fillId="20" borderId="21" xfId="0" applyNumberFormat="1" applyFont="1" applyFill="1" applyBorder="1" applyAlignment="1">
      <alignment vertical="center"/>
    </xf>
    <xf numFmtId="49" fontId="57" fillId="20" borderId="21" xfId="0" applyNumberFormat="1" applyFont="1" applyFill="1" applyBorder="1" applyAlignment="1">
      <alignment horizontal="right" vertical="center"/>
    </xf>
    <xf numFmtId="14" fontId="18" fillId="10" borderId="6" xfId="0" applyNumberFormat="1" applyFont="1" applyFill="1" applyBorder="1" applyAlignment="1">
      <alignment horizontal="center" vertical="center" wrapText="1"/>
    </xf>
    <xf numFmtId="3" fontId="18" fillId="10" borderId="6" xfId="0" applyNumberFormat="1" applyFont="1" applyFill="1" applyBorder="1" applyAlignment="1">
      <alignment horizontal="right" vertical="center"/>
    </xf>
    <xf numFmtId="14" fontId="64" fillId="10" borderId="5" xfId="13066" applyNumberFormat="1" applyFont="1" applyFill="1" applyBorder="1" applyAlignment="1">
      <alignment horizontal="center" vertical="center"/>
    </xf>
    <xf numFmtId="3" fontId="33" fillId="11" borderId="5" xfId="13066" applyNumberFormat="1" applyFont="1" applyFill="1" applyBorder="1" applyAlignment="1">
      <alignment horizontal="right" vertical="center"/>
    </xf>
    <xf numFmtId="165" fontId="18" fillId="11" borderId="5" xfId="13066" applyNumberFormat="1" applyFont="1" applyFill="1" applyBorder="1" applyAlignment="1">
      <alignment horizontal="center" vertical="center" wrapText="1"/>
    </xf>
    <xf numFmtId="1" fontId="18" fillId="11" borderId="5" xfId="13066" applyNumberFormat="1" applyFont="1" applyFill="1" applyBorder="1" applyAlignment="1">
      <alignment horizontal="center" vertical="center" wrapText="1"/>
    </xf>
    <xf numFmtId="1" fontId="18" fillId="11" borderId="5" xfId="13066" applyNumberFormat="1" applyFont="1" applyFill="1" applyBorder="1" applyAlignment="1">
      <alignment horizontal="center" vertical="center"/>
    </xf>
    <xf numFmtId="0" fontId="18" fillId="10" borderId="5" xfId="13066" applyFont="1" applyFill="1" applyBorder="1" applyAlignment="1">
      <alignment horizontal="center"/>
    </xf>
    <xf numFmtId="0" fontId="67" fillId="63" borderId="5" xfId="4" applyFont="1" applyFill="1" applyBorder="1" applyAlignment="1">
      <alignment horizontal="center" vertical="center"/>
    </xf>
    <xf numFmtId="3" fontId="66" fillId="63" borderId="5" xfId="4" applyNumberFormat="1" applyFont="1" applyFill="1" applyBorder="1" applyAlignment="1">
      <alignment horizontal="center" vertical="center"/>
    </xf>
    <xf numFmtId="0" fontId="67" fillId="10" borderId="5" xfId="4" applyFont="1" applyFill="1" applyBorder="1" applyAlignment="1">
      <alignment horizontal="center" vertical="center"/>
    </xf>
    <xf numFmtId="169" fontId="66" fillId="10" borderId="5" xfId="4" applyNumberFormat="1" applyFont="1" applyFill="1" applyBorder="1" applyAlignment="1">
      <alignment horizontal="left" vertical="center"/>
    </xf>
    <xf numFmtId="14" fontId="68" fillId="63" borderId="5" xfId="4" applyNumberFormat="1" applyFont="1" applyFill="1" applyBorder="1" applyAlignment="1">
      <alignment horizontal="center" vertical="center" wrapText="1"/>
    </xf>
    <xf numFmtId="0" fontId="66" fillId="10" borderId="5" xfId="4" applyFont="1" applyFill="1" applyBorder="1" applyAlignment="1">
      <alignment horizontal="center" vertical="center"/>
    </xf>
    <xf numFmtId="1" fontId="68" fillId="13" borderId="5" xfId="4" applyNumberFormat="1" applyFont="1" applyFill="1" applyBorder="1" applyAlignment="1">
      <alignment horizontal="center" vertical="center"/>
    </xf>
    <xf numFmtId="0" fontId="68" fillId="63" borderId="5" xfId="4" applyFont="1" applyFill="1" applyBorder="1" applyAlignment="1">
      <alignment horizontal="center" vertical="center"/>
    </xf>
    <xf numFmtId="170" fontId="76" fillId="63" borderId="5" xfId="13067" applyNumberFormat="1" applyFont="1" applyFill="1" applyBorder="1" applyAlignment="1">
      <alignment horizontal="center"/>
    </xf>
    <xf numFmtId="3" fontId="67" fillId="63" borderId="23" xfId="4" applyNumberFormat="1" applyFont="1" applyFill="1" applyBorder="1" applyAlignment="1">
      <alignment horizontal="center" vertical="center"/>
    </xf>
    <xf numFmtId="170" fontId="76" fillId="13" borderId="5" xfId="13067" applyNumberFormat="1" applyFont="1" applyFill="1" applyBorder="1" applyAlignment="1">
      <alignment horizontal="center"/>
    </xf>
    <xf numFmtId="0" fontId="66" fillId="66" borderId="5" xfId="4" applyFont="1" applyFill="1" applyBorder="1" applyAlignment="1">
      <alignment horizontal="center" vertical="center"/>
    </xf>
    <xf numFmtId="0" fontId="68" fillId="13" borderId="5" xfId="4" applyFont="1" applyFill="1" applyBorder="1" applyAlignment="1">
      <alignment horizontal="center" vertical="center"/>
    </xf>
    <xf numFmtId="0" fontId="66" fillId="65" borderId="5" xfId="4" applyFont="1" applyFill="1" applyBorder="1" applyAlignment="1">
      <alignment horizontal="center" vertical="center"/>
    </xf>
    <xf numFmtId="166" fontId="18" fillId="76" borderId="6" xfId="0" applyNumberFormat="1" applyFont="1" applyFill="1" applyBorder="1" applyAlignment="1">
      <alignment horizontal="center" vertical="center"/>
    </xf>
    <xf numFmtId="0" fontId="18" fillId="77" borderId="6" xfId="0" applyFont="1" applyFill="1" applyBorder="1" applyAlignment="1">
      <alignment horizontal="center" vertical="center"/>
    </xf>
    <xf numFmtId="164" fontId="18" fillId="77" borderId="6" xfId="0" applyNumberFormat="1" applyFont="1" applyFill="1" applyBorder="1" applyAlignment="1">
      <alignment horizontal="center" vertical="center"/>
    </xf>
    <xf numFmtId="0" fontId="18" fillId="78" borderId="6" xfId="0" applyFont="1" applyFill="1" applyBorder="1" applyAlignment="1">
      <alignment horizontal="center" vertical="center"/>
    </xf>
    <xf numFmtId="165" fontId="18" fillId="77" borderId="6" xfId="0" applyNumberFormat="1" applyFont="1" applyFill="1" applyBorder="1" applyAlignment="1">
      <alignment horizontal="center"/>
    </xf>
    <xf numFmtId="3" fontId="18" fillId="77" borderId="6" xfId="0" applyNumberFormat="1" applyFont="1" applyFill="1" applyBorder="1" applyAlignment="1">
      <alignment horizontal="center"/>
    </xf>
    <xf numFmtId="3" fontId="18" fillId="77" borderId="6" xfId="0" applyNumberFormat="1" applyFont="1" applyFill="1" applyBorder="1" applyAlignment="1">
      <alignment horizontal="center" vertical="center"/>
    </xf>
    <xf numFmtId="14" fontId="18" fillId="77" borderId="6" xfId="0" applyNumberFormat="1" applyFont="1" applyFill="1" applyBorder="1" applyAlignment="1">
      <alignment horizontal="left" vertical="center" wrapText="1"/>
    </xf>
    <xf numFmtId="3" fontId="18" fillId="77" borderId="6" xfId="0" applyNumberFormat="1" applyFont="1" applyFill="1" applyBorder="1" applyAlignment="1">
      <alignment horizontal="right" vertical="center"/>
    </xf>
    <xf numFmtId="0" fontId="18" fillId="77" borderId="1" xfId="0" applyFont="1" applyFill="1" applyBorder="1" applyAlignment="1">
      <alignment horizontal="center" vertical="center"/>
    </xf>
    <xf numFmtId="164" fontId="18" fillId="77" borderId="1" xfId="0" applyNumberFormat="1" applyFont="1" applyFill="1" applyBorder="1" applyAlignment="1">
      <alignment horizontal="center" vertical="center"/>
    </xf>
    <xf numFmtId="0" fontId="18" fillId="78" borderId="1" xfId="0" applyFont="1" applyFill="1" applyBorder="1" applyAlignment="1">
      <alignment horizontal="center" vertical="center"/>
    </xf>
    <xf numFmtId="165" fontId="18" fillId="77" borderId="1" xfId="0" applyNumberFormat="1" applyFont="1" applyFill="1" applyBorder="1" applyAlignment="1">
      <alignment horizontal="center"/>
    </xf>
    <xf numFmtId="3" fontId="18" fillId="77" borderId="1" xfId="0" applyNumberFormat="1" applyFont="1" applyFill="1" applyBorder="1" applyAlignment="1">
      <alignment horizontal="center"/>
    </xf>
    <xf numFmtId="3" fontId="18" fillId="77" borderId="1" xfId="0" applyNumberFormat="1" applyFont="1" applyFill="1" applyBorder="1" applyAlignment="1">
      <alignment horizontal="center" vertical="center"/>
    </xf>
    <xf numFmtId="3" fontId="18" fillId="77" borderId="1" xfId="0" applyNumberFormat="1" applyFont="1" applyFill="1" applyBorder="1" applyAlignment="1">
      <alignment horizontal="right" vertical="center"/>
    </xf>
    <xf numFmtId="14" fontId="18" fillId="77" borderId="1" xfId="0" applyNumberFormat="1" applyFont="1" applyFill="1" applyBorder="1" applyAlignment="1">
      <alignment horizontal="left" vertical="center" wrapText="1"/>
    </xf>
    <xf numFmtId="166" fontId="18" fillId="62" borderId="6" xfId="0" applyNumberFormat="1" applyFont="1" applyFill="1" applyBorder="1" applyAlignment="1">
      <alignment horizontal="center" vertical="center"/>
    </xf>
    <xf numFmtId="165" fontId="18" fillId="79" borderId="6" xfId="13060" applyNumberFormat="1" applyFont="1" applyFill="1" applyBorder="1" applyAlignment="1">
      <alignment horizontal="center"/>
    </xf>
    <xf numFmtId="168" fontId="33" fillId="62" borderId="6" xfId="0" applyNumberFormat="1" applyFont="1" applyFill="1" applyBorder="1" applyAlignment="1">
      <alignment horizontal="center"/>
    </xf>
    <xf numFmtId="0" fontId="18" fillId="79" borderId="6" xfId="13060" applyFont="1" applyFill="1" applyBorder="1" applyAlignment="1">
      <alignment horizontal="center" vertical="center"/>
    </xf>
    <xf numFmtId="0" fontId="18" fillId="79" borderId="6" xfId="13060" applyFont="1" applyFill="1" applyBorder="1" applyAlignment="1">
      <alignment horizontal="left" vertical="center"/>
    </xf>
    <xf numFmtId="3" fontId="33" fillId="79" borderId="6" xfId="13060" applyNumberFormat="1" applyFont="1" applyFill="1" applyBorder="1" applyAlignment="1">
      <alignment horizontal="right" vertical="center"/>
    </xf>
    <xf numFmtId="165" fontId="18" fillId="79" borderId="6" xfId="13060" applyNumberFormat="1" applyFont="1" applyFill="1" applyBorder="1" applyAlignment="1">
      <alignment horizontal="center" vertical="center" wrapText="1"/>
    </xf>
    <xf numFmtId="1" fontId="18" fillId="79" borderId="6" xfId="13060" applyNumberFormat="1" applyFont="1" applyFill="1" applyBorder="1" applyAlignment="1">
      <alignment horizontal="center" vertical="center" wrapText="1"/>
    </xf>
    <xf numFmtId="1" fontId="18" fillId="79" borderId="6" xfId="13060" applyNumberFormat="1" applyFont="1" applyFill="1" applyBorder="1" applyAlignment="1">
      <alignment horizontal="center" vertical="center"/>
    </xf>
    <xf numFmtId="164" fontId="18" fillId="79" borderId="2" xfId="13060" applyNumberFormat="1" applyFont="1" applyFill="1" applyBorder="1" applyAlignment="1">
      <alignment horizontal="center" vertical="center"/>
    </xf>
    <xf numFmtId="168" fontId="33" fillId="62" borderId="1" xfId="0" applyNumberFormat="1" applyFont="1" applyFill="1" applyBorder="1" applyAlignment="1">
      <alignment horizontal="center"/>
    </xf>
    <xf numFmtId="3" fontId="33" fillId="79" borderId="1" xfId="13060" applyNumberFormat="1" applyFont="1" applyFill="1" applyBorder="1" applyAlignment="1">
      <alignment horizontal="right" vertical="center"/>
    </xf>
    <xf numFmtId="165" fontId="18" fillId="79" borderId="1" xfId="13060" applyNumberFormat="1" applyFont="1" applyFill="1" applyBorder="1" applyAlignment="1">
      <alignment horizontal="center" vertical="center" wrapText="1"/>
    </xf>
    <xf numFmtId="1" fontId="18" fillId="79" borderId="1" xfId="13060" applyNumberFormat="1" applyFont="1" applyFill="1" applyBorder="1" applyAlignment="1">
      <alignment horizontal="center" vertical="center"/>
    </xf>
    <xf numFmtId="164" fontId="18" fillId="79" borderId="1" xfId="13060" applyNumberFormat="1" applyFont="1" applyFill="1" applyBorder="1" applyAlignment="1">
      <alignment horizontal="center" vertical="center"/>
    </xf>
    <xf numFmtId="165" fontId="18" fillId="80" borderId="6" xfId="13060" applyNumberFormat="1" applyFont="1" applyFill="1" applyBorder="1" applyAlignment="1">
      <alignment horizontal="center"/>
    </xf>
    <xf numFmtId="168" fontId="33" fillId="81" borderId="6" xfId="0" applyNumberFormat="1" applyFont="1" applyFill="1" applyBorder="1" applyAlignment="1">
      <alignment horizontal="center"/>
    </xf>
    <xf numFmtId="0" fontId="18" fillId="80" borderId="6" xfId="13060" applyFont="1" applyFill="1" applyBorder="1" applyAlignment="1">
      <alignment horizontal="center" vertical="center"/>
    </xf>
    <xf numFmtId="0" fontId="18" fillId="80" borderId="6" xfId="13060" applyFont="1" applyFill="1" applyBorder="1" applyAlignment="1">
      <alignment horizontal="left" vertical="center"/>
    </xf>
    <xf numFmtId="3" fontId="33" fillId="80" borderId="6" xfId="13060" applyNumberFormat="1" applyFont="1" applyFill="1" applyBorder="1" applyAlignment="1">
      <alignment horizontal="right" vertical="center"/>
    </xf>
    <xf numFmtId="165" fontId="18" fillId="80" borderId="6" xfId="13060" applyNumberFormat="1" applyFont="1" applyFill="1" applyBorder="1" applyAlignment="1">
      <alignment horizontal="center" vertical="center" wrapText="1"/>
    </xf>
    <xf numFmtId="1" fontId="18" fillId="80" borderId="6" xfId="13060" applyNumberFormat="1" applyFont="1" applyFill="1" applyBorder="1" applyAlignment="1">
      <alignment horizontal="center" vertical="center" wrapText="1"/>
    </xf>
    <xf numFmtId="1" fontId="18" fillId="80" borderId="6" xfId="13060" applyNumberFormat="1" applyFont="1" applyFill="1" applyBorder="1" applyAlignment="1">
      <alignment horizontal="center" vertical="center"/>
    </xf>
    <xf numFmtId="164" fontId="18" fillId="80" borderId="2" xfId="13060" applyNumberFormat="1" applyFont="1" applyFill="1" applyBorder="1" applyAlignment="1">
      <alignment horizontal="center" vertical="center"/>
    </xf>
    <xf numFmtId="0" fontId="18" fillId="81" borderId="1" xfId="0" applyFont="1" applyFill="1" applyBorder="1" applyAlignment="1">
      <alignment horizontal="center" vertical="center"/>
    </xf>
    <xf numFmtId="164" fontId="18" fillId="81" borderId="1" xfId="0" applyNumberFormat="1" applyFont="1" applyFill="1" applyBorder="1" applyAlignment="1">
      <alignment horizontal="center" vertical="center"/>
    </xf>
    <xf numFmtId="0" fontId="18" fillId="80" borderId="1" xfId="0" applyFont="1" applyFill="1" applyBorder="1" applyAlignment="1">
      <alignment horizontal="center" vertical="center"/>
    </xf>
    <xf numFmtId="165" fontId="18" fillId="81" borderId="1" xfId="0" applyNumberFormat="1" applyFont="1" applyFill="1" applyBorder="1" applyAlignment="1">
      <alignment horizontal="center"/>
    </xf>
    <xf numFmtId="3" fontId="18" fillId="81" borderId="1" xfId="0" applyNumberFormat="1" applyFont="1" applyFill="1" applyBorder="1" applyAlignment="1">
      <alignment horizontal="center"/>
    </xf>
    <xf numFmtId="3" fontId="18" fillId="81" borderId="1" xfId="0" applyNumberFormat="1" applyFont="1" applyFill="1" applyBorder="1" applyAlignment="1">
      <alignment horizontal="center" vertical="center"/>
    </xf>
    <xf numFmtId="14" fontId="18" fillId="81" borderId="1" xfId="0" applyNumberFormat="1" applyFont="1" applyFill="1" applyBorder="1" applyAlignment="1">
      <alignment horizontal="left" vertical="center" wrapText="1"/>
    </xf>
    <xf numFmtId="3" fontId="18" fillId="81" borderId="1" xfId="0" applyNumberFormat="1" applyFont="1" applyFill="1" applyBorder="1" applyAlignment="1">
      <alignment horizontal="right" vertical="center"/>
    </xf>
    <xf numFmtId="0" fontId="18" fillId="81" borderId="6" xfId="0" applyFont="1" applyFill="1" applyBorder="1" applyAlignment="1">
      <alignment horizontal="center" vertical="center"/>
    </xf>
    <xf numFmtId="164" fontId="18" fillId="81" borderId="6" xfId="0" applyNumberFormat="1" applyFont="1" applyFill="1" applyBorder="1" applyAlignment="1">
      <alignment horizontal="center" vertical="center"/>
    </xf>
    <xf numFmtId="165" fontId="18" fillId="81" borderId="6" xfId="0" applyNumberFormat="1" applyFont="1" applyFill="1" applyBorder="1" applyAlignment="1">
      <alignment horizontal="center"/>
    </xf>
    <xf numFmtId="3" fontId="18" fillId="81" borderId="6" xfId="0" applyNumberFormat="1" applyFont="1" applyFill="1" applyBorder="1" applyAlignment="1">
      <alignment horizontal="center"/>
    </xf>
    <xf numFmtId="3" fontId="18" fillId="81" borderId="6" xfId="0" applyNumberFormat="1" applyFont="1" applyFill="1" applyBorder="1" applyAlignment="1">
      <alignment horizontal="center" vertical="center"/>
    </xf>
    <xf numFmtId="14" fontId="18" fillId="81" borderId="6" xfId="0" applyNumberFormat="1" applyFont="1" applyFill="1" applyBorder="1" applyAlignment="1">
      <alignment horizontal="left" vertical="center" wrapText="1"/>
    </xf>
    <xf numFmtId="3" fontId="18" fillId="81" borderId="6" xfId="0" applyNumberFormat="1" applyFont="1" applyFill="1" applyBorder="1" applyAlignment="1">
      <alignment horizontal="right" vertical="center"/>
    </xf>
    <xf numFmtId="165" fontId="33" fillId="10" borderId="6" xfId="702" applyNumberFormat="1" applyFont="1" applyFill="1" applyBorder="1" applyAlignment="1">
      <alignment horizontal="center" vertical="center"/>
    </xf>
    <xf numFmtId="165" fontId="33" fillId="11" borderId="6" xfId="702" applyNumberFormat="1" applyFont="1" applyFill="1" applyBorder="1" applyAlignment="1">
      <alignment horizontal="center" vertical="center"/>
    </xf>
    <xf numFmtId="165" fontId="18" fillId="10" borderId="6" xfId="702" applyNumberFormat="1" applyFont="1" applyFill="1" applyBorder="1" applyAlignment="1">
      <alignment horizontal="center" vertical="center"/>
    </xf>
    <xf numFmtId="0" fontId="21" fillId="0" borderId="3" xfId="13060" applyFont="1"/>
    <xf numFmtId="0" fontId="30" fillId="2" borderId="6" xfId="702" applyFont="1" applyFill="1" applyBorder="1" applyAlignment="1">
      <alignment horizontal="center" vertical="center" wrapText="1"/>
    </xf>
    <xf numFmtId="0" fontId="30" fillId="2" borderId="6" xfId="702" applyFont="1" applyFill="1" applyBorder="1" applyAlignment="1">
      <alignment horizontal="left" vertical="center" wrapText="1"/>
    </xf>
    <xf numFmtId="3" fontId="30" fillId="2" borderId="6" xfId="702" applyNumberFormat="1" applyFont="1" applyFill="1" applyBorder="1" applyAlignment="1">
      <alignment horizontal="center" vertical="center" wrapText="1"/>
    </xf>
    <xf numFmtId="1" fontId="30" fillId="2" borderId="6" xfId="702" applyNumberFormat="1" applyFont="1" applyFill="1" applyBorder="1" applyAlignment="1">
      <alignment horizontal="center" vertical="center" wrapText="1"/>
    </xf>
    <xf numFmtId="1" fontId="30" fillId="2" borderId="2" xfId="702" applyNumberFormat="1" applyFont="1" applyFill="1" applyBorder="1" applyAlignment="1">
      <alignment horizontal="center" vertical="center" wrapText="1"/>
    </xf>
    <xf numFmtId="0" fontId="18" fillId="4" borderId="6" xfId="702" applyFont="1" applyFill="1" applyBorder="1" applyAlignment="1">
      <alignment horizontal="center" vertical="center"/>
    </xf>
    <xf numFmtId="0" fontId="20" fillId="7" borderId="6" xfId="13068" applyFont="1" applyFill="1" applyBorder="1" applyAlignment="1">
      <alignment horizontal="center" vertical="center"/>
    </xf>
    <xf numFmtId="0" fontId="79" fillId="10" borderId="6" xfId="702" applyFont="1" applyFill="1" applyBorder="1" applyAlignment="1">
      <alignment horizontal="center" vertical="center"/>
    </xf>
    <xf numFmtId="164" fontId="79" fillId="10" borderId="6" xfId="702" applyNumberFormat="1" applyFont="1" applyFill="1" applyBorder="1" applyAlignment="1">
      <alignment horizontal="center" vertical="center"/>
    </xf>
    <xf numFmtId="165" fontId="79" fillId="10" borderId="6" xfId="702" applyNumberFormat="1" applyFont="1" applyFill="1" applyBorder="1" applyAlignment="1">
      <alignment horizontal="center" vertical="center"/>
    </xf>
    <xf numFmtId="3" fontId="79" fillId="10" borderId="6" xfId="702" applyNumberFormat="1" applyFont="1" applyFill="1" applyBorder="1" applyAlignment="1">
      <alignment horizontal="center" vertical="center"/>
    </xf>
    <xf numFmtId="14" fontId="79" fillId="10" borderId="6" xfId="702" applyNumberFormat="1" applyFont="1" applyFill="1" applyBorder="1" applyAlignment="1">
      <alignment horizontal="left" vertical="center" wrapText="1"/>
    </xf>
    <xf numFmtId="14" fontId="79" fillId="10" borderId="6" xfId="702" applyNumberFormat="1" applyFont="1" applyFill="1" applyBorder="1" applyAlignment="1">
      <alignment horizontal="center" vertical="center" wrapText="1"/>
    </xf>
    <xf numFmtId="3" fontId="79" fillId="10" borderId="6" xfId="702" applyNumberFormat="1" applyFont="1" applyFill="1" applyBorder="1" applyAlignment="1">
      <alignment horizontal="right" vertical="center"/>
    </xf>
    <xf numFmtId="165" fontId="79" fillId="11" borderId="6" xfId="702" applyNumberFormat="1" applyFont="1" applyFill="1" applyBorder="1" applyAlignment="1">
      <alignment horizontal="center" vertical="center"/>
    </xf>
    <xf numFmtId="0" fontId="79" fillId="11" borderId="6" xfId="702" applyFont="1" applyFill="1" applyBorder="1" applyAlignment="1">
      <alignment horizontal="center" vertical="center"/>
    </xf>
    <xf numFmtId="0" fontId="79" fillId="10" borderId="6" xfId="702" applyFont="1" applyFill="1" applyBorder="1" applyAlignment="1">
      <alignment horizontal="left" vertical="center"/>
    </xf>
    <xf numFmtId="3" fontId="79" fillId="11" borderId="6" xfId="702" applyNumberFormat="1" applyFont="1" applyFill="1" applyBorder="1" applyAlignment="1">
      <alignment horizontal="right" vertical="center"/>
    </xf>
    <xf numFmtId="165" fontId="79" fillId="11" borderId="6" xfId="702" applyNumberFormat="1" applyFont="1" applyFill="1" applyBorder="1" applyAlignment="1">
      <alignment horizontal="center" vertical="center" wrapText="1"/>
    </xf>
    <xf numFmtId="1" fontId="79" fillId="11" borderId="6" xfId="702" applyNumberFormat="1" applyFont="1" applyFill="1" applyBorder="1" applyAlignment="1">
      <alignment horizontal="center" vertical="center" wrapText="1"/>
    </xf>
    <xf numFmtId="1" fontId="79" fillId="11" borderId="6" xfId="702" applyNumberFormat="1" applyFont="1" applyFill="1" applyBorder="1" applyAlignment="1">
      <alignment horizontal="center" vertical="center"/>
    </xf>
    <xf numFmtId="164" fontId="79" fillId="11" borderId="2" xfId="702" applyNumberFormat="1" applyFont="1" applyFill="1" applyBorder="1" applyAlignment="1">
      <alignment horizontal="center" vertical="center"/>
    </xf>
    <xf numFmtId="0" fontId="80" fillId="10" borderId="6" xfId="702" applyFont="1" applyFill="1" applyBorder="1" applyAlignment="1">
      <alignment horizontal="center" vertical="center"/>
    </xf>
    <xf numFmtId="165" fontId="80" fillId="10" borderId="6" xfId="702" applyNumberFormat="1" applyFont="1" applyFill="1" applyBorder="1" applyAlignment="1">
      <alignment horizontal="center" vertical="center"/>
    </xf>
    <xf numFmtId="3" fontId="80" fillId="10" borderId="6" xfId="702" applyNumberFormat="1" applyFont="1" applyFill="1" applyBorder="1" applyAlignment="1">
      <alignment horizontal="center" vertical="center"/>
    </xf>
    <xf numFmtId="164" fontId="79" fillId="11" borderId="6" xfId="702" applyNumberFormat="1" applyFont="1" applyFill="1" applyBorder="1" applyAlignment="1">
      <alignment horizontal="center" vertical="center"/>
    </xf>
    <xf numFmtId="165" fontId="79" fillId="38" borderId="6" xfId="702" applyNumberFormat="1" applyFont="1" applyFill="1" applyBorder="1" applyAlignment="1">
      <alignment horizontal="center" vertical="center"/>
    </xf>
    <xf numFmtId="3" fontId="79" fillId="38" borderId="6" xfId="702" applyNumberFormat="1" applyFont="1" applyFill="1" applyBorder="1" applyAlignment="1">
      <alignment horizontal="center" vertical="center"/>
    </xf>
    <xf numFmtId="165" fontId="79" fillId="39" borderId="6" xfId="702" applyNumberFormat="1" applyFont="1" applyFill="1" applyBorder="1" applyAlignment="1">
      <alignment horizontal="left" vertical="center" wrapText="1"/>
    </xf>
    <xf numFmtId="14" fontId="79" fillId="38" borderId="6" xfId="702" applyNumberFormat="1" applyFont="1" applyFill="1" applyBorder="1" applyAlignment="1">
      <alignment horizontal="center" vertical="center" wrapText="1"/>
    </xf>
    <xf numFmtId="3" fontId="79" fillId="38" borderId="6" xfId="702" applyNumberFormat="1" applyFont="1" applyFill="1" applyBorder="1" applyAlignment="1">
      <alignment horizontal="right" vertical="center"/>
    </xf>
    <xf numFmtId="0" fontId="79" fillId="38" borderId="6" xfId="702" applyFont="1" applyFill="1" applyBorder="1" applyAlignment="1">
      <alignment horizontal="center" vertical="center"/>
    </xf>
    <xf numFmtId="14" fontId="79" fillId="38" borderId="6" xfId="702" applyNumberFormat="1" applyFont="1" applyFill="1" applyBorder="1" applyAlignment="1">
      <alignment horizontal="center" vertical="center"/>
    </xf>
    <xf numFmtId="0" fontId="79" fillId="21" borderId="6" xfId="702" applyFont="1" applyFill="1" applyBorder="1" applyAlignment="1">
      <alignment horizontal="left" vertical="center"/>
    </xf>
    <xf numFmtId="0" fontId="79" fillId="21" borderId="6" xfId="702" applyFont="1" applyFill="1" applyBorder="1" applyAlignment="1">
      <alignment horizontal="center" vertical="center"/>
    </xf>
    <xf numFmtId="3" fontId="79" fillId="15" borderId="6" xfId="702" applyNumberFormat="1" applyFont="1" applyFill="1" applyBorder="1" applyAlignment="1">
      <alignment horizontal="right" vertical="center"/>
    </xf>
    <xf numFmtId="165" fontId="79" fillId="15" borderId="6" xfId="702" applyNumberFormat="1" applyFont="1" applyFill="1" applyBorder="1" applyAlignment="1">
      <alignment horizontal="center" vertical="center" wrapText="1"/>
    </xf>
    <xf numFmtId="1" fontId="79" fillId="15" borderId="6" xfId="702" applyNumberFormat="1" applyFont="1" applyFill="1" applyBorder="1" applyAlignment="1">
      <alignment horizontal="center" vertical="center" wrapText="1"/>
    </xf>
    <xf numFmtId="164" fontId="79" fillId="15" borderId="2" xfId="702" applyNumberFormat="1" applyFont="1" applyFill="1" applyBorder="1" applyAlignment="1">
      <alignment horizontal="center" vertical="center"/>
    </xf>
    <xf numFmtId="1" fontId="79" fillId="30" borderId="6" xfId="702" applyNumberFormat="1" applyFont="1" applyFill="1" applyBorder="1" applyAlignment="1">
      <alignment horizontal="center" vertical="center" wrapText="1"/>
    </xf>
    <xf numFmtId="3" fontId="79" fillId="10" borderId="6" xfId="702" quotePrefix="1" applyNumberFormat="1" applyFont="1" applyFill="1" applyBorder="1" applyAlignment="1">
      <alignment horizontal="center" vertical="center"/>
    </xf>
    <xf numFmtId="165" fontId="82" fillId="11" borderId="6" xfId="702" applyNumberFormat="1" applyFont="1" applyFill="1" applyBorder="1" applyAlignment="1">
      <alignment horizontal="center" vertical="center"/>
    </xf>
    <xf numFmtId="0" fontId="82" fillId="11" borderId="6" xfId="702" applyFont="1" applyFill="1" applyBorder="1" applyAlignment="1">
      <alignment horizontal="center" vertical="center"/>
    </xf>
    <xf numFmtId="0" fontId="82" fillId="10" borderId="6" xfId="702" applyFont="1" applyFill="1" applyBorder="1" applyAlignment="1">
      <alignment horizontal="left" vertical="center"/>
    </xf>
    <xf numFmtId="0" fontId="82" fillId="10" borderId="6" xfId="702" applyFont="1" applyFill="1" applyBorder="1" applyAlignment="1">
      <alignment horizontal="center" vertical="center"/>
    </xf>
    <xf numFmtId="3" fontId="82" fillId="11" borderId="6" xfId="702" quotePrefix="1" applyNumberFormat="1" applyFont="1" applyFill="1" applyBorder="1" applyAlignment="1">
      <alignment horizontal="right" vertical="center"/>
    </xf>
    <xf numFmtId="165" fontId="82" fillId="11" borderId="6" xfId="702" applyNumberFormat="1" applyFont="1" applyFill="1" applyBorder="1" applyAlignment="1">
      <alignment horizontal="center" vertical="center" wrapText="1"/>
    </xf>
    <xf numFmtId="1" fontId="82" fillId="11" borderId="6" xfId="702" applyNumberFormat="1" applyFont="1" applyFill="1" applyBorder="1" applyAlignment="1">
      <alignment horizontal="center" vertical="center" wrapText="1"/>
    </xf>
    <xf numFmtId="164" fontId="82" fillId="11" borderId="2" xfId="702" applyNumberFormat="1" applyFont="1" applyFill="1" applyBorder="1" applyAlignment="1">
      <alignment horizontal="center" vertical="center"/>
    </xf>
    <xf numFmtId="1" fontId="82" fillId="11" borderId="6" xfId="702" applyNumberFormat="1" applyFont="1" applyFill="1" applyBorder="1" applyAlignment="1">
      <alignment horizontal="center" vertical="center"/>
    </xf>
    <xf numFmtId="17" fontId="79" fillId="10" borderId="6" xfId="702" quotePrefix="1" applyNumberFormat="1" applyFont="1" applyFill="1" applyBorder="1" applyAlignment="1">
      <alignment horizontal="center" vertical="center"/>
    </xf>
    <xf numFmtId="0" fontId="79" fillId="31" borderId="6" xfId="702" applyFont="1" applyFill="1" applyBorder="1" applyAlignment="1">
      <alignment horizontal="center" vertical="center"/>
    </xf>
    <xf numFmtId="164" fontId="79" fillId="31" borderId="6" xfId="702" applyNumberFormat="1" applyFont="1" applyFill="1" applyBorder="1" applyAlignment="1">
      <alignment horizontal="center" vertical="center"/>
    </xf>
    <xf numFmtId="165" fontId="79" fillId="31" borderId="6" xfId="702" applyNumberFormat="1" applyFont="1" applyFill="1" applyBorder="1" applyAlignment="1">
      <alignment horizontal="center" vertical="center"/>
    </xf>
    <xf numFmtId="3" fontId="79" fillId="31" borderId="6" xfId="702" applyNumberFormat="1" applyFont="1" applyFill="1" applyBorder="1" applyAlignment="1">
      <alignment horizontal="center" vertical="center"/>
    </xf>
    <xf numFmtId="14" fontId="79" fillId="31" borderId="6" xfId="702" applyNumberFormat="1" applyFont="1" applyFill="1" applyBorder="1" applyAlignment="1">
      <alignment horizontal="left" vertical="center" wrapText="1"/>
    </xf>
    <xf numFmtId="14" fontId="79" fillId="31" borderId="6" xfId="702" applyNumberFormat="1" applyFont="1" applyFill="1" applyBorder="1" applyAlignment="1">
      <alignment horizontal="center" vertical="center" wrapText="1"/>
    </xf>
    <xf numFmtId="3" fontId="79" fillId="31" borderId="6" xfId="702" applyNumberFormat="1" applyFont="1" applyFill="1" applyBorder="1" applyAlignment="1">
      <alignment horizontal="right" vertical="center"/>
    </xf>
    <xf numFmtId="0" fontId="79" fillId="32" borderId="6" xfId="702" applyFont="1" applyFill="1" applyBorder="1" applyAlignment="1">
      <alignment horizontal="center" vertical="center"/>
    </xf>
    <xf numFmtId="168" fontId="79" fillId="11" borderId="6" xfId="702" applyNumberFormat="1" applyFont="1" applyFill="1" applyBorder="1" applyAlignment="1">
      <alignment horizontal="center" vertical="center"/>
    </xf>
    <xf numFmtId="164" fontId="79" fillId="32" borderId="6" xfId="702" applyNumberFormat="1" applyFont="1" applyFill="1" applyBorder="1" applyAlignment="1">
      <alignment horizontal="center" vertical="center"/>
    </xf>
    <xf numFmtId="165" fontId="79" fillId="32" borderId="6" xfId="702" applyNumberFormat="1" applyFont="1" applyFill="1" applyBorder="1" applyAlignment="1">
      <alignment horizontal="center" vertical="center"/>
    </xf>
    <xf numFmtId="168" fontId="79" fillId="32" borderId="6" xfId="702" applyNumberFormat="1" applyFont="1" applyFill="1" applyBorder="1" applyAlignment="1">
      <alignment horizontal="center" vertical="center"/>
    </xf>
    <xf numFmtId="0" fontId="79" fillId="31" borderId="6" xfId="702" applyFont="1" applyFill="1" applyBorder="1" applyAlignment="1">
      <alignment horizontal="left" vertical="center"/>
    </xf>
    <xf numFmtId="3" fontId="79" fillId="32" borderId="6" xfId="702" applyNumberFormat="1" applyFont="1" applyFill="1" applyBorder="1" applyAlignment="1">
      <alignment horizontal="right" vertical="center"/>
    </xf>
    <xf numFmtId="165" fontId="79" fillId="32" borderId="6" xfId="702" applyNumberFormat="1" applyFont="1" applyFill="1" applyBorder="1" applyAlignment="1">
      <alignment horizontal="center" vertical="center" wrapText="1"/>
    </xf>
    <xf numFmtId="1" fontId="79" fillId="32" borderId="6" xfId="702" applyNumberFormat="1" applyFont="1" applyFill="1" applyBorder="1" applyAlignment="1">
      <alignment horizontal="center" vertical="center" wrapText="1"/>
    </xf>
    <xf numFmtId="168" fontId="83" fillId="11" borderId="6" xfId="702" applyNumberFormat="1" applyFont="1" applyFill="1" applyBorder="1" applyAlignment="1">
      <alignment horizontal="center" vertical="center"/>
    </xf>
    <xf numFmtId="1" fontId="79" fillId="15" borderId="6" xfId="702" applyNumberFormat="1" applyFont="1" applyFill="1" applyBorder="1" applyAlignment="1">
      <alignment horizontal="center" vertical="center"/>
    </xf>
    <xf numFmtId="3" fontId="82" fillId="11" borderId="6" xfId="702" applyNumberFormat="1" applyFont="1" applyFill="1" applyBorder="1" applyAlignment="1">
      <alignment horizontal="right" vertical="center"/>
    </xf>
    <xf numFmtId="165" fontId="79" fillId="29" borderId="6" xfId="702" applyNumberFormat="1" applyFont="1" applyFill="1" applyBorder="1" applyAlignment="1">
      <alignment horizontal="center" vertical="center"/>
    </xf>
    <xf numFmtId="168" fontId="79" fillId="29" borderId="6" xfId="702" applyNumberFormat="1" applyFont="1" applyFill="1" applyBorder="1" applyAlignment="1">
      <alignment horizontal="center" vertical="center"/>
    </xf>
    <xf numFmtId="0" fontId="79" fillId="29" borderId="6" xfId="702" applyFont="1" applyFill="1" applyBorder="1" applyAlignment="1">
      <alignment horizontal="center" vertical="center"/>
    </xf>
    <xf numFmtId="0" fontId="79" fillId="12" borderId="6" xfId="4310" applyFont="1" applyBorder="1" applyAlignment="1">
      <alignment horizontal="center" vertical="center"/>
    </xf>
    <xf numFmtId="164" fontId="79" fillId="12" borderId="6" xfId="4310" applyNumberFormat="1" applyFont="1" applyBorder="1" applyAlignment="1">
      <alignment horizontal="center" vertical="center"/>
    </xf>
    <xf numFmtId="165" fontId="79" fillId="12" borderId="6" xfId="4310" applyNumberFormat="1" applyFont="1" applyBorder="1" applyAlignment="1">
      <alignment horizontal="center" vertical="center"/>
    </xf>
    <xf numFmtId="3" fontId="82" fillId="12" borderId="6" xfId="4310" applyNumberFormat="1" applyFont="1" applyBorder="1" applyAlignment="1">
      <alignment horizontal="center" vertical="center"/>
    </xf>
    <xf numFmtId="14" fontId="82" fillId="10" borderId="6" xfId="4310" applyNumberFormat="1" applyFont="1" applyFill="1" applyBorder="1" applyAlignment="1">
      <alignment horizontal="left" vertical="center" wrapText="1"/>
    </xf>
    <xf numFmtId="14" fontId="82" fillId="10" borderId="6" xfId="4310" applyNumberFormat="1" applyFont="1" applyFill="1" applyBorder="1" applyAlignment="1">
      <alignment horizontal="center" vertical="center" wrapText="1"/>
    </xf>
    <xf numFmtId="3" fontId="82" fillId="12" borderId="6" xfId="4310" applyNumberFormat="1" applyFont="1" applyBorder="1" applyAlignment="1">
      <alignment horizontal="right" vertical="center"/>
    </xf>
    <xf numFmtId="0" fontId="82" fillId="12" borderId="6" xfId="4310" applyFont="1" applyBorder="1" applyAlignment="1">
      <alignment horizontal="center" vertical="center"/>
    </xf>
    <xf numFmtId="165" fontId="84" fillId="27" borderId="6" xfId="702" applyNumberFormat="1" applyFont="1" applyFill="1" applyBorder="1" applyAlignment="1">
      <alignment horizontal="center" vertical="center"/>
    </xf>
    <xf numFmtId="168" fontId="84" fillId="27" borderId="6" xfId="702" applyNumberFormat="1" applyFont="1" applyFill="1" applyBorder="1" applyAlignment="1">
      <alignment horizontal="center" vertical="center"/>
    </xf>
    <xf numFmtId="0" fontId="84" fillId="27" borderId="6" xfId="702" applyFont="1" applyFill="1" applyBorder="1" applyAlignment="1">
      <alignment horizontal="center" vertical="center"/>
    </xf>
    <xf numFmtId="0" fontId="84" fillId="18" borderId="6" xfId="702" applyFont="1" applyFill="1" applyBorder="1" applyAlignment="1">
      <alignment horizontal="left" vertical="center"/>
    </xf>
    <xf numFmtId="0" fontId="84" fillId="18" borderId="6" xfId="702" applyFont="1" applyFill="1" applyBorder="1" applyAlignment="1">
      <alignment horizontal="center" vertical="center"/>
    </xf>
    <xf numFmtId="3" fontId="84" fillId="27" borderId="6" xfId="702" applyNumberFormat="1" applyFont="1" applyFill="1" applyBorder="1" applyAlignment="1">
      <alignment horizontal="right" vertical="center"/>
    </xf>
    <xf numFmtId="165" fontId="84" fillId="27" borderId="6" xfId="702" applyNumberFormat="1" applyFont="1" applyFill="1" applyBorder="1" applyAlignment="1">
      <alignment horizontal="center" vertical="center" wrapText="1"/>
    </xf>
    <xf numFmtId="1" fontId="84" fillId="27" borderId="6" xfId="702" applyNumberFormat="1" applyFont="1" applyFill="1" applyBorder="1" applyAlignment="1">
      <alignment horizontal="center" vertical="center" wrapText="1"/>
    </xf>
    <xf numFmtId="1" fontId="84" fillId="27" borderId="6" xfId="702" applyNumberFormat="1" applyFont="1" applyFill="1" applyBorder="1" applyAlignment="1">
      <alignment horizontal="center" vertical="center"/>
    </xf>
    <xf numFmtId="164" fontId="84" fillId="27" borderId="2" xfId="702" applyNumberFormat="1" applyFont="1" applyFill="1" applyBorder="1" applyAlignment="1">
      <alignment horizontal="center" vertical="center"/>
    </xf>
    <xf numFmtId="168" fontId="79" fillId="10" borderId="6" xfId="702" applyNumberFormat="1" applyFont="1" applyFill="1" applyBorder="1" applyAlignment="1">
      <alignment horizontal="center" vertical="center"/>
    </xf>
    <xf numFmtId="14" fontId="80" fillId="10" borderId="6" xfId="702" applyNumberFormat="1" applyFont="1" applyFill="1" applyBorder="1" applyAlignment="1">
      <alignment horizontal="left" vertical="center" wrapText="1"/>
    </xf>
    <xf numFmtId="14" fontId="80" fillId="10" borderId="6" xfId="702" applyNumberFormat="1" applyFont="1" applyFill="1" applyBorder="1" applyAlignment="1">
      <alignment horizontal="center" vertical="center" wrapText="1"/>
    </xf>
    <xf numFmtId="165" fontId="79" fillId="15" borderId="6" xfId="702" applyNumberFormat="1" applyFont="1" applyFill="1" applyBorder="1" applyAlignment="1">
      <alignment horizontal="center" vertical="center"/>
    </xf>
    <xf numFmtId="0" fontId="79" fillId="15" borderId="6" xfId="702" applyFont="1" applyFill="1" applyBorder="1" applyAlignment="1">
      <alignment horizontal="center" vertical="center"/>
    </xf>
    <xf numFmtId="0" fontId="79" fillId="72" borderId="6" xfId="702" applyFont="1" applyFill="1" applyBorder="1" applyAlignment="1">
      <alignment horizontal="center" vertical="center"/>
    </xf>
    <xf numFmtId="164" fontId="79" fillId="72" borderId="6" xfId="702" applyNumberFormat="1" applyFont="1" applyFill="1" applyBorder="1" applyAlignment="1">
      <alignment horizontal="center" vertical="center"/>
    </xf>
    <xf numFmtId="0" fontId="79" fillId="82" borderId="6" xfId="702" applyFont="1" applyFill="1" applyBorder="1" applyAlignment="1">
      <alignment horizontal="center" vertical="center"/>
    </xf>
    <xf numFmtId="165" fontId="79" fillId="72" borderId="6" xfId="702" applyNumberFormat="1" applyFont="1" applyFill="1" applyBorder="1" applyAlignment="1">
      <alignment horizontal="center" vertical="center"/>
    </xf>
    <xf numFmtId="168" fontId="79" fillId="72" borderId="6" xfId="702" applyNumberFormat="1" applyFont="1" applyFill="1" applyBorder="1" applyAlignment="1">
      <alignment horizontal="center" vertical="center"/>
    </xf>
    <xf numFmtId="3" fontId="79" fillId="72" borderId="6" xfId="702" applyNumberFormat="1" applyFont="1" applyFill="1" applyBorder="1" applyAlignment="1">
      <alignment horizontal="center" vertical="center"/>
    </xf>
    <xf numFmtId="14" fontId="80" fillId="72" borderId="6" xfId="702" applyNumberFormat="1" applyFont="1" applyFill="1" applyBorder="1" applyAlignment="1">
      <alignment horizontal="left" vertical="center" wrapText="1"/>
    </xf>
    <xf numFmtId="14" fontId="80" fillId="72" borderId="6" xfId="702" applyNumberFormat="1" applyFont="1" applyFill="1" applyBorder="1" applyAlignment="1">
      <alignment horizontal="center" vertical="center" wrapText="1"/>
    </xf>
    <xf numFmtId="3" fontId="79" fillId="72" borderId="6" xfId="702" applyNumberFormat="1" applyFont="1" applyFill="1" applyBorder="1" applyAlignment="1">
      <alignment horizontal="right" vertical="center"/>
    </xf>
    <xf numFmtId="165" fontId="79" fillId="82" borderId="6" xfId="702" applyNumberFormat="1" applyFont="1" applyFill="1" applyBorder="1" applyAlignment="1">
      <alignment horizontal="center" vertical="center"/>
    </xf>
    <xf numFmtId="1" fontId="79" fillId="82" borderId="6" xfId="702" applyNumberFormat="1" applyFont="1" applyFill="1" applyBorder="1" applyAlignment="1">
      <alignment horizontal="center" vertical="center" wrapText="1"/>
    </xf>
    <xf numFmtId="1" fontId="79" fillId="82" borderId="6" xfId="702" applyNumberFormat="1" applyFont="1" applyFill="1" applyBorder="1" applyAlignment="1">
      <alignment horizontal="center" vertical="center"/>
    </xf>
    <xf numFmtId="164" fontId="79" fillId="82" borderId="2" xfId="702" applyNumberFormat="1" applyFont="1" applyFill="1" applyBorder="1" applyAlignment="1">
      <alignment horizontal="center" vertical="center"/>
    </xf>
    <xf numFmtId="164" fontId="80" fillId="10" borderId="6" xfId="702" applyNumberFormat="1" applyFont="1" applyFill="1" applyBorder="1" applyAlignment="1">
      <alignment horizontal="center" vertical="center"/>
    </xf>
    <xf numFmtId="3" fontId="80" fillId="10" borderId="6" xfId="702" applyNumberFormat="1" applyFont="1" applyFill="1" applyBorder="1" applyAlignment="1">
      <alignment horizontal="right" vertical="center"/>
    </xf>
    <xf numFmtId="0" fontId="80" fillId="14" borderId="6" xfId="702" applyFont="1" applyFill="1" applyBorder="1" applyAlignment="1">
      <alignment horizontal="center" vertical="center"/>
    </xf>
    <xf numFmtId="164" fontId="80" fillId="14" borderId="6" xfId="702" applyNumberFormat="1" applyFont="1" applyFill="1" applyBorder="1" applyAlignment="1">
      <alignment horizontal="center" vertical="center"/>
    </xf>
    <xf numFmtId="165" fontId="80" fillId="14" borderId="6" xfId="702" applyNumberFormat="1" applyFont="1" applyFill="1" applyBorder="1" applyAlignment="1">
      <alignment horizontal="center" vertical="center"/>
    </xf>
    <xf numFmtId="3" fontId="80" fillId="14" borderId="6" xfId="702" applyNumberFormat="1" applyFont="1" applyFill="1" applyBorder="1" applyAlignment="1">
      <alignment horizontal="center" vertical="center"/>
    </xf>
    <xf numFmtId="14" fontId="80" fillId="14" borderId="6" xfId="702" applyNumberFormat="1" applyFont="1" applyFill="1" applyBorder="1" applyAlignment="1">
      <alignment horizontal="center" vertical="center" wrapText="1"/>
    </xf>
    <xf numFmtId="3" fontId="80" fillId="14" borderId="6" xfId="702" applyNumberFormat="1" applyFont="1" applyFill="1" applyBorder="1" applyAlignment="1">
      <alignment horizontal="right" vertical="center"/>
    </xf>
    <xf numFmtId="0" fontId="80" fillId="71" borderId="6" xfId="702" applyFont="1" applyFill="1" applyBorder="1" applyAlignment="1">
      <alignment horizontal="center" vertical="center"/>
    </xf>
    <xf numFmtId="164" fontId="80" fillId="71" borderId="6" xfId="702" applyNumberFormat="1" applyFont="1" applyFill="1" applyBorder="1" applyAlignment="1">
      <alignment horizontal="center" vertical="center"/>
    </xf>
    <xf numFmtId="165" fontId="80" fillId="71" borderId="6" xfId="702" applyNumberFormat="1" applyFont="1" applyFill="1" applyBorder="1" applyAlignment="1">
      <alignment horizontal="center" vertical="center"/>
    </xf>
    <xf numFmtId="3" fontId="80" fillId="71" borderId="6" xfId="702" applyNumberFormat="1" applyFont="1" applyFill="1" applyBorder="1" applyAlignment="1">
      <alignment horizontal="center" vertical="center"/>
    </xf>
    <xf numFmtId="14" fontId="80" fillId="71" borderId="6" xfId="702" applyNumberFormat="1" applyFont="1" applyFill="1" applyBorder="1" applyAlignment="1">
      <alignment horizontal="left" vertical="center" wrapText="1"/>
    </xf>
    <xf numFmtId="14" fontId="80" fillId="71" borderId="6" xfId="702" applyNumberFormat="1" applyFont="1" applyFill="1" applyBorder="1" applyAlignment="1">
      <alignment horizontal="center" vertical="center" wrapText="1"/>
    </xf>
    <xf numFmtId="3" fontId="80" fillId="71" borderId="6" xfId="702" applyNumberFormat="1" applyFont="1" applyFill="1" applyBorder="1" applyAlignment="1">
      <alignment horizontal="right" vertical="center"/>
    </xf>
    <xf numFmtId="1" fontId="85" fillId="71" borderId="6" xfId="702" applyNumberFormat="1" applyFont="1" applyFill="1" applyBorder="1" applyAlignment="1">
      <alignment horizontal="center" vertical="center"/>
    </xf>
    <xf numFmtId="164" fontId="84" fillId="18" borderId="6" xfId="702" applyNumberFormat="1" applyFont="1" applyFill="1" applyBorder="1" applyAlignment="1">
      <alignment horizontal="center" vertical="center"/>
    </xf>
    <xf numFmtId="165" fontId="84" fillId="18" borderId="6" xfId="702" applyNumberFormat="1" applyFont="1" applyFill="1" applyBorder="1" applyAlignment="1">
      <alignment horizontal="center" vertical="center"/>
    </xf>
    <xf numFmtId="3" fontId="84" fillId="18" borderId="6" xfId="702" applyNumberFormat="1" applyFont="1" applyFill="1" applyBorder="1" applyAlignment="1">
      <alignment horizontal="center" vertical="center"/>
    </xf>
    <xf numFmtId="14" fontId="84" fillId="18" borderId="6" xfId="702" applyNumberFormat="1" applyFont="1" applyFill="1" applyBorder="1" applyAlignment="1">
      <alignment horizontal="left" vertical="center" wrapText="1"/>
    </xf>
    <xf numFmtId="14" fontId="84" fillId="18" borderId="6" xfId="702" applyNumberFormat="1" applyFont="1" applyFill="1" applyBorder="1" applyAlignment="1">
      <alignment horizontal="center" vertical="center" wrapText="1"/>
    </xf>
    <xf numFmtId="3" fontId="84" fillId="18" borderId="6" xfId="702" applyNumberFormat="1" applyFont="1" applyFill="1" applyBorder="1" applyAlignment="1">
      <alignment horizontal="right" vertical="center"/>
    </xf>
    <xf numFmtId="14" fontId="83" fillId="18" borderId="6" xfId="702" applyNumberFormat="1" applyFont="1" applyFill="1" applyBorder="1" applyAlignment="1">
      <alignment horizontal="left" vertical="center" wrapText="1"/>
    </xf>
    <xf numFmtId="164" fontId="80" fillId="33" borderId="6" xfId="702" applyNumberFormat="1" applyFont="1" applyFill="1" applyBorder="1" applyAlignment="1">
      <alignment horizontal="center" vertical="center"/>
    </xf>
    <xf numFmtId="0" fontId="79" fillId="13" borderId="6" xfId="702" applyFont="1" applyFill="1" applyBorder="1" applyAlignment="1">
      <alignment horizontal="center" vertical="center"/>
    </xf>
    <xf numFmtId="164" fontId="79" fillId="13" borderId="6" xfId="702" applyNumberFormat="1" applyFont="1" applyFill="1" applyBorder="1" applyAlignment="1">
      <alignment horizontal="center" vertical="center"/>
    </xf>
    <xf numFmtId="165" fontId="79" fillId="13" borderId="6" xfId="702" applyNumberFormat="1" applyFont="1" applyFill="1" applyBorder="1" applyAlignment="1">
      <alignment horizontal="center" vertical="center"/>
    </xf>
    <xf numFmtId="3" fontId="79" fillId="13" borderId="6" xfId="702" applyNumberFormat="1" applyFont="1" applyFill="1" applyBorder="1" applyAlignment="1">
      <alignment horizontal="center" vertical="center"/>
    </xf>
    <xf numFmtId="14" fontId="87" fillId="13" borderId="6" xfId="702" applyNumberFormat="1" applyFont="1" applyFill="1" applyBorder="1" applyAlignment="1">
      <alignment horizontal="left" vertical="center" wrapText="1"/>
    </xf>
    <xf numFmtId="14" fontId="79" fillId="13" borderId="6" xfId="702" applyNumberFormat="1" applyFont="1" applyFill="1" applyBorder="1" applyAlignment="1">
      <alignment horizontal="center" vertical="center" wrapText="1"/>
    </xf>
    <xf numFmtId="3" fontId="79" fillId="13" borderId="6" xfId="702" applyNumberFormat="1" applyFont="1" applyFill="1" applyBorder="1" applyAlignment="1">
      <alignment horizontal="right" vertical="center"/>
    </xf>
    <xf numFmtId="165" fontId="79" fillId="19" borderId="6" xfId="702" applyNumberFormat="1" applyFont="1" applyFill="1" applyBorder="1" applyAlignment="1">
      <alignment horizontal="center" vertical="center"/>
    </xf>
    <xf numFmtId="0" fontId="79" fillId="19" borderId="6" xfId="702" applyFont="1" applyFill="1" applyBorder="1" applyAlignment="1">
      <alignment horizontal="center" vertical="center"/>
    </xf>
    <xf numFmtId="0" fontId="79" fillId="13" borderId="6" xfId="702" applyFont="1" applyFill="1" applyBorder="1" applyAlignment="1">
      <alignment horizontal="left" vertical="center"/>
    </xf>
    <xf numFmtId="3" fontId="79" fillId="19" borderId="6" xfId="702" applyNumberFormat="1" applyFont="1" applyFill="1" applyBorder="1" applyAlignment="1">
      <alignment horizontal="right" vertical="center"/>
    </xf>
    <xf numFmtId="165" fontId="79" fillId="19" borderId="6" xfId="702" applyNumberFormat="1" applyFont="1" applyFill="1" applyBorder="1" applyAlignment="1">
      <alignment horizontal="center" vertical="center" wrapText="1"/>
    </xf>
    <xf numFmtId="1" fontId="79" fillId="19" borderId="6" xfId="702" applyNumberFormat="1" applyFont="1" applyFill="1" applyBorder="1" applyAlignment="1">
      <alignment horizontal="center" vertical="center" wrapText="1"/>
    </xf>
    <xf numFmtId="1" fontId="79" fillId="19" borderId="6" xfId="702" applyNumberFormat="1" applyFont="1" applyFill="1" applyBorder="1" applyAlignment="1">
      <alignment horizontal="center" vertical="center"/>
    </xf>
    <xf numFmtId="164" fontId="79" fillId="19" borderId="2" xfId="702" applyNumberFormat="1" applyFont="1" applyFill="1" applyBorder="1" applyAlignment="1">
      <alignment horizontal="center" vertical="center"/>
    </xf>
    <xf numFmtId="164" fontId="79" fillId="0" borderId="6" xfId="702" applyNumberFormat="1" applyFont="1" applyBorder="1" applyAlignment="1">
      <alignment horizontal="center" vertical="center"/>
    </xf>
    <xf numFmtId="0" fontId="84" fillId="33" borderId="6" xfId="702" applyFont="1" applyFill="1" applyBorder="1" applyAlignment="1">
      <alignment horizontal="center" vertical="center"/>
    </xf>
    <xf numFmtId="164" fontId="84" fillId="33" borderId="6" xfId="702" applyNumberFormat="1" applyFont="1" applyFill="1" applyBorder="1" applyAlignment="1">
      <alignment horizontal="center" vertical="center"/>
    </xf>
    <xf numFmtId="0" fontId="84" fillId="30" borderId="6" xfId="702" applyFont="1" applyFill="1" applyBorder="1" applyAlignment="1">
      <alignment horizontal="center" vertical="center"/>
    </xf>
    <xf numFmtId="165" fontId="84" fillId="33" borderId="6" xfId="702" applyNumberFormat="1" applyFont="1" applyFill="1" applyBorder="1" applyAlignment="1">
      <alignment horizontal="center" vertical="center"/>
    </xf>
    <xf numFmtId="3" fontId="84" fillId="33" borderId="6" xfId="702" applyNumberFormat="1" applyFont="1" applyFill="1" applyBorder="1" applyAlignment="1">
      <alignment horizontal="center" vertical="center"/>
    </xf>
    <xf numFmtId="14" fontId="84" fillId="33" borderId="6" xfId="702" applyNumberFormat="1" applyFont="1" applyFill="1" applyBorder="1" applyAlignment="1">
      <alignment horizontal="left" vertical="center" wrapText="1"/>
    </xf>
    <xf numFmtId="14" fontId="84" fillId="33" borderId="6" xfId="702" applyNumberFormat="1" applyFont="1" applyFill="1" applyBorder="1" applyAlignment="1">
      <alignment horizontal="center" vertical="center" wrapText="1"/>
    </xf>
    <xf numFmtId="3" fontId="84" fillId="33" borderId="6" xfId="702" applyNumberFormat="1" applyFont="1" applyFill="1" applyBorder="1" applyAlignment="1">
      <alignment horizontal="right" vertical="center"/>
    </xf>
    <xf numFmtId="165" fontId="84" fillId="30" borderId="6" xfId="702" applyNumberFormat="1" applyFont="1" applyFill="1" applyBorder="1" applyAlignment="1">
      <alignment horizontal="center" vertical="center"/>
    </xf>
    <xf numFmtId="0" fontId="84" fillId="33" borderId="6" xfId="702" applyFont="1" applyFill="1" applyBorder="1" applyAlignment="1">
      <alignment horizontal="left" vertical="center"/>
    </xf>
    <xf numFmtId="3" fontId="84" fillId="30" borderId="6" xfId="702" applyNumberFormat="1" applyFont="1" applyFill="1" applyBorder="1" applyAlignment="1">
      <alignment horizontal="right" vertical="center"/>
    </xf>
    <xf numFmtId="165" fontId="84" fillId="30" borderId="6" xfId="702" applyNumberFormat="1" applyFont="1" applyFill="1" applyBorder="1" applyAlignment="1">
      <alignment horizontal="center" vertical="center" wrapText="1"/>
    </xf>
    <xf numFmtId="1" fontId="84" fillId="30" borderId="6" xfId="702" applyNumberFormat="1" applyFont="1" applyFill="1" applyBorder="1" applyAlignment="1">
      <alignment horizontal="center" vertical="center" wrapText="1"/>
    </xf>
    <xf numFmtId="1" fontId="84" fillId="30" borderId="6" xfId="702" applyNumberFormat="1" applyFont="1" applyFill="1" applyBorder="1" applyAlignment="1">
      <alignment horizontal="center" vertical="center"/>
    </xf>
    <xf numFmtId="164" fontId="84" fillId="30" borderId="2" xfId="702" applyNumberFormat="1" applyFont="1" applyFill="1" applyBorder="1" applyAlignment="1">
      <alignment horizontal="center" vertical="center"/>
    </xf>
    <xf numFmtId="0" fontId="84" fillId="2" borderId="6" xfId="702" applyFont="1" applyFill="1" applyBorder="1" applyAlignment="1">
      <alignment horizontal="center" vertical="center" wrapText="1"/>
    </xf>
    <xf numFmtId="0" fontId="84" fillId="2" borderId="6" xfId="702" applyFont="1" applyFill="1" applyBorder="1" applyAlignment="1">
      <alignment horizontal="left" vertical="center" wrapText="1"/>
    </xf>
    <xf numFmtId="3" fontId="84" fillId="2" borderId="6" xfId="702" applyNumberFormat="1" applyFont="1" applyFill="1" applyBorder="1" applyAlignment="1">
      <alignment horizontal="center" vertical="center" wrapText="1"/>
    </xf>
    <xf numFmtId="1" fontId="84" fillId="2" borderId="6" xfId="702" applyNumberFormat="1" applyFont="1" applyFill="1" applyBorder="1" applyAlignment="1">
      <alignment horizontal="center" vertical="center" wrapText="1"/>
    </xf>
    <xf numFmtId="1" fontId="84" fillId="2" borderId="2" xfId="702" applyNumberFormat="1" applyFont="1" applyFill="1" applyBorder="1" applyAlignment="1">
      <alignment horizontal="center" vertical="center" wrapText="1"/>
    </xf>
    <xf numFmtId="0" fontId="81" fillId="0" borderId="3" xfId="702" applyFont="1" applyAlignment="1">
      <alignment vertical="center"/>
    </xf>
    <xf numFmtId="0" fontId="80" fillId="4" borderId="6" xfId="702" applyFont="1" applyFill="1" applyBorder="1" applyAlignment="1">
      <alignment horizontal="center" vertical="center"/>
    </xf>
    <xf numFmtId="166" fontId="80" fillId="5" borderId="6" xfId="702" applyNumberFormat="1" applyFont="1" applyFill="1" applyBorder="1" applyAlignment="1">
      <alignment horizontal="center" vertical="center"/>
    </xf>
    <xf numFmtId="14" fontId="81" fillId="0" borderId="3" xfId="702" applyNumberFormat="1" applyFont="1" applyAlignment="1">
      <alignment vertical="center"/>
    </xf>
    <xf numFmtId="0" fontId="88" fillId="7" borderId="6" xfId="13068" applyFont="1" applyFill="1" applyBorder="1" applyAlignment="1">
      <alignment horizontal="center" vertical="center"/>
    </xf>
    <xf numFmtId="0" fontId="88" fillId="7" borderId="6" xfId="702" applyFont="1" applyFill="1" applyBorder="1" applyAlignment="1">
      <alignment horizontal="center" vertical="center"/>
    </xf>
    <xf numFmtId="0" fontId="80" fillId="83" borderId="6" xfId="702" applyFont="1" applyFill="1" applyBorder="1" applyAlignment="1">
      <alignment horizontal="center" vertical="center"/>
    </xf>
    <xf numFmtId="0" fontId="80" fillId="28" borderId="6" xfId="702" applyFont="1" applyFill="1" applyBorder="1" applyAlignment="1">
      <alignment horizontal="center" vertical="center" wrapText="1"/>
    </xf>
    <xf numFmtId="0" fontId="79" fillId="13" borderId="6" xfId="702" applyFont="1" applyFill="1" applyBorder="1" applyAlignment="1">
      <alignment horizontal="center" vertical="center" wrapText="1"/>
    </xf>
    <xf numFmtId="0" fontId="79" fillId="13" borderId="3" xfId="702" applyFont="1" applyFill="1" applyAlignment="1">
      <alignment vertical="center"/>
    </xf>
    <xf numFmtId="166" fontId="79" fillId="45" borderId="6" xfId="702" applyNumberFormat="1" applyFont="1" applyFill="1" applyBorder="1" applyAlignment="1">
      <alignment horizontal="center" vertical="center"/>
    </xf>
    <xf numFmtId="0" fontId="79" fillId="44" borderId="6" xfId="702" applyFont="1" applyFill="1" applyBorder="1" applyAlignment="1">
      <alignment horizontal="center" vertical="center"/>
    </xf>
    <xf numFmtId="0" fontId="79" fillId="74" borderId="6" xfId="13068" applyFont="1" applyFill="1" applyBorder="1" applyAlignment="1">
      <alignment horizontal="center" vertical="center"/>
    </xf>
    <xf numFmtId="0" fontId="79" fillId="74" borderId="6" xfId="702" applyFont="1" applyFill="1" applyBorder="1" applyAlignment="1">
      <alignment horizontal="center" vertical="center"/>
    </xf>
    <xf numFmtId="0" fontId="80" fillId="33" borderId="6" xfId="702" applyFont="1" applyFill="1" applyBorder="1" applyAlignment="1">
      <alignment horizontal="center" vertical="center"/>
    </xf>
    <xf numFmtId="0" fontId="39" fillId="0" borderId="3" xfId="702" applyFont="1"/>
    <xf numFmtId="3" fontId="39" fillId="0" borderId="3" xfId="702" applyNumberFormat="1" applyFont="1"/>
    <xf numFmtId="14" fontId="39" fillId="0" borderId="3" xfId="702" applyNumberFormat="1" applyFont="1"/>
    <xf numFmtId="0" fontId="64" fillId="13" borderId="3" xfId="702" applyFont="1" applyFill="1"/>
    <xf numFmtId="3" fontId="64" fillId="13" borderId="3" xfId="702" applyNumberFormat="1" applyFont="1" applyFill="1"/>
    <xf numFmtId="0" fontId="39" fillId="0" borderId="3" xfId="702" applyFont="1" applyAlignment="1">
      <alignment horizontal="center"/>
    </xf>
    <xf numFmtId="0" fontId="39" fillId="0" borderId="3" xfId="702" applyFont="1" applyAlignment="1">
      <alignment horizontal="center" vertical="center"/>
    </xf>
    <xf numFmtId="0" fontId="64" fillId="0" borderId="3" xfId="702" applyFont="1"/>
    <xf numFmtId="14" fontId="33" fillId="11" borderId="6" xfId="2253" applyNumberFormat="1" applyFont="1" applyFill="1" applyBorder="1" applyAlignment="1">
      <alignment horizontal="center" vertical="center" wrapText="1"/>
    </xf>
    <xf numFmtId="14" fontId="33" fillId="10" borderId="6" xfId="2253" applyNumberFormat="1" applyFont="1" applyFill="1" applyBorder="1" applyAlignment="1">
      <alignment horizontal="center" vertical="center" wrapText="1"/>
    </xf>
    <xf numFmtId="14" fontId="27" fillId="10" borderId="6" xfId="2253" applyNumberFormat="1" applyFont="1" applyFill="1" applyBorder="1" applyAlignment="1">
      <alignment horizontal="center" vertical="center" wrapText="1"/>
    </xf>
    <xf numFmtId="14" fontId="27" fillId="11" borderId="6" xfId="2253" applyNumberFormat="1" applyFont="1" applyFill="1" applyBorder="1" applyAlignment="1">
      <alignment horizontal="center" vertical="center" wrapText="1"/>
    </xf>
    <xf numFmtId="14" fontId="33" fillId="10" borderId="6" xfId="4310" applyNumberFormat="1" applyFont="1" applyFill="1" applyBorder="1" applyAlignment="1">
      <alignment horizontal="center" vertical="center" wrapText="1"/>
    </xf>
    <xf numFmtId="3" fontId="33" fillId="0" borderId="3" xfId="702" applyNumberFormat="1" applyFont="1" applyAlignment="1">
      <alignment horizontal="center" vertical="center"/>
    </xf>
    <xf numFmtId="0" fontId="64" fillId="0" borderId="3" xfId="702" applyFont="1" applyAlignment="1">
      <alignment horizontal="center"/>
    </xf>
    <xf numFmtId="0" fontId="79" fillId="11" borderId="6" xfId="13060" applyFont="1" applyFill="1" applyBorder="1" applyAlignment="1">
      <alignment horizontal="center" vertical="center"/>
    </xf>
    <xf numFmtId="164" fontId="79" fillId="11" borderId="6" xfId="13060" applyNumberFormat="1" applyFont="1" applyFill="1" applyBorder="1" applyAlignment="1">
      <alignment horizontal="center" vertical="center"/>
    </xf>
    <xf numFmtId="165" fontId="79" fillId="11" borderId="6" xfId="13060" applyNumberFormat="1" applyFont="1" applyFill="1" applyBorder="1" applyAlignment="1">
      <alignment horizontal="center" vertical="center"/>
    </xf>
    <xf numFmtId="3" fontId="79" fillId="11" borderId="6" xfId="13060" applyNumberFormat="1" applyFont="1" applyFill="1" applyBorder="1" applyAlignment="1">
      <alignment horizontal="center" vertical="center"/>
    </xf>
    <xf numFmtId="14" fontId="79" fillId="11" borderId="6" xfId="13060" applyNumberFormat="1" applyFont="1" applyFill="1" applyBorder="1" applyAlignment="1">
      <alignment horizontal="left" vertical="center" wrapText="1"/>
    </xf>
    <xf numFmtId="165" fontId="80" fillId="10" borderId="6" xfId="13060" applyNumberFormat="1" applyFont="1" applyFill="1" applyBorder="1" applyAlignment="1">
      <alignment horizontal="center" vertical="center"/>
    </xf>
    <xf numFmtId="3" fontId="80" fillId="10" borderId="6" xfId="13060" applyNumberFormat="1" applyFont="1" applyFill="1" applyBorder="1" applyAlignment="1">
      <alignment horizontal="center" vertical="center"/>
    </xf>
    <xf numFmtId="3" fontId="79" fillId="10" borderId="6" xfId="13060" applyNumberFormat="1" applyFont="1" applyFill="1" applyBorder="1" applyAlignment="1">
      <alignment horizontal="center" vertical="center"/>
    </xf>
    <xf numFmtId="165" fontId="80" fillId="10" borderId="6" xfId="13060" applyNumberFormat="1" applyFont="1" applyFill="1" applyBorder="1" applyAlignment="1">
      <alignment horizontal="center" vertical="center" wrapText="1"/>
    </xf>
    <xf numFmtId="1" fontId="80" fillId="10" borderId="6" xfId="13060" applyNumberFormat="1" applyFont="1" applyFill="1" applyBorder="1" applyAlignment="1">
      <alignment horizontal="center" vertical="center" wrapText="1"/>
    </xf>
    <xf numFmtId="1" fontId="80" fillId="10" borderId="6" xfId="13060" applyNumberFormat="1" applyFont="1" applyFill="1" applyBorder="1" applyAlignment="1">
      <alignment horizontal="center" vertical="center"/>
    </xf>
    <xf numFmtId="164" fontId="80" fillId="10" borderId="2" xfId="13060" applyNumberFormat="1" applyFont="1" applyFill="1" applyBorder="1" applyAlignment="1">
      <alignment horizontal="center" vertical="center"/>
    </xf>
    <xf numFmtId="14" fontId="79" fillId="11" borderId="6" xfId="13060" applyNumberFormat="1" applyFont="1" applyFill="1" applyBorder="1" applyAlignment="1">
      <alignment horizontal="center" vertical="center" wrapText="1"/>
    </xf>
    <xf numFmtId="0" fontId="80" fillId="10" borderId="6" xfId="13060" applyFont="1" applyFill="1" applyBorder="1" applyAlignment="1">
      <alignment horizontal="center" vertical="center"/>
    </xf>
    <xf numFmtId="165" fontId="80" fillId="15" borderId="6" xfId="13060" applyNumberFormat="1" applyFont="1" applyFill="1" applyBorder="1" applyAlignment="1">
      <alignment horizontal="center" vertical="center" wrapText="1"/>
    </xf>
    <xf numFmtId="1" fontId="80" fillId="15" borderId="6" xfId="13060" applyNumberFormat="1" applyFont="1" applyFill="1" applyBorder="1" applyAlignment="1">
      <alignment horizontal="center" vertical="center" wrapText="1"/>
    </xf>
    <xf numFmtId="1" fontId="80" fillId="15" borderId="6" xfId="13060" applyNumberFormat="1" applyFont="1" applyFill="1" applyBorder="1" applyAlignment="1">
      <alignment horizontal="center" vertical="center"/>
    </xf>
    <xf numFmtId="164" fontId="80" fillId="15" borderId="2" xfId="13060" applyNumberFormat="1" applyFont="1" applyFill="1" applyBorder="1" applyAlignment="1">
      <alignment horizontal="center" vertical="center"/>
    </xf>
    <xf numFmtId="164" fontId="80" fillId="10" borderId="6" xfId="0" applyNumberFormat="1" applyFont="1" applyFill="1" applyBorder="1" applyAlignment="1">
      <alignment horizontal="center" vertical="center"/>
    </xf>
    <xf numFmtId="165" fontId="80" fillId="10" borderId="6" xfId="0" applyNumberFormat="1" applyFont="1" applyFill="1" applyBorder="1" applyAlignment="1">
      <alignment horizontal="center" vertical="center"/>
    </xf>
    <xf numFmtId="3" fontId="80" fillId="10" borderId="6" xfId="0" applyNumberFormat="1" applyFont="1" applyFill="1" applyBorder="1" applyAlignment="1">
      <alignment horizontal="center" vertical="center"/>
    </xf>
    <xf numFmtId="0" fontId="80" fillId="10" borderId="6" xfId="0" applyFont="1" applyFill="1" applyBorder="1" applyAlignment="1">
      <alignment horizontal="center" vertical="center"/>
    </xf>
    <xf numFmtId="165" fontId="80" fillId="11" borderId="6" xfId="13060" applyNumberFormat="1" applyFont="1" applyFill="1" applyBorder="1" applyAlignment="1">
      <alignment horizontal="center" vertical="center"/>
    </xf>
    <xf numFmtId="0" fontId="80" fillId="11" borderId="6" xfId="13060" applyFont="1" applyFill="1" applyBorder="1" applyAlignment="1">
      <alignment horizontal="center" vertical="center"/>
    </xf>
    <xf numFmtId="165" fontId="80" fillId="15" borderId="6" xfId="13060" applyNumberFormat="1" applyFont="1" applyFill="1" applyBorder="1" applyAlignment="1">
      <alignment horizontal="center" vertical="center"/>
    </xf>
    <xf numFmtId="168" fontId="79" fillId="69" borderId="6" xfId="0" applyNumberFormat="1" applyFont="1" applyFill="1" applyBorder="1" applyAlignment="1">
      <alignment horizontal="center" vertical="center"/>
    </xf>
    <xf numFmtId="0" fontId="80" fillId="15" borderId="6" xfId="13060" applyFont="1" applyFill="1" applyBorder="1" applyAlignment="1">
      <alignment horizontal="center" vertical="center"/>
    </xf>
    <xf numFmtId="14" fontId="79" fillId="15" borderId="6" xfId="13060" applyNumberFormat="1" applyFont="1" applyFill="1" applyBorder="1" applyAlignment="1">
      <alignment horizontal="left" vertical="center" wrapText="1"/>
    </xf>
    <xf numFmtId="14" fontId="79" fillId="15" borderId="6" xfId="13060" applyNumberFormat="1" applyFont="1" applyFill="1" applyBorder="1" applyAlignment="1">
      <alignment horizontal="center" vertical="center" wrapText="1"/>
    </xf>
    <xf numFmtId="3" fontId="79" fillId="69" borderId="6" xfId="13060" applyNumberFormat="1" applyFont="1" applyFill="1" applyBorder="1" applyAlignment="1">
      <alignment horizontal="center" vertical="center"/>
    </xf>
    <xf numFmtId="0" fontId="79" fillId="15" borderId="6" xfId="13060" applyFont="1" applyFill="1" applyBorder="1" applyAlignment="1">
      <alignment horizontal="center" vertical="center"/>
    </xf>
    <xf numFmtId="164" fontId="80" fillId="69" borderId="6" xfId="0" applyNumberFormat="1" applyFont="1" applyFill="1" applyBorder="1" applyAlignment="1">
      <alignment horizontal="center" vertical="center"/>
    </xf>
    <xf numFmtId="165" fontId="80" fillId="69" borderId="6" xfId="0" applyNumberFormat="1" applyFont="1" applyFill="1" applyBorder="1" applyAlignment="1">
      <alignment horizontal="center" vertical="center"/>
    </xf>
    <xf numFmtId="3" fontId="79" fillId="15" borderId="6" xfId="13060" applyNumberFormat="1" applyFont="1" applyFill="1" applyBorder="1" applyAlignment="1">
      <alignment horizontal="center" vertical="center"/>
    </xf>
    <xf numFmtId="3" fontId="80" fillId="69" borderId="6" xfId="0" applyNumberFormat="1" applyFont="1" applyFill="1" applyBorder="1" applyAlignment="1">
      <alignment horizontal="center" vertical="center"/>
    </xf>
    <xf numFmtId="0" fontId="80" fillId="69" borderId="6" xfId="0" applyFont="1" applyFill="1" applyBorder="1" applyAlignment="1">
      <alignment horizontal="center" vertical="center"/>
    </xf>
    <xf numFmtId="14" fontId="79" fillId="68" borderId="6" xfId="13060" applyNumberFormat="1" applyFont="1" applyFill="1" applyBorder="1" applyAlignment="1">
      <alignment horizontal="left" vertical="center" wrapText="1"/>
    </xf>
    <xf numFmtId="14" fontId="79" fillId="68" borderId="6" xfId="13060" applyNumberFormat="1" applyFont="1" applyFill="1" applyBorder="1" applyAlignment="1">
      <alignment horizontal="center" vertical="center" wrapText="1"/>
    </xf>
    <xf numFmtId="3" fontId="80" fillId="67" borderId="6" xfId="0" applyNumberFormat="1" applyFont="1" applyFill="1" applyBorder="1" applyAlignment="1">
      <alignment horizontal="center" vertical="center"/>
    </xf>
    <xf numFmtId="0" fontId="7" fillId="0" borderId="3" xfId="13060" applyFont="1"/>
    <xf numFmtId="1" fontId="21" fillId="0" borderId="3" xfId="0" applyNumberFormat="1" applyFont="1" applyBorder="1" applyAlignment="1">
      <alignment horizontal="center" vertical="center"/>
    </xf>
    <xf numFmtId="0" fontId="90" fillId="0" borderId="0" xfId="0" applyFont="1"/>
    <xf numFmtId="3" fontId="90" fillId="0" borderId="0" xfId="0" applyNumberFormat="1" applyFont="1" applyAlignment="1">
      <alignment horizontal="center"/>
    </xf>
    <xf numFmtId="164" fontId="90" fillId="0" borderId="3" xfId="0" applyNumberFormat="1" applyFont="1" applyBorder="1" applyAlignment="1">
      <alignment horizontal="center" vertical="center"/>
    </xf>
    <xf numFmtId="1" fontId="90" fillId="0" borderId="3" xfId="0" applyNumberFormat="1" applyFont="1" applyBorder="1" applyAlignment="1">
      <alignment horizontal="center" vertical="center"/>
    </xf>
    <xf numFmtId="164" fontId="90" fillId="0" borderId="0" xfId="0" applyNumberFormat="1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79" fillId="32" borderId="6" xfId="702" applyFont="1" applyFill="1" applyBorder="1" applyAlignment="1">
      <alignment horizontal="left" vertical="center"/>
    </xf>
    <xf numFmtId="1" fontId="79" fillId="30" borderId="6" xfId="702" applyNumberFormat="1" applyFont="1" applyFill="1" applyBorder="1" applyAlignment="1">
      <alignment horizontal="center" vertical="center"/>
    </xf>
    <xf numFmtId="165" fontId="79" fillId="30" borderId="6" xfId="702" applyNumberFormat="1" applyFont="1" applyFill="1" applyBorder="1" applyAlignment="1">
      <alignment horizontal="center" vertical="center" wrapText="1"/>
    </xf>
    <xf numFmtId="0" fontId="81" fillId="33" borderId="3" xfId="702" applyFont="1" applyFill="1" applyAlignment="1">
      <alignment vertical="center"/>
    </xf>
    <xf numFmtId="10" fontId="39" fillId="0" borderId="0" xfId="0" applyNumberFormat="1" applyFont="1"/>
    <xf numFmtId="0" fontId="30" fillId="2" borderId="6" xfId="702" applyFont="1" applyFill="1" applyBorder="1" applyAlignment="1">
      <alignment horizontal="center" vertical="top" wrapText="1"/>
    </xf>
    <xf numFmtId="0" fontId="30" fillId="2" borderId="6" xfId="702" applyFont="1" applyFill="1" applyBorder="1" applyAlignment="1">
      <alignment horizontal="left" vertical="top" wrapText="1"/>
    </xf>
    <xf numFmtId="3" fontId="30" fillId="2" borderId="6" xfId="702" applyNumberFormat="1" applyFont="1" applyFill="1" applyBorder="1" applyAlignment="1">
      <alignment horizontal="center" vertical="top" wrapText="1"/>
    </xf>
    <xf numFmtId="1" fontId="30" fillId="2" borderId="6" xfId="702" applyNumberFormat="1" applyFont="1" applyFill="1" applyBorder="1" applyAlignment="1">
      <alignment horizontal="center" vertical="top" wrapText="1"/>
    </xf>
    <xf numFmtId="1" fontId="30" fillId="2" borderId="2" xfId="702" applyNumberFormat="1" applyFont="1" applyFill="1" applyBorder="1" applyAlignment="1">
      <alignment horizontal="center" vertical="top" wrapText="1"/>
    </xf>
    <xf numFmtId="10" fontId="0" fillId="0" borderId="0" xfId="0" applyNumberFormat="1"/>
    <xf numFmtId="3" fontId="39" fillId="0" borderId="0" xfId="0" applyNumberFormat="1" applyFont="1" applyAlignment="1">
      <alignment horizontal="center"/>
    </xf>
    <xf numFmtId="165" fontId="11" fillId="0" borderId="3" xfId="13060" applyNumberFormat="1"/>
    <xf numFmtId="14" fontId="11" fillId="0" borderId="3" xfId="13060" applyNumberFormat="1"/>
    <xf numFmtId="164" fontId="18" fillId="10" borderId="1" xfId="0" applyNumberFormat="1" applyFont="1" applyFill="1" applyBorder="1" applyAlignment="1">
      <alignment horizontal="center" vertical="center"/>
    </xf>
    <xf numFmtId="14" fontId="79" fillId="10" borderId="6" xfId="13060" applyNumberFormat="1" applyFont="1" applyFill="1" applyBorder="1" applyAlignment="1">
      <alignment horizontal="left" vertical="center" wrapText="1"/>
    </xf>
    <xf numFmtId="14" fontId="79" fillId="10" borderId="6" xfId="13060" applyNumberFormat="1" applyFont="1" applyFill="1" applyBorder="1" applyAlignment="1">
      <alignment horizontal="center" vertical="center" wrapText="1"/>
    </xf>
    <xf numFmtId="164" fontId="79" fillId="11" borderId="6" xfId="13070" applyNumberFormat="1" applyFont="1" applyFill="1" applyBorder="1" applyAlignment="1">
      <alignment horizontal="center" vertical="center"/>
    </xf>
    <xf numFmtId="0" fontId="39" fillId="0" borderId="3" xfId="702" applyFont="1" applyAlignment="1">
      <alignment horizontal="left"/>
    </xf>
    <xf numFmtId="0" fontId="30" fillId="2" borderId="1" xfId="13068" applyFont="1" applyFill="1" applyBorder="1" applyAlignment="1">
      <alignment horizontal="center" vertical="center" wrapText="1"/>
    </xf>
    <xf numFmtId="0" fontId="30" fillId="2" borderId="2" xfId="13068" applyFont="1" applyFill="1" applyBorder="1" applyAlignment="1">
      <alignment horizontal="center" vertical="center" wrapText="1"/>
    </xf>
    <xf numFmtId="0" fontId="30" fillId="2" borderId="2" xfId="13068" applyFont="1" applyFill="1" applyBorder="1" applyAlignment="1">
      <alignment horizontal="left" vertical="center" wrapText="1"/>
    </xf>
    <xf numFmtId="3" fontId="30" fillId="2" borderId="2" xfId="13068" applyNumberFormat="1" applyFont="1" applyFill="1" applyBorder="1" applyAlignment="1">
      <alignment horizontal="center" vertical="center" wrapText="1"/>
    </xf>
    <xf numFmtId="1" fontId="30" fillId="2" borderId="2" xfId="13068" applyNumberFormat="1" applyFont="1" applyFill="1" applyBorder="1" applyAlignment="1">
      <alignment horizontal="center" vertical="center" wrapText="1"/>
    </xf>
    <xf numFmtId="0" fontId="17" fillId="6" borderId="3" xfId="13068" applyFont="1" applyFill="1" applyAlignment="1">
      <alignment vertical="center"/>
    </xf>
    <xf numFmtId="0" fontId="40" fillId="0" borderId="3" xfId="13068" applyFont="1" applyAlignment="1">
      <alignment vertical="center"/>
    </xf>
    <xf numFmtId="0" fontId="27" fillId="11" borderId="6" xfId="13068" applyFont="1" applyFill="1" applyBorder="1" applyAlignment="1">
      <alignment horizontal="center" vertical="center"/>
    </xf>
    <xf numFmtId="164" fontId="27" fillId="11" borderId="6" xfId="13068" applyNumberFormat="1" applyFont="1" applyFill="1" applyBorder="1" applyAlignment="1">
      <alignment horizontal="center" vertical="center"/>
    </xf>
    <xf numFmtId="165" fontId="27" fillId="11" borderId="6" xfId="13068" applyNumberFormat="1" applyFont="1" applyFill="1" applyBorder="1" applyAlignment="1">
      <alignment horizontal="center"/>
    </xf>
    <xf numFmtId="3" fontId="27" fillId="11" borderId="6" xfId="13068" applyNumberFormat="1" applyFont="1" applyFill="1" applyBorder="1" applyAlignment="1">
      <alignment horizontal="center"/>
    </xf>
    <xf numFmtId="3" fontId="27" fillId="11" borderId="6" xfId="13068" applyNumberFormat="1" applyFont="1" applyFill="1" applyBorder="1" applyAlignment="1">
      <alignment horizontal="center" vertical="center"/>
    </xf>
    <xf numFmtId="14" fontId="27" fillId="10" borderId="6" xfId="13068" applyNumberFormat="1" applyFont="1" applyFill="1" applyBorder="1" applyAlignment="1">
      <alignment horizontal="left" vertical="center" wrapText="1"/>
    </xf>
    <xf numFmtId="14" fontId="27" fillId="10" borderId="6" xfId="13068" applyNumberFormat="1" applyFont="1" applyFill="1" applyBorder="1" applyAlignment="1">
      <alignment horizontal="center" vertical="center" wrapText="1"/>
    </xf>
    <xf numFmtId="165" fontId="18" fillId="11" borderId="6" xfId="13068" applyNumberFormat="1" applyFont="1" applyFill="1" applyBorder="1" applyAlignment="1">
      <alignment horizontal="center"/>
    </xf>
    <xf numFmtId="0" fontId="18" fillId="11" borderId="6" xfId="13068" applyFont="1" applyFill="1" applyBorder="1" applyAlignment="1">
      <alignment horizontal="center" vertical="center"/>
    </xf>
    <xf numFmtId="0" fontId="18" fillId="11" borderId="6" xfId="13068" applyFont="1" applyFill="1" applyBorder="1" applyAlignment="1">
      <alignment horizontal="left" vertical="center"/>
    </xf>
    <xf numFmtId="3" fontId="18" fillId="11" borderId="6" xfId="13068" applyNumberFormat="1" applyFont="1" applyFill="1" applyBorder="1" applyAlignment="1">
      <alignment horizontal="center" vertical="center"/>
    </xf>
    <xf numFmtId="165" fontId="33" fillId="11" borderId="6" xfId="13068" applyNumberFormat="1" applyFont="1" applyFill="1" applyBorder="1" applyAlignment="1">
      <alignment horizontal="center" vertical="center" wrapText="1"/>
    </xf>
    <xf numFmtId="1" fontId="33" fillId="11" borderId="6" xfId="13068" applyNumberFormat="1" applyFont="1" applyFill="1" applyBorder="1" applyAlignment="1">
      <alignment horizontal="center" vertical="center" wrapText="1"/>
    </xf>
    <xf numFmtId="1" fontId="18" fillId="11" borderId="6" xfId="13068" applyNumberFormat="1" applyFont="1" applyFill="1" applyBorder="1" applyAlignment="1">
      <alignment horizontal="center" vertical="center"/>
    </xf>
    <xf numFmtId="164" fontId="18" fillId="9" borderId="1" xfId="13068" applyNumberFormat="1" applyFont="1" applyFill="1" applyBorder="1" applyAlignment="1">
      <alignment horizontal="center" vertical="center"/>
    </xf>
    <xf numFmtId="164" fontId="18" fillId="0" borderId="3" xfId="13068" applyNumberFormat="1" applyFont="1" applyAlignment="1">
      <alignment horizontal="center" vertical="center"/>
    </xf>
    <xf numFmtId="165" fontId="18" fillId="0" borderId="3" xfId="13068" applyNumberFormat="1" applyFont="1" applyAlignment="1">
      <alignment horizontal="center" vertical="center"/>
    </xf>
    <xf numFmtId="3" fontId="39" fillId="0" borderId="3" xfId="13068" applyNumberFormat="1" applyFont="1"/>
    <xf numFmtId="0" fontId="39" fillId="0" borderId="3" xfId="13068" applyFont="1"/>
    <xf numFmtId="0" fontId="33" fillId="11" borderId="6" xfId="13068" applyFont="1" applyFill="1" applyBorder="1" applyAlignment="1">
      <alignment horizontal="center" vertical="center"/>
    </xf>
    <xf numFmtId="165" fontId="33" fillId="11" borderId="6" xfId="13068" applyNumberFormat="1" applyFont="1" applyFill="1" applyBorder="1" applyAlignment="1">
      <alignment horizontal="center"/>
    </xf>
    <xf numFmtId="3" fontId="33" fillId="11" borderId="6" xfId="13068" applyNumberFormat="1" applyFont="1" applyFill="1" applyBorder="1" applyAlignment="1">
      <alignment horizontal="center"/>
    </xf>
    <xf numFmtId="3" fontId="33" fillId="11" borderId="6" xfId="13068" applyNumberFormat="1" applyFont="1" applyFill="1" applyBorder="1" applyAlignment="1">
      <alignment horizontal="center" vertical="center"/>
    </xf>
    <xf numFmtId="14" fontId="33" fillId="10" borderId="6" xfId="13068" applyNumberFormat="1" applyFont="1" applyFill="1" applyBorder="1" applyAlignment="1">
      <alignment horizontal="left" vertical="center" wrapText="1"/>
    </xf>
    <xf numFmtId="14" fontId="33" fillId="10" borderId="6" xfId="13068" applyNumberFormat="1" applyFont="1" applyFill="1" applyBorder="1" applyAlignment="1">
      <alignment horizontal="center" vertical="center" wrapText="1"/>
    </xf>
    <xf numFmtId="165" fontId="33" fillId="11" borderId="6" xfId="702" applyNumberFormat="1" applyFont="1" applyFill="1" applyBorder="1" applyAlignment="1">
      <alignment horizontal="center"/>
    </xf>
    <xf numFmtId="0" fontId="33" fillId="11" borderId="6" xfId="702" applyFont="1" applyFill="1" applyBorder="1" applyAlignment="1">
      <alignment horizontal="left" vertical="center"/>
    </xf>
    <xf numFmtId="3" fontId="33" fillId="11" borderId="6" xfId="702" applyNumberFormat="1" applyFont="1" applyFill="1" applyBorder="1" applyAlignment="1">
      <alignment horizontal="center" vertical="center"/>
    </xf>
    <xf numFmtId="165" fontId="33" fillId="19" borderId="6" xfId="13068" applyNumberFormat="1" applyFont="1" applyFill="1" applyBorder="1" applyAlignment="1">
      <alignment horizontal="center" vertical="center" wrapText="1"/>
    </xf>
    <xf numFmtId="1" fontId="33" fillId="19" borderId="6" xfId="13068" applyNumberFormat="1" applyFont="1" applyFill="1" applyBorder="1" applyAlignment="1">
      <alignment horizontal="center" vertical="center" wrapText="1"/>
    </xf>
    <xf numFmtId="1" fontId="18" fillId="23" borderId="6" xfId="13068" applyNumberFormat="1" applyFont="1" applyFill="1" applyBorder="1" applyAlignment="1">
      <alignment horizontal="center" vertical="center"/>
    </xf>
    <xf numFmtId="164" fontId="18" fillId="6" borderId="1" xfId="13068" applyNumberFormat="1" applyFont="1" applyFill="1" applyBorder="1" applyAlignment="1">
      <alignment horizontal="center" vertical="center"/>
    </xf>
    <xf numFmtId="0" fontId="27" fillId="10" borderId="6" xfId="702" applyFont="1" applyFill="1" applyBorder="1" applyAlignment="1">
      <alignment horizontal="center" vertical="center"/>
    </xf>
    <xf numFmtId="164" fontId="27" fillId="10" borderId="6" xfId="702" applyNumberFormat="1" applyFont="1" applyFill="1" applyBorder="1" applyAlignment="1">
      <alignment horizontal="center" vertical="center"/>
    </xf>
    <xf numFmtId="165" fontId="27" fillId="10" borderId="6" xfId="702" applyNumberFormat="1" applyFont="1" applyFill="1" applyBorder="1" applyAlignment="1">
      <alignment horizontal="center"/>
    </xf>
    <xf numFmtId="3" fontId="27" fillId="10" borderId="6" xfId="702" applyNumberFormat="1" applyFont="1" applyFill="1" applyBorder="1" applyAlignment="1">
      <alignment horizontal="center"/>
    </xf>
    <xf numFmtId="3" fontId="27" fillId="10" borderId="6" xfId="702" applyNumberFormat="1" applyFont="1" applyFill="1" applyBorder="1" applyAlignment="1">
      <alignment horizontal="center" vertical="center"/>
    </xf>
    <xf numFmtId="14" fontId="27" fillId="10" borderId="6" xfId="702" applyNumberFormat="1" applyFont="1" applyFill="1" applyBorder="1" applyAlignment="1">
      <alignment horizontal="left" vertical="center" wrapText="1"/>
    </xf>
    <xf numFmtId="14" fontId="27" fillId="10" borderId="6" xfId="702" applyNumberFormat="1" applyFont="1" applyFill="1" applyBorder="1" applyAlignment="1">
      <alignment horizontal="center" vertical="center" wrapText="1"/>
    </xf>
    <xf numFmtId="0" fontId="18" fillId="10" borderId="6" xfId="702" applyFont="1" applyFill="1" applyBorder="1" applyAlignment="1">
      <alignment horizontal="left" vertical="center"/>
    </xf>
    <xf numFmtId="164" fontId="33" fillId="11" borderId="6" xfId="13068" applyNumberFormat="1" applyFont="1" applyFill="1" applyBorder="1" applyAlignment="1">
      <alignment horizontal="center" vertical="center"/>
    </xf>
    <xf numFmtId="14" fontId="33" fillId="11" borderId="6" xfId="13068" applyNumberFormat="1" applyFont="1" applyFill="1" applyBorder="1" applyAlignment="1">
      <alignment horizontal="left" vertical="center" wrapText="1"/>
    </xf>
    <xf numFmtId="14" fontId="33" fillId="11" borderId="6" xfId="13068" applyNumberFormat="1" applyFont="1" applyFill="1" applyBorder="1" applyAlignment="1">
      <alignment horizontal="center" vertical="center" wrapText="1"/>
    </xf>
    <xf numFmtId="3" fontId="27" fillId="10" borderId="6" xfId="702" quotePrefix="1" applyNumberFormat="1" applyFont="1" applyFill="1" applyBorder="1" applyAlignment="1">
      <alignment horizontal="center"/>
    </xf>
    <xf numFmtId="3" fontId="33" fillId="11" borderId="6" xfId="702" quotePrefix="1" applyNumberFormat="1" applyFont="1" applyFill="1" applyBorder="1" applyAlignment="1">
      <alignment horizontal="center" vertical="center"/>
    </xf>
    <xf numFmtId="0" fontId="33" fillId="11" borderId="6" xfId="13068" applyFont="1" applyFill="1" applyBorder="1" applyAlignment="1">
      <alignment horizontal="left" vertical="center"/>
    </xf>
    <xf numFmtId="3" fontId="27" fillId="10" borderId="6" xfId="702" applyNumberFormat="1" applyFont="1" applyFill="1" applyBorder="1" applyAlignment="1">
      <alignment horizontal="right" vertical="center"/>
    </xf>
    <xf numFmtId="168" fontId="33" fillId="11" borderId="6" xfId="13068" applyNumberFormat="1" applyFont="1" applyFill="1" applyBorder="1" applyAlignment="1">
      <alignment horizontal="center" vertical="center"/>
    </xf>
    <xf numFmtId="1" fontId="33" fillId="19" borderId="6" xfId="13068" applyNumberFormat="1" applyFont="1" applyFill="1" applyBorder="1" applyAlignment="1">
      <alignment horizontal="center" vertical="center"/>
    </xf>
    <xf numFmtId="0" fontId="27" fillId="11" borderId="6" xfId="13068" applyFont="1" applyFill="1" applyBorder="1" applyAlignment="1">
      <alignment horizontal="left" vertical="center"/>
    </xf>
    <xf numFmtId="165" fontId="18" fillId="24" borderId="6" xfId="702" applyNumberFormat="1" applyFont="1" applyFill="1" applyBorder="1" applyAlignment="1">
      <alignment horizontal="center" vertical="center" wrapText="1"/>
    </xf>
    <xf numFmtId="1" fontId="18" fillId="24" borderId="6" xfId="13068" applyNumberFormat="1" applyFont="1" applyFill="1" applyBorder="1" applyAlignment="1">
      <alignment horizontal="center" vertical="center" wrapText="1"/>
    </xf>
    <xf numFmtId="1" fontId="18" fillId="24" borderId="6" xfId="702" applyNumberFormat="1" applyFont="1" applyFill="1" applyBorder="1" applyAlignment="1">
      <alignment horizontal="center" vertical="center"/>
    </xf>
    <xf numFmtId="164" fontId="18" fillId="25" borderId="1" xfId="13068" applyNumberFormat="1" applyFont="1" applyFill="1" applyBorder="1" applyAlignment="1">
      <alignment horizontal="center" vertical="center"/>
    </xf>
    <xf numFmtId="0" fontId="19" fillId="6" borderId="3" xfId="13068" applyFont="1" applyFill="1" applyAlignment="1">
      <alignment vertical="center"/>
    </xf>
    <xf numFmtId="0" fontId="51" fillId="0" borderId="3" xfId="13068" applyFont="1" applyAlignment="1">
      <alignment vertical="center"/>
    </xf>
    <xf numFmtId="165" fontId="33" fillId="84" borderId="6" xfId="13068" applyNumberFormat="1" applyFont="1" applyFill="1" applyBorder="1" applyAlignment="1">
      <alignment horizontal="center"/>
    </xf>
    <xf numFmtId="0" fontId="33" fillId="84" borderId="6" xfId="13068" applyFont="1" applyFill="1" applyBorder="1" applyAlignment="1">
      <alignment horizontal="center" vertical="center"/>
    </xf>
    <xf numFmtId="0" fontId="27" fillId="84" borderId="6" xfId="13068" applyFont="1" applyFill="1" applyBorder="1" applyAlignment="1">
      <alignment horizontal="left" vertical="center"/>
    </xf>
    <xf numFmtId="0" fontId="33" fillId="84" borderId="6" xfId="702" applyFont="1" applyFill="1" applyBorder="1" applyAlignment="1">
      <alignment horizontal="center" vertical="center"/>
    </xf>
    <xf numFmtId="3" fontId="33" fillId="84" borderId="6" xfId="13068" applyNumberFormat="1" applyFont="1" applyFill="1" applyBorder="1" applyAlignment="1">
      <alignment horizontal="center" vertical="center"/>
    </xf>
    <xf numFmtId="165" fontId="33" fillId="84" borderId="6" xfId="13068" applyNumberFormat="1" applyFont="1" applyFill="1" applyBorder="1" applyAlignment="1">
      <alignment horizontal="center" vertical="center" wrapText="1"/>
    </xf>
    <xf numFmtId="1" fontId="33" fillId="84" borderId="6" xfId="13068" applyNumberFormat="1" applyFont="1" applyFill="1" applyBorder="1" applyAlignment="1">
      <alignment horizontal="center" vertical="center" wrapText="1"/>
    </xf>
    <xf numFmtId="1" fontId="33" fillId="84" borderId="6" xfId="13068" applyNumberFormat="1" applyFont="1" applyFill="1" applyBorder="1" applyAlignment="1">
      <alignment horizontal="center" vertical="center"/>
    </xf>
    <xf numFmtId="164" fontId="18" fillId="85" borderId="1" xfId="13068" applyNumberFormat="1" applyFont="1" applyFill="1" applyBorder="1" applyAlignment="1">
      <alignment horizontal="center" vertical="center"/>
    </xf>
    <xf numFmtId="168" fontId="27" fillId="10" borderId="6" xfId="702" applyNumberFormat="1" applyFont="1" applyFill="1" applyBorder="1" applyAlignment="1">
      <alignment horizontal="center"/>
    </xf>
    <xf numFmtId="1" fontId="33" fillId="11" borderId="6" xfId="13068" applyNumberFormat="1" applyFont="1" applyFill="1" applyBorder="1" applyAlignment="1">
      <alignment horizontal="center" vertical="center"/>
    </xf>
    <xf numFmtId="165" fontId="33" fillId="19" borderId="6" xfId="13068" applyNumberFormat="1" applyFont="1" applyFill="1" applyBorder="1" applyAlignment="1">
      <alignment horizontal="center"/>
    </xf>
    <xf numFmtId="0" fontId="33" fillId="19" borderId="6" xfId="13068" applyFont="1" applyFill="1" applyBorder="1" applyAlignment="1">
      <alignment horizontal="center" vertical="center"/>
    </xf>
    <xf numFmtId="0" fontId="33" fillId="19" borderId="6" xfId="702" applyFont="1" applyFill="1" applyBorder="1" applyAlignment="1">
      <alignment horizontal="left" vertical="center"/>
    </xf>
    <xf numFmtId="0" fontId="33" fillId="19" borderId="6" xfId="702" applyFont="1" applyFill="1" applyBorder="1" applyAlignment="1">
      <alignment horizontal="center" vertical="center"/>
    </xf>
    <xf numFmtId="3" fontId="33" fillId="19" borderId="6" xfId="702" applyNumberFormat="1" applyFont="1" applyFill="1" applyBorder="1" applyAlignment="1">
      <alignment horizontal="center" vertical="center"/>
    </xf>
    <xf numFmtId="3" fontId="33" fillId="19" borderId="6" xfId="13068" applyNumberFormat="1" applyFont="1" applyFill="1" applyBorder="1" applyAlignment="1">
      <alignment horizontal="center" vertical="center"/>
    </xf>
    <xf numFmtId="164" fontId="18" fillId="10" borderId="6" xfId="702" applyNumberFormat="1" applyFont="1" applyFill="1" applyBorder="1" applyAlignment="1">
      <alignment horizontal="center" vertical="center"/>
    </xf>
    <xf numFmtId="165" fontId="18" fillId="10" borderId="6" xfId="702" applyNumberFormat="1" applyFont="1" applyFill="1" applyBorder="1" applyAlignment="1">
      <alignment horizontal="center"/>
    </xf>
    <xf numFmtId="14" fontId="18" fillId="10" borderId="6" xfId="702" applyNumberFormat="1" applyFont="1" applyFill="1" applyBorder="1" applyAlignment="1">
      <alignment horizontal="left" vertical="center" wrapText="1"/>
    </xf>
    <xf numFmtId="14" fontId="18" fillId="10" borderId="6" xfId="702" applyNumberFormat="1" applyFont="1" applyFill="1" applyBorder="1" applyAlignment="1">
      <alignment horizontal="center" vertical="center" wrapText="1"/>
    </xf>
    <xf numFmtId="0" fontId="18" fillId="19" borderId="6" xfId="13068" applyFont="1" applyFill="1" applyBorder="1" applyAlignment="1">
      <alignment horizontal="left" vertical="center"/>
    </xf>
    <xf numFmtId="0" fontId="18" fillId="19" borderId="6" xfId="13068" applyFont="1" applyFill="1" applyBorder="1" applyAlignment="1">
      <alignment horizontal="center" vertical="center"/>
    </xf>
    <xf numFmtId="0" fontId="33" fillId="19" borderId="6" xfId="13068" applyFont="1" applyFill="1" applyBorder="1" applyAlignment="1">
      <alignment horizontal="left" vertical="center"/>
    </xf>
    <xf numFmtId="0" fontId="33" fillId="0" borderId="6" xfId="702" applyFont="1" applyBorder="1" applyAlignment="1">
      <alignment horizontal="left" vertical="center"/>
    </xf>
    <xf numFmtId="0" fontId="33" fillId="0" borderId="6" xfId="702" applyFont="1" applyBorder="1" applyAlignment="1">
      <alignment horizontal="center" vertical="center"/>
    </xf>
    <xf numFmtId="0" fontId="18" fillId="35" borderId="6" xfId="702" applyFont="1" applyFill="1" applyBorder="1" applyAlignment="1">
      <alignment horizontal="center" vertical="center"/>
    </xf>
    <xf numFmtId="164" fontId="18" fillId="35" borderId="6" xfId="702" applyNumberFormat="1" applyFont="1" applyFill="1" applyBorder="1" applyAlignment="1">
      <alignment horizontal="center" vertical="center"/>
    </xf>
    <xf numFmtId="165" fontId="18" fillId="35" borderId="6" xfId="702" applyNumberFormat="1" applyFont="1" applyFill="1" applyBorder="1" applyAlignment="1">
      <alignment horizontal="center"/>
    </xf>
    <xf numFmtId="3" fontId="18" fillId="35" borderId="6" xfId="702" applyNumberFormat="1" applyFont="1" applyFill="1" applyBorder="1" applyAlignment="1">
      <alignment horizontal="left"/>
    </xf>
    <xf numFmtId="3" fontId="18" fillId="35" borderId="6" xfId="702" applyNumberFormat="1" applyFont="1" applyFill="1" applyBorder="1" applyAlignment="1">
      <alignment horizontal="center" vertical="center"/>
    </xf>
    <xf numFmtId="14" fontId="18" fillId="35" borderId="6" xfId="702" applyNumberFormat="1" applyFont="1" applyFill="1" applyBorder="1" applyAlignment="1">
      <alignment horizontal="left" vertical="center" wrapText="1"/>
    </xf>
    <xf numFmtId="14" fontId="18" fillId="35" borderId="6" xfId="702" applyNumberFormat="1" applyFont="1" applyFill="1" applyBorder="1" applyAlignment="1">
      <alignment horizontal="center" vertical="center" wrapText="1"/>
    </xf>
    <xf numFmtId="0" fontId="18" fillId="13" borderId="6" xfId="702" applyFont="1" applyFill="1" applyBorder="1" applyAlignment="1">
      <alignment horizontal="center" vertical="center"/>
    </xf>
    <xf numFmtId="164" fontId="18" fillId="13" borderId="6" xfId="702" applyNumberFormat="1" applyFont="1" applyFill="1" applyBorder="1" applyAlignment="1">
      <alignment horizontal="center" vertical="center"/>
    </xf>
    <xf numFmtId="165" fontId="18" fillId="13" borderId="6" xfId="702" applyNumberFormat="1" applyFont="1" applyFill="1" applyBorder="1" applyAlignment="1">
      <alignment horizontal="center"/>
    </xf>
    <xf numFmtId="3" fontId="18" fillId="13" borderId="6" xfId="702" applyNumberFormat="1" applyFont="1" applyFill="1" applyBorder="1" applyAlignment="1">
      <alignment horizontal="center" vertical="center"/>
    </xf>
    <xf numFmtId="14" fontId="18" fillId="13" borderId="6" xfId="702" applyNumberFormat="1" applyFont="1" applyFill="1" applyBorder="1" applyAlignment="1">
      <alignment horizontal="left" vertical="center" wrapText="1"/>
    </xf>
    <xf numFmtId="14" fontId="18" fillId="13" borderId="6" xfId="702" applyNumberFormat="1" applyFont="1" applyFill="1" applyBorder="1" applyAlignment="1">
      <alignment horizontal="center" vertical="center" wrapText="1"/>
    </xf>
    <xf numFmtId="164" fontId="18" fillId="84" borderId="1" xfId="13068" applyNumberFormat="1" applyFont="1" applyFill="1" applyBorder="1" applyAlignment="1">
      <alignment horizontal="center" vertical="center"/>
    </xf>
    <xf numFmtId="166" fontId="18" fillId="6" borderId="3" xfId="13068" applyNumberFormat="1" applyFont="1" applyFill="1" applyAlignment="1">
      <alignment horizontal="center" vertical="center"/>
    </xf>
    <xf numFmtId="0" fontId="18" fillId="6" borderId="3" xfId="13068" applyFont="1" applyFill="1" applyAlignment="1">
      <alignment horizontal="center" vertical="center"/>
    </xf>
    <xf numFmtId="0" fontId="18" fillId="6" borderId="3" xfId="13068" applyFont="1" applyFill="1" applyAlignment="1">
      <alignment horizontal="left" vertical="center"/>
    </xf>
    <xf numFmtId="0" fontId="39" fillId="0" borderId="3" xfId="13068" applyFont="1" applyAlignment="1">
      <alignment horizontal="center" vertical="center"/>
    </xf>
    <xf numFmtId="0" fontId="32" fillId="0" borderId="3" xfId="702" applyAlignment="1">
      <alignment horizontal="center"/>
    </xf>
    <xf numFmtId="3" fontId="32" fillId="0" borderId="3" xfId="702" applyNumberFormat="1" applyAlignment="1">
      <alignment horizontal="center"/>
    </xf>
    <xf numFmtId="10" fontId="39" fillId="0" borderId="3" xfId="702" applyNumberFormat="1" applyFont="1"/>
    <xf numFmtId="165" fontId="18" fillId="15" borderId="6" xfId="13070" applyNumberFormat="1" applyFont="1" applyFill="1" applyBorder="1" applyAlignment="1">
      <alignment horizontal="center"/>
    </xf>
    <xf numFmtId="168" fontId="33" fillId="21" borderId="6" xfId="702" applyNumberFormat="1" applyFont="1" applyFill="1" applyBorder="1" applyAlignment="1">
      <alignment horizontal="center"/>
    </xf>
    <xf numFmtId="0" fontId="18" fillId="15" borderId="6" xfId="13070" applyFont="1" applyFill="1" applyBorder="1" applyAlignment="1">
      <alignment horizontal="center" vertical="center"/>
    </xf>
    <xf numFmtId="0" fontId="18" fillId="15" borderId="6" xfId="13070" applyFont="1" applyFill="1" applyBorder="1" applyAlignment="1">
      <alignment horizontal="left" vertical="center"/>
    </xf>
    <xf numFmtId="3" fontId="33" fillId="15" borderId="6" xfId="13070" applyNumberFormat="1" applyFont="1" applyFill="1" applyBorder="1" applyAlignment="1">
      <alignment horizontal="right" vertical="center"/>
    </xf>
    <xf numFmtId="165" fontId="18" fillId="15" borderId="6" xfId="13070" applyNumberFormat="1" applyFont="1" applyFill="1" applyBorder="1" applyAlignment="1">
      <alignment horizontal="center" vertical="center" wrapText="1"/>
    </xf>
    <xf numFmtId="1" fontId="18" fillId="15" borderId="6" xfId="13070" applyNumberFormat="1" applyFont="1" applyFill="1" applyBorder="1" applyAlignment="1">
      <alignment horizontal="center" vertical="center" wrapText="1"/>
    </xf>
    <xf numFmtId="1" fontId="18" fillId="15" borderId="6" xfId="13070" applyNumberFormat="1" applyFont="1" applyFill="1" applyBorder="1" applyAlignment="1">
      <alignment horizontal="center" vertical="center"/>
    </xf>
    <xf numFmtId="164" fontId="18" fillId="15" borderId="2" xfId="13070" applyNumberFormat="1" applyFont="1" applyFill="1" applyBorder="1" applyAlignment="1">
      <alignment horizontal="center" vertical="center"/>
    </xf>
    <xf numFmtId="0" fontId="4" fillId="0" borderId="3" xfId="13070"/>
    <xf numFmtId="3" fontId="18" fillId="47" borderId="6" xfId="702" applyNumberFormat="1" applyFont="1" applyFill="1" applyBorder="1" applyAlignment="1">
      <alignment horizontal="center" vertical="center"/>
    </xf>
    <xf numFmtId="3" fontId="61" fillId="35" borderId="6" xfId="702" applyNumberFormat="1" applyFont="1" applyFill="1" applyBorder="1" applyAlignment="1">
      <alignment horizontal="left"/>
    </xf>
    <xf numFmtId="3" fontId="18" fillId="35" borderId="6" xfId="702" applyNumberFormat="1" applyFont="1" applyFill="1" applyBorder="1" applyAlignment="1">
      <alignment horizontal="right" vertical="center"/>
    </xf>
    <xf numFmtId="0" fontId="69" fillId="0" borderId="31" xfId="13070" applyFont="1" applyBorder="1"/>
    <xf numFmtId="0" fontId="4" fillId="0" borderId="31" xfId="13070" applyBorder="1"/>
    <xf numFmtId="0" fontId="4" fillId="0" borderId="3" xfId="13070" applyAlignment="1">
      <alignment horizontal="center"/>
    </xf>
    <xf numFmtId="0" fontId="21" fillId="0" borderId="3" xfId="13070" applyFont="1"/>
    <xf numFmtId="0" fontId="79" fillId="10" borderId="6" xfId="13060" applyFont="1" applyFill="1" applyBorder="1" applyAlignment="1">
      <alignment horizontal="center" vertical="center"/>
    </xf>
    <xf numFmtId="168" fontId="85" fillId="71" borderId="6" xfId="702" applyNumberFormat="1" applyFont="1" applyFill="1" applyBorder="1" applyAlignment="1">
      <alignment horizontal="center" vertical="center"/>
    </xf>
    <xf numFmtId="3" fontId="33" fillId="10" borderId="5" xfId="13066" applyNumberFormat="1" applyFont="1" applyFill="1" applyBorder="1" applyAlignment="1">
      <alignment horizontal="right" vertical="center"/>
    </xf>
    <xf numFmtId="165" fontId="18" fillId="10" borderId="5" xfId="13066" applyNumberFormat="1" applyFont="1" applyFill="1" applyBorder="1" applyAlignment="1">
      <alignment horizontal="center" vertical="center" wrapText="1"/>
    </xf>
    <xf numFmtId="1" fontId="18" fillId="10" borderId="5" xfId="13066" applyNumberFormat="1" applyFont="1" applyFill="1" applyBorder="1" applyAlignment="1">
      <alignment horizontal="center" vertical="center" wrapText="1"/>
    </xf>
    <xf numFmtId="165" fontId="80" fillId="11" borderId="6" xfId="702" applyNumberFormat="1" applyFont="1" applyFill="1" applyBorder="1" applyAlignment="1">
      <alignment horizontal="center" vertical="center"/>
    </xf>
    <xf numFmtId="168" fontId="80" fillId="11" borderId="6" xfId="702" applyNumberFormat="1" applyFont="1" applyFill="1" applyBorder="1" applyAlignment="1">
      <alignment horizontal="center" vertical="center"/>
    </xf>
    <xf numFmtId="0" fontId="80" fillId="11" borderId="6" xfId="702" applyFont="1" applyFill="1" applyBorder="1" applyAlignment="1">
      <alignment horizontal="center" vertical="center"/>
    </xf>
    <xf numFmtId="0" fontId="80" fillId="10" borderId="6" xfId="702" applyFont="1" applyFill="1" applyBorder="1" applyAlignment="1">
      <alignment horizontal="left" vertical="center"/>
    </xf>
    <xf numFmtId="3" fontId="80" fillId="11" borderId="6" xfId="702" applyNumberFormat="1" applyFont="1" applyFill="1" applyBorder="1" applyAlignment="1">
      <alignment horizontal="right" vertical="center"/>
    </xf>
    <xf numFmtId="165" fontId="79" fillId="11" borderId="6" xfId="702" applyNumberFormat="1" applyFont="1" applyFill="1" applyBorder="1" applyAlignment="1">
      <alignment horizontal="left" vertical="center" wrapText="1"/>
    </xf>
    <xf numFmtId="165" fontId="80" fillId="11" borderId="6" xfId="13060" applyNumberFormat="1" applyFont="1" applyFill="1" applyBorder="1" applyAlignment="1">
      <alignment horizontal="center" vertical="center" wrapText="1"/>
    </xf>
    <xf numFmtId="1" fontId="80" fillId="11" borderId="6" xfId="13060" applyNumberFormat="1" applyFont="1" applyFill="1" applyBorder="1" applyAlignment="1">
      <alignment horizontal="center" vertical="center" wrapText="1"/>
    </xf>
    <xf numFmtId="1" fontId="80" fillId="11" borderId="6" xfId="13060" applyNumberFormat="1" applyFont="1" applyFill="1" applyBorder="1" applyAlignment="1">
      <alignment horizontal="center" vertical="center"/>
    </xf>
    <xf numFmtId="164" fontId="80" fillId="11" borderId="2" xfId="13060" applyNumberFormat="1" applyFont="1" applyFill="1" applyBorder="1" applyAlignment="1">
      <alignment horizontal="center" vertical="center"/>
    </xf>
    <xf numFmtId="0" fontId="18" fillId="10" borderId="5" xfId="13066" applyFont="1" applyFill="1" applyBorder="1" applyAlignment="1">
      <alignment horizontal="center" vertical="center"/>
    </xf>
    <xf numFmtId="14" fontId="64" fillId="10" borderId="5" xfId="13066" applyNumberFormat="1" applyFont="1" applyFill="1" applyBorder="1" applyAlignment="1">
      <alignment horizontal="center"/>
    </xf>
    <xf numFmtId="0" fontId="18" fillId="11" borderId="5" xfId="13066" applyFont="1" applyFill="1" applyBorder="1" applyAlignment="1">
      <alignment horizontal="center" vertical="center"/>
    </xf>
    <xf numFmtId="165" fontId="18" fillId="10" borderId="5" xfId="13066" applyNumberFormat="1" applyFont="1" applyFill="1" applyBorder="1" applyAlignment="1">
      <alignment horizontal="center"/>
    </xf>
    <xf numFmtId="3" fontId="18" fillId="10" borderId="5" xfId="13066" applyNumberFormat="1" applyFont="1" applyFill="1" applyBorder="1" applyAlignment="1">
      <alignment horizontal="center" vertical="center"/>
    </xf>
    <xf numFmtId="3" fontId="64" fillId="10" borderId="5" xfId="13066" applyNumberFormat="1" applyFont="1" applyFill="1" applyBorder="1" applyAlignment="1">
      <alignment horizontal="center"/>
    </xf>
    <xf numFmtId="165" fontId="18" fillId="11" borderId="5" xfId="13066" applyNumberFormat="1" applyFont="1" applyFill="1" applyBorder="1" applyAlignment="1">
      <alignment horizontal="center"/>
    </xf>
    <xf numFmtId="168" fontId="33" fillId="10" borderId="5" xfId="13066" applyNumberFormat="1" applyFont="1" applyFill="1" applyBorder="1" applyAlignment="1">
      <alignment horizontal="center"/>
    </xf>
    <xf numFmtId="0" fontId="62" fillId="31" borderId="5" xfId="13066" applyFont="1" applyFill="1" applyBorder="1" applyAlignment="1">
      <alignment horizontal="center"/>
    </xf>
    <xf numFmtId="0" fontId="65" fillId="86" borderId="5" xfId="13066" applyFont="1" applyFill="1" applyBorder="1" applyAlignment="1">
      <alignment horizontal="center"/>
    </xf>
    <xf numFmtId="0" fontId="65" fillId="13" borderId="5" xfId="13066" applyFont="1" applyFill="1" applyBorder="1" applyAlignment="1">
      <alignment horizontal="center"/>
    </xf>
    <xf numFmtId="0" fontId="62" fillId="61" borderId="5" xfId="13066" applyFont="1" applyFill="1" applyBorder="1" applyAlignment="1">
      <alignment horizontal="center"/>
    </xf>
    <xf numFmtId="3" fontId="57" fillId="10" borderId="21" xfId="0" applyNumberFormat="1" applyFont="1" applyFill="1" applyBorder="1" applyAlignment="1">
      <alignment horizontal="right" vertical="center"/>
    </xf>
    <xf numFmtId="49" fontId="57" fillId="10" borderId="21" xfId="0" applyNumberFormat="1" applyFont="1" applyFill="1" applyBorder="1" applyAlignment="1">
      <alignment horizontal="right" vertical="center"/>
    </xf>
    <xf numFmtId="168" fontId="80" fillId="10" borderId="6" xfId="702" applyNumberFormat="1" applyFont="1" applyFill="1" applyBorder="1" applyAlignment="1">
      <alignment horizontal="center" vertical="center"/>
    </xf>
    <xf numFmtId="168" fontId="84" fillId="18" borderId="6" xfId="702" applyNumberFormat="1" applyFont="1" applyFill="1" applyBorder="1" applyAlignment="1">
      <alignment horizontal="center" vertical="center"/>
    </xf>
    <xf numFmtId="0" fontId="79" fillId="11" borderId="6" xfId="702" applyFont="1" applyFill="1" applyBorder="1" applyAlignment="1">
      <alignment horizontal="left" vertical="center"/>
    </xf>
    <xf numFmtId="0" fontId="27" fillId="11" borderId="6" xfId="702" applyFont="1" applyFill="1" applyBorder="1" applyAlignment="1">
      <alignment horizontal="center" vertical="center"/>
    </xf>
    <xf numFmtId="165" fontId="27" fillId="11" borderId="6" xfId="13068" applyNumberFormat="1" applyFont="1" applyFill="1" applyBorder="1" applyAlignment="1">
      <alignment horizontal="center" vertical="center" wrapText="1"/>
    </xf>
    <xf numFmtId="1" fontId="27" fillId="11" borderId="6" xfId="13068" applyNumberFormat="1" applyFont="1" applyFill="1" applyBorder="1" applyAlignment="1">
      <alignment horizontal="center" vertical="center" wrapText="1"/>
    </xf>
    <xf numFmtId="1" fontId="27" fillId="11" borderId="6" xfId="13068" applyNumberFormat="1" applyFont="1" applyFill="1" applyBorder="1" applyAlignment="1">
      <alignment horizontal="center" vertical="center"/>
    </xf>
    <xf numFmtId="164" fontId="19" fillId="9" borderId="1" xfId="13068" applyNumberFormat="1" applyFont="1" applyFill="1" applyBorder="1" applyAlignment="1">
      <alignment horizontal="center" vertical="center"/>
    </xf>
    <xf numFmtId="0" fontId="27" fillId="11" borderId="6" xfId="702" applyFont="1" applyFill="1" applyBorder="1" applyAlignment="1">
      <alignment horizontal="left" vertical="center"/>
    </xf>
    <xf numFmtId="3" fontId="27" fillId="11" borderId="6" xfId="702" applyNumberFormat="1" applyFont="1" applyFill="1" applyBorder="1" applyAlignment="1">
      <alignment horizontal="center" vertical="center"/>
    </xf>
    <xf numFmtId="165" fontId="27" fillId="10" borderId="6" xfId="4310" applyNumberFormat="1" applyFont="1" applyFill="1" applyBorder="1" applyAlignment="1">
      <alignment horizontal="center"/>
    </xf>
    <xf numFmtId="14" fontId="27" fillId="10" borderId="6" xfId="4310" applyNumberFormat="1" applyFont="1" applyFill="1" applyBorder="1" applyAlignment="1">
      <alignment horizontal="center" vertical="center" wrapText="1"/>
    </xf>
    <xf numFmtId="0" fontId="85" fillId="33" borderId="6" xfId="702" applyFont="1" applyFill="1" applyBorder="1" applyAlignment="1">
      <alignment horizontal="center" vertical="center"/>
    </xf>
    <xf numFmtId="0" fontId="91" fillId="0" borderId="3" xfId="702" applyFont="1" applyAlignment="1">
      <alignment vertical="center"/>
    </xf>
    <xf numFmtId="0" fontId="79" fillId="29" borderId="6" xfId="702" applyFont="1" applyFill="1" applyBorder="1" applyAlignment="1">
      <alignment horizontal="left" vertical="center"/>
    </xf>
    <xf numFmtId="3" fontId="79" fillId="29" borderId="6" xfId="702" applyNumberFormat="1" applyFont="1" applyFill="1" applyBorder="1" applyAlignment="1">
      <alignment horizontal="right" vertical="center"/>
    </xf>
    <xf numFmtId="2" fontId="81" fillId="0" borderId="3" xfId="702" applyNumberFormat="1" applyFont="1" applyAlignment="1">
      <alignment vertical="center"/>
    </xf>
    <xf numFmtId="169" fontId="79" fillId="38" borderId="6" xfId="702" applyNumberFormat="1" applyFont="1" applyFill="1" applyBorder="1" applyAlignment="1">
      <alignment horizontal="center" vertical="center"/>
    </xf>
    <xf numFmtId="3" fontId="61" fillId="35" borderId="6" xfId="0" applyNumberFormat="1" applyFont="1" applyFill="1" applyBorder="1" applyAlignment="1">
      <alignment horizontal="center"/>
    </xf>
    <xf numFmtId="168" fontId="33" fillId="35" borderId="6" xfId="0" applyNumberFormat="1" applyFont="1" applyFill="1" applyBorder="1" applyAlignment="1">
      <alignment horizontal="center"/>
    </xf>
    <xf numFmtId="168" fontId="18" fillId="35" borderId="6" xfId="702" applyNumberFormat="1" applyFont="1" applyFill="1" applyBorder="1" applyAlignment="1">
      <alignment horizontal="center"/>
    </xf>
    <xf numFmtId="168" fontId="18" fillId="10" borderId="6" xfId="702" applyNumberFormat="1" applyFont="1" applyFill="1" applyBorder="1" applyAlignment="1">
      <alignment horizontal="center"/>
    </xf>
    <xf numFmtId="14" fontId="79" fillId="71" borderId="6" xfId="702" applyNumberFormat="1" applyFont="1" applyFill="1" applyBorder="1" applyAlignment="1">
      <alignment horizontal="left" vertical="center" wrapText="1"/>
    </xf>
    <xf numFmtId="168" fontId="27" fillId="35" borderId="6" xfId="702" applyNumberFormat="1" applyFont="1" applyFill="1" applyBorder="1" applyAlignment="1">
      <alignment horizontal="center"/>
    </xf>
    <xf numFmtId="168" fontId="85" fillId="13" borderId="6" xfId="702" applyNumberFormat="1" applyFont="1" applyFill="1" applyBorder="1" applyAlignment="1">
      <alignment horizontal="center" vertical="center"/>
    </xf>
    <xf numFmtId="168" fontId="79" fillId="13" borderId="6" xfId="702" applyNumberFormat="1" applyFont="1" applyFill="1" applyBorder="1" applyAlignment="1">
      <alignment horizontal="center" vertical="center"/>
    </xf>
    <xf numFmtId="168" fontId="60" fillId="77" borderId="6" xfId="702" applyNumberFormat="1" applyFont="1" applyFill="1" applyBorder="1" applyAlignment="1">
      <alignment horizontal="center"/>
    </xf>
    <xf numFmtId="168" fontId="18" fillId="13" borderId="6" xfId="702" applyNumberFormat="1" applyFont="1" applyFill="1" applyBorder="1" applyAlignment="1">
      <alignment horizontal="center"/>
    </xf>
    <xf numFmtId="168" fontId="33" fillId="35" borderId="6" xfId="702" applyNumberFormat="1" applyFont="1" applyFill="1" applyBorder="1" applyAlignment="1">
      <alignment horizontal="center"/>
    </xf>
    <xf numFmtId="0" fontId="86" fillId="0" borderId="3" xfId="702" applyFont="1" applyAlignment="1">
      <alignment vertical="center"/>
    </xf>
    <xf numFmtId="0" fontId="32" fillId="33" borderId="21" xfId="0" applyFont="1" applyFill="1" applyBorder="1"/>
    <xf numFmtId="0" fontId="57" fillId="33" borderId="21" xfId="0" applyFont="1" applyFill="1" applyBorder="1" applyAlignment="1">
      <alignment vertical="center"/>
    </xf>
    <xf numFmtId="49" fontId="57" fillId="33" borderId="21" xfId="0" applyNumberFormat="1" applyFont="1" applyFill="1" applyBorder="1" applyAlignment="1">
      <alignment horizontal="right" vertical="center"/>
    </xf>
    <xf numFmtId="168" fontId="18" fillId="35" borderId="6" xfId="0" applyNumberFormat="1" applyFont="1" applyFill="1" applyBorder="1" applyAlignment="1">
      <alignment horizontal="center"/>
    </xf>
    <xf numFmtId="164" fontId="0" fillId="0" borderId="0" xfId="0" applyNumberFormat="1"/>
    <xf numFmtId="0" fontId="0" fillId="10" borderId="0" xfId="0" applyFill="1"/>
    <xf numFmtId="164" fontId="0" fillId="10" borderId="0" xfId="0" applyNumberFormat="1" applyFill="1"/>
    <xf numFmtId="0" fontId="0" fillId="0" borderId="21" xfId="0" applyBorder="1"/>
    <xf numFmtId="0" fontId="32" fillId="0" borderId="30" xfId="0" applyFont="1" applyBorder="1"/>
    <xf numFmtId="0" fontId="57" fillId="20" borderId="30" xfId="0" applyFont="1" applyFill="1" applyBorder="1" applyAlignment="1">
      <alignment vertical="center"/>
    </xf>
    <xf numFmtId="0" fontId="57" fillId="0" borderId="30" xfId="0" applyFont="1" applyBorder="1" applyAlignment="1">
      <alignment vertical="center"/>
    </xf>
    <xf numFmtId="3" fontId="57" fillId="20" borderId="30" xfId="0" applyNumberFormat="1" applyFont="1" applyFill="1" applyBorder="1" applyAlignment="1">
      <alignment horizontal="center" vertical="center"/>
    </xf>
    <xf numFmtId="49" fontId="57" fillId="20" borderId="30" xfId="0" applyNumberFormat="1" applyFont="1" applyFill="1" applyBorder="1" applyAlignment="1">
      <alignment vertical="center"/>
    </xf>
    <xf numFmtId="0" fontId="0" fillId="0" borderId="30" xfId="0" applyBorder="1"/>
    <xf numFmtId="3" fontId="83" fillId="13" borderId="6" xfId="702" applyNumberFormat="1" applyFont="1" applyFill="1" applyBorder="1" applyAlignment="1">
      <alignment horizontal="center" vertical="center"/>
    </xf>
    <xf numFmtId="168" fontId="33" fillId="10" borderId="6" xfId="702" applyNumberFormat="1" applyFont="1" applyFill="1" applyBorder="1" applyAlignment="1">
      <alignment horizontal="center"/>
    </xf>
    <xf numFmtId="3" fontId="18" fillId="10" borderId="6" xfId="702" applyNumberFormat="1" applyFont="1" applyFill="1" applyBorder="1" applyAlignment="1">
      <alignment horizontal="right" vertical="center"/>
    </xf>
    <xf numFmtId="14" fontId="18" fillId="14" borderId="6" xfId="0" applyNumberFormat="1" applyFont="1" applyFill="1" applyBorder="1" applyAlignment="1">
      <alignment horizontal="center" vertical="center" wrapText="1"/>
    </xf>
    <xf numFmtId="168" fontId="83" fillId="71" borderId="6" xfId="702" applyNumberFormat="1" applyFont="1" applyFill="1" applyBorder="1" applyAlignment="1">
      <alignment horizontal="center" vertical="center"/>
    </xf>
    <xf numFmtId="164" fontId="83" fillId="18" borderId="6" xfId="702" applyNumberFormat="1" applyFont="1" applyFill="1" applyBorder="1" applyAlignment="1">
      <alignment horizontal="center" vertical="center"/>
    </xf>
    <xf numFmtId="0" fontId="92" fillId="4" borderId="6" xfId="702" applyFont="1" applyFill="1" applyBorder="1" applyAlignment="1">
      <alignment horizontal="center" vertical="center"/>
    </xf>
    <xf numFmtId="0" fontId="79" fillId="0" borderId="6" xfId="702" applyFont="1" applyBorder="1" applyAlignment="1">
      <alignment horizontal="center" vertical="center"/>
    </xf>
    <xf numFmtId="165" fontId="79" fillId="0" borderId="6" xfId="702" applyNumberFormat="1" applyFont="1" applyBorder="1" applyAlignment="1">
      <alignment horizontal="center" vertical="center"/>
    </xf>
    <xf numFmtId="3" fontId="79" fillId="0" borderId="6" xfId="702" applyNumberFormat="1" applyFont="1" applyBorder="1" applyAlignment="1">
      <alignment horizontal="center" vertical="center"/>
    </xf>
    <xf numFmtId="14" fontId="87" fillId="0" borderId="6" xfId="702" applyNumberFormat="1" applyFont="1" applyBorder="1" applyAlignment="1">
      <alignment horizontal="left" vertical="center" wrapText="1"/>
    </xf>
    <xf numFmtId="14" fontId="79" fillId="0" borderId="6" xfId="702" applyNumberFormat="1" applyFont="1" applyBorder="1" applyAlignment="1">
      <alignment horizontal="center" vertical="center" wrapText="1"/>
    </xf>
    <xf numFmtId="3" fontId="79" fillId="0" borderId="6" xfId="702" applyNumberFormat="1" applyFont="1" applyBorder="1" applyAlignment="1">
      <alignment horizontal="right" vertical="center"/>
    </xf>
    <xf numFmtId="0" fontId="79" fillId="0" borderId="6" xfId="702" applyFont="1" applyBorder="1" applyAlignment="1">
      <alignment horizontal="left" vertical="center"/>
    </xf>
    <xf numFmtId="165" fontId="79" fillId="0" borderId="6" xfId="702" applyNumberFormat="1" applyFont="1" applyBorder="1" applyAlignment="1">
      <alignment horizontal="center" vertical="center" wrapText="1"/>
    </xf>
    <xf numFmtId="1" fontId="79" fillId="0" borderId="6" xfId="702" applyNumberFormat="1" applyFont="1" applyBorder="1" applyAlignment="1">
      <alignment horizontal="center" vertical="center" wrapText="1"/>
    </xf>
    <xf numFmtId="1" fontId="79" fillId="0" borderId="6" xfId="702" applyNumberFormat="1" applyFont="1" applyBorder="1" applyAlignment="1">
      <alignment horizontal="center" vertical="center"/>
    </xf>
    <xf numFmtId="164" fontId="79" fillId="0" borderId="2" xfId="702" applyNumberFormat="1" applyFont="1" applyBorder="1" applyAlignment="1">
      <alignment horizontal="center" vertical="center"/>
    </xf>
    <xf numFmtId="0" fontId="79" fillId="0" borderId="3" xfId="702" applyFont="1" applyAlignment="1">
      <alignment vertical="center"/>
    </xf>
    <xf numFmtId="3" fontId="64" fillId="0" borderId="3" xfId="702" applyNumberFormat="1" applyFont="1"/>
    <xf numFmtId="166" fontId="79" fillId="0" borderId="6" xfId="702" applyNumberFormat="1" applyFont="1" applyBorder="1" applyAlignment="1">
      <alignment horizontal="center" vertical="center"/>
    </xf>
    <xf numFmtId="3" fontId="83" fillId="0" borderId="6" xfId="702" applyNumberFormat="1" applyFont="1" applyBorder="1" applyAlignment="1">
      <alignment horizontal="center" vertical="center"/>
    </xf>
    <xf numFmtId="0" fontId="79" fillId="0" borderId="6" xfId="13068" applyFont="1" applyBorder="1" applyAlignment="1">
      <alignment horizontal="center" vertical="center"/>
    </xf>
    <xf numFmtId="0" fontId="80" fillId="0" borderId="6" xfId="702" applyFont="1" applyBorder="1" applyAlignment="1">
      <alignment horizontal="center" vertical="center"/>
    </xf>
    <xf numFmtId="0" fontId="79" fillId="0" borderId="6" xfId="702" applyFont="1" applyBorder="1" applyAlignment="1">
      <alignment horizontal="center" vertical="center" wrapText="1"/>
    </xf>
    <xf numFmtId="164" fontId="79" fillId="71" borderId="6" xfId="702" applyNumberFormat="1" applyFont="1" applyFill="1" applyBorder="1" applyAlignment="1">
      <alignment horizontal="center" vertical="center"/>
    </xf>
    <xf numFmtId="0" fontId="3" fillId="0" borderId="5" xfId="13066" applyFont="1" applyBorder="1" applyAlignment="1">
      <alignment horizontal="center"/>
    </xf>
    <xf numFmtId="0" fontId="3" fillId="0" borderId="5" xfId="13066" applyFont="1" applyBorder="1"/>
    <xf numFmtId="0" fontId="79" fillId="14" borderId="6" xfId="702" applyFont="1" applyFill="1" applyBorder="1" applyAlignment="1">
      <alignment horizontal="center" vertical="center"/>
    </xf>
    <xf numFmtId="168" fontId="79" fillId="0" borderId="6" xfId="702" applyNumberFormat="1" applyFont="1" applyBorder="1" applyAlignment="1">
      <alignment horizontal="center" vertical="center"/>
    </xf>
    <xf numFmtId="168" fontId="86" fillId="0" borderId="6" xfId="702" applyNumberFormat="1" applyFont="1" applyBorder="1" applyAlignment="1">
      <alignment horizontal="center" vertical="center"/>
    </xf>
    <xf numFmtId="168" fontId="84" fillId="33" borderId="6" xfId="702" applyNumberFormat="1" applyFont="1" applyFill="1" applyBorder="1" applyAlignment="1">
      <alignment horizontal="center" vertical="center"/>
    </xf>
    <xf numFmtId="168" fontId="83" fillId="13" borderId="6" xfId="702" applyNumberFormat="1" applyFont="1" applyFill="1" applyBorder="1" applyAlignment="1">
      <alignment horizontal="center" vertical="center"/>
    </xf>
    <xf numFmtId="169" fontId="3" fillId="58" borderId="3" xfId="4" applyNumberFormat="1" applyFont="1" applyFill="1" applyAlignment="1">
      <alignment horizontal="center" vertical="center"/>
    </xf>
    <xf numFmtId="0" fontId="3" fillId="0" borderId="3" xfId="13060" applyFont="1"/>
    <xf numFmtId="0" fontId="3" fillId="10" borderId="5" xfId="13066" applyFont="1" applyFill="1" applyBorder="1" applyAlignment="1">
      <alignment horizontal="center"/>
    </xf>
    <xf numFmtId="0" fontId="3" fillId="10" borderId="5" xfId="13066" applyFont="1" applyFill="1" applyBorder="1"/>
    <xf numFmtId="17" fontId="3" fillId="10" borderId="5" xfId="13066" applyNumberFormat="1" applyFont="1" applyFill="1" applyBorder="1" applyAlignment="1">
      <alignment horizontal="center"/>
    </xf>
    <xf numFmtId="0" fontId="3" fillId="0" borderId="3" xfId="13066" applyFont="1"/>
    <xf numFmtId="14" fontId="3" fillId="10" borderId="5" xfId="13066" applyNumberFormat="1" applyFont="1" applyFill="1" applyBorder="1" applyAlignment="1">
      <alignment horizontal="center"/>
    </xf>
    <xf numFmtId="0" fontId="3" fillId="13" borderId="5" xfId="13066" applyFont="1" applyFill="1" applyBorder="1" applyAlignment="1">
      <alignment horizontal="center"/>
    </xf>
    <xf numFmtId="0" fontId="3" fillId="54" borderId="5" xfId="13066" applyFont="1" applyFill="1" applyBorder="1" applyAlignment="1">
      <alignment horizontal="center"/>
    </xf>
    <xf numFmtId="0" fontId="3" fillId="13" borderId="3" xfId="13066" applyFont="1" applyFill="1"/>
    <xf numFmtId="0" fontId="3" fillId="54" borderId="5" xfId="13066" applyFont="1" applyFill="1" applyBorder="1"/>
    <xf numFmtId="168" fontId="85" fillId="10" borderId="6" xfId="702" applyNumberFormat="1" applyFont="1" applyFill="1" applyBorder="1" applyAlignment="1">
      <alignment horizontal="center" vertical="center"/>
    </xf>
    <xf numFmtId="1" fontId="85" fillId="10" borderId="6" xfId="702" applyNumberFormat="1" applyFont="1" applyFill="1" applyBorder="1" applyAlignment="1">
      <alignment horizontal="center" vertical="center"/>
    </xf>
    <xf numFmtId="165" fontId="2" fillId="0" borderId="3" xfId="13060" applyNumberFormat="1" applyFont="1"/>
    <xf numFmtId="14" fontId="2" fillId="0" borderId="3" xfId="13060" applyNumberFormat="1" applyFont="1"/>
    <xf numFmtId="0" fontId="2" fillId="0" borderId="3" xfId="13060" applyFont="1"/>
    <xf numFmtId="0" fontId="79" fillId="87" borderId="6" xfId="13060" applyFont="1" applyFill="1" applyBorder="1" applyAlignment="1">
      <alignment horizontal="center" vertical="center"/>
    </xf>
    <xf numFmtId="169" fontId="80" fillId="88" borderId="6" xfId="0" applyNumberFormat="1" applyFont="1" applyFill="1" applyBorder="1" applyAlignment="1">
      <alignment horizontal="center" vertical="center"/>
    </xf>
    <xf numFmtId="165" fontId="80" fillId="88" borderId="6" xfId="0" applyNumberFormat="1" applyFont="1" applyFill="1" applyBorder="1" applyAlignment="1">
      <alignment horizontal="center" vertical="center"/>
    </xf>
    <xf numFmtId="3" fontId="79" fillId="87" borderId="6" xfId="13060" applyNumberFormat="1" applyFont="1" applyFill="1" applyBorder="1" applyAlignment="1">
      <alignment horizontal="center" vertical="center"/>
    </xf>
    <xf numFmtId="3" fontId="80" fillId="88" borderId="6" xfId="0" applyNumberFormat="1" applyFont="1" applyFill="1" applyBorder="1" applyAlignment="1">
      <alignment horizontal="center" vertical="center"/>
    </xf>
    <xf numFmtId="14" fontId="79" fillId="87" borderId="6" xfId="13060" applyNumberFormat="1" applyFont="1" applyFill="1" applyBorder="1" applyAlignment="1">
      <alignment horizontal="left" vertical="center" wrapText="1"/>
    </xf>
    <xf numFmtId="14" fontId="79" fillId="87" borderId="6" xfId="13060" applyNumberFormat="1" applyFont="1" applyFill="1" applyBorder="1" applyAlignment="1">
      <alignment horizontal="center" vertical="center" wrapText="1"/>
    </xf>
    <xf numFmtId="0" fontId="80" fillId="88" borderId="6" xfId="0" applyFont="1" applyFill="1" applyBorder="1" applyAlignment="1">
      <alignment horizontal="center" vertical="center"/>
    </xf>
    <xf numFmtId="0" fontId="80" fillId="89" borderId="6" xfId="702" applyFont="1" applyFill="1" applyBorder="1" applyAlignment="1">
      <alignment horizontal="center" vertical="center"/>
    </xf>
    <xf numFmtId="0" fontId="80" fillId="88" borderId="6" xfId="702" applyFont="1" applyFill="1" applyBorder="1" applyAlignment="1">
      <alignment horizontal="center" vertical="center"/>
    </xf>
    <xf numFmtId="165" fontId="80" fillId="87" borderId="6" xfId="13060" applyNumberFormat="1" applyFont="1" applyFill="1" applyBorder="1" applyAlignment="1">
      <alignment horizontal="center" vertical="center"/>
    </xf>
    <xf numFmtId="168" fontId="79" fillId="88" borderId="6" xfId="0" applyNumberFormat="1" applyFont="1" applyFill="1" applyBorder="1" applyAlignment="1">
      <alignment horizontal="center" vertical="center"/>
    </xf>
    <xf numFmtId="0" fontId="80" fillId="87" borderId="6" xfId="13060" applyFont="1" applyFill="1" applyBorder="1" applyAlignment="1">
      <alignment horizontal="center" vertical="center"/>
    </xf>
    <xf numFmtId="3" fontId="79" fillId="88" borderId="6" xfId="13060" applyNumberFormat="1" applyFont="1" applyFill="1" applyBorder="1" applyAlignment="1">
      <alignment horizontal="center" vertical="center"/>
    </xf>
    <xf numFmtId="165" fontId="80" fillId="87" borderId="6" xfId="13060" applyNumberFormat="1" applyFont="1" applyFill="1" applyBorder="1" applyAlignment="1">
      <alignment horizontal="center" vertical="center" wrapText="1"/>
    </xf>
    <xf numFmtId="1" fontId="80" fillId="87" borderId="6" xfId="13060" applyNumberFormat="1" applyFont="1" applyFill="1" applyBorder="1" applyAlignment="1">
      <alignment horizontal="center" vertical="center" wrapText="1"/>
    </xf>
    <xf numFmtId="1" fontId="80" fillId="87" borderId="6" xfId="13060" applyNumberFormat="1" applyFont="1" applyFill="1" applyBorder="1" applyAlignment="1">
      <alignment horizontal="center" vertical="center"/>
    </xf>
    <xf numFmtId="164" fontId="80" fillId="87" borderId="2" xfId="13060" applyNumberFormat="1" applyFont="1" applyFill="1" applyBorder="1" applyAlignment="1">
      <alignment horizontal="center" vertical="center"/>
    </xf>
    <xf numFmtId="14" fontId="79" fillId="88" borderId="6" xfId="1306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right"/>
    </xf>
    <xf numFmtId="0" fontId="2" fillId="0" borderId="3" xfId="13060" applyFont="1" applyAlignment="1">
      <alignment horizontal="center"/>
    </xf>
    <xf numFmtId="0" fontId="85" fillId="10" borderId="6" xfId="702" applyFont="1" applyFill="1" applyBorder="1" applyAlignment="1">
      <alignment horizontal="left" vertical="center"/>
    </xf>
    <xf numFmtId="164" fontId="82" fillId="10" borderId="6" xfId="702" applyNumberFormat="1" applyFont="1" applyFill="1" applyBorder="1" applyAlignment="1">
      <alignment horizontal="center" vertical="center"/>
    </xf>
    <xf numFmtId="165" fontId="82" fillId="10" borderId="6" xfId="702" applyNumberFormat="1" applyFont="1" applyFill="1" applyBorder="1" applyAlignment="1">
      <alignment horizontal="center" vertical="center"/>
    </xf>
    <xf numFmtId="168" fontId="82" fillId="10" borderId="6" xfId="702" applyNumberFormat="1" applyFont="1" applyFill="1" applyBorder="1" applyAlignment="1">
      <alignment horizontal="center" vertical="center"/>
    </xf>
    <xf numFmtId="3" fontId="82" fillId="10" borderId="6" xfId="702" applyNumberFormat="1" applyFont="1" applyFill="1" applyBorder="1" applyAlignment="1">
      <alignment horizontal="center" vertical="center"/>
    </xf>
    <xf numFmtId="14" fontId="85" fillId="10" borderId="6" xfId="702" applyNumberFormat="1" applyFont="1" applyFill="1" applyBorder="1" applyAlignment="1">
      <alignment horizontal="left" vertical="center" wrapText="1"/>
    </xf>
    <xf numFmtId="14" fontId="85" fillId="10" borderId="6" xfId="702" applyNumberFormat="1" applyFont="1" applyFill="1" applyBorder="1" applyAlignment="1">
      <alignment horizontal="center" vertical="center" wrapText="1"/>
    </xf>
    <xf numFmtId="3" fontId="82" fillId="10" borderId="6" xfId="702" applyNumberFormat="1" applyFont="1" applyFill="1" applyBorder="1" applyAlignment="1">
      <alignment horizontal="right" vertical="center"/>
    </xf>
    <xf numFmtId="0" fontId="85" fillId="10" borderId="6" xfId="702" applyFont="1" applyFill="1" applyBorder="1" applyAlignment="1">
      <alignment horizontal="center" vertical="center"/>
    </xf>
    <xf numFmtId="164" fontId="85" fillId="10" borderId="6" xfId="702" applyNumberFormat="1" applyFont="1" applyFill="1" applyBorder="1" applyAlignment="1">
      <alignment horizontal="center" vertical="center"/>
    </xf>
    <xf numFmtId="165" fontId="85" fillId="10" borderId="6" xfId="702" applyNumberFormat="1" applyFont="1" applyFill="1" applyBorder="1" applyAlignment="1">
      <alignment horizontal="center" vertical="center"/>
    </xf>
    <xf numFmtId="3" fontId="85" fillId="10" borderId="6" xfId="702" applyNumberFormat="1" applyFont="1" applyFill="1" applyBorder="1" applyAlignment="1">
      <alignment horizontal="center" vertical="center"/>
    </xf>
    <xf numFmtId="3" fontId="85" fillId="10" borderId="6" xfId="702" applyNumberFormat="1" applyFont="1" applyFill="1" applyBorder="1" applyAlignment="1">
      <alignment horizontal="right" vertical="center"/>
    </xf>
    <xf numFmtId="3" fontId="57" fillId="10" borderId="21" xfId="0" applyNumberFormat="1" applyFont="1" applyFill="1" applyBorder="1" applyAlignment="1">
      <alignment vertical="center"/>
    </xf>
    <xf numFmtId="168" fontId="33" fillId="0" borderId="6" xfId="13068" applyNumberFormat="1" applyFont="1" applyBorder="1" applyAlignment="1">
      <alignment horizontal="center" vertical="center"/>
    </xf>
    <xf numFmtId="164" fontId="80" fillId="11" borderId="6" xfId="0" applyNumberFormat="1" applyFont="1" applyFill="1" applyBorder="1" applyAlignment="1">
      <alignment horizontal="center" vertical="center"/>
    </xf>
    <xf numFmtId="165" fontId="80" fillId="11" borderId="6" xfId="0" applyNumberFormat="1" applyFont="1" applyFill="1" applyBorder="1" applyAlignment="1">
      <alignment horizontal="center" vertical="center"/>
    </xf>
    <xf numFmtId="3" fontId="80" fillId="11" borderId="6" xfId="0" applyNumberFormat="1" applyFont="1" applyFill="1" applyBorder="1" applyAlignment="1">
      <alignment horizontal="center" vertical="center"/>
    </xf>
    <xf numFmtId="0" fontId="80" fillId="11" borderId="6" xfId="0" applyFont="1" applyFill="1" applyBorder="1" applyAlignment="1">
      <alignment horizontal="center" vertical="center"/>
    </xf>
    <xf numFmtId="14" fontId="79" fillId="14" borderId="6" xfId="702" applyNumberFormat="1" applyFont="1" applyFill="1" applyBorder="1" applyAlignment="1">
      <alignment horizontal="left" vertical="center" wrapText="1"/>
    </xf>
    <xf numFmtId="0" fontId="39" fillId="0" borderId="0" xfId="702" applyFont="1" applyBorder="1"/>
    <xf numFmtId="0" fontId="93" fillId="90" borderId="6" xfId="0" applyFont="1" applyFill="1" applyBorder="1"/>
    <xf numFmtId="0" fontId="93" fillId="11" borderId="6" xfId="0" applyFont="1" applyFill="1" applyBorder="1"/>
    <xf numFmtId="0" fontId="93" fillId="90" borderId="6" xfId="0" applyFont="1" applyFill="1" applyBorder="1" applyAlignment="1">
      <alignment horizontal="center"/>
    </xf>
    <xf numFmtId="0" fontId="93" fillId="91" borderId="6" xfId="0" applyFont="1" applyFill="1" applyBorder="1" applyAlignment="1">
      <alignment horizontal="center"/>
    </xf>
    <xf numFmtId="0" fontId="93" fillId="90" borderId="6" xfId="0" applyFont="1" applyFill="1" applyBorder="1" applyAlignment="1">
      <alignment wrapText="1"/>
    </xf>
    <xf numFmtId="0" fontId="93" fillId="11" borderId="6" xfId="0" applyFont="1" applyFill="1" applyBorder="1" applyAlignment="1">
      <alignment wrapText="1"/>
    </xf>
    <xf numFmtId="0" fontId="93" fillId="15" borderId="6" xfId="0" applyFont="1" applyFill="1" applyBorder="1" applyAlignment="1">
      <alignment wrapText="1"/>
    </xf>
    <xf numFmtId="0" fontId="66" fillId="92" borderId="5" xfId="4" applyFont="1" applyFill="1" applyBorder="1" applyAlignment="1">
      <alignment horizontal="center" vertical="center"/>
    </xf>
    <xf numFmtId="169" fontId="67" fillId="92" borderId="5" xfId="4" applyNumberFormat="1" applyFont="1" applyFill="1" applyBorder="1" applyAlignment="1">
      <alignment horizontal="center" vertical="center"/>
    </xf>
    <xf numFmtId="165" fontId="67" fillId="92" borderId="5" xfId="4" applyNumberFormat="1" applyFont="1" applyFill="1" applyBorder="1" applyAlignment="1">
      <alignment horizontal="center" vertical="center"/>
    </xf>
    <xf numFmtId="1" fontId="67" fillId="92" borderId="5" xfId="4" applyNumberFormat="1" applyFont="1" applyFill="1" applyBorder="1" applyAlignment="1">
      <alignment horizontal="center" vertical="center"/>
    </xf>
    <xf numFmtId="3" fontId="67" fillId="92" borderId="5" xfId="4" applyNumberFormat="1" applyFont="1" applyFill="1" applyBorder="1" applyAlignment="1">
      <alignment horizontal="center" vertical="center"/>
    </xf>
    <xf numFmtId="0" fontId="67" fillId="92" borderId="5" xfId="4" applyFont="1" applyFill="1" applyBorder="1" applyAlignment="1">
      <alignment horizontal="center" vertical="center"/>
    </xf>
    <xf numFmtId="170" fontId="76" fillId="92" borderId="5" xfId="13067" applyNumberFormat="1" applyFont="1" applyFill="1" applyBorder="1" applyAlignment="1">
      <alignment horizontal="center"/>
    </xf>
    <xf numFmtId="0" fontId="71" fillId="92" borderId="5" xfId="4" applyFont="1" applyFill="1" applyBorder="1" applyAlignment="1">
      <alignment horizontal="center" vertical="center"/>
    </xf>
    <xf numFmtId="0" fontId="67" fillId="92" borderId="5" xfId="4" applyFont="1" applyFill="1" applyBorder="1" applyAlignment="1">
      <alignment horizontal="left" vertical="center"/>
    </xf>
    <xf numFmtId="169" fontId="67" fillId="92" borderId="5" xfId="10" applyNumberFormat="1" applyFont="1" applyFill="1" applyBorder="1" applyAlignment="1" applyProtection="1">
      <alignment horizontal="center" vertical="center" wrapText="1"/>
    </xf>
    <xf numFmtId="1" fontId="67" fillId="92" borderId="5" xfId="4" applyNumberFormat="1" applyFont="1" applyFill="1" applyBorder="1" applyAlignment="1">
      <alignment horizontal="center" vertical="center" wrapText="1"/>
    </xf>
    <xf numFmtId="169" fontId="66" fillId="92" borderId="5" xfId="4" applyNumberFormat="1" applyFont="1" applyFill="1" applyBorder="1" applyAlignment="1">
      <alignment horizontal="left" vertical="center"/>
    </xf>
    <xf numFmtId="0" fontId="66" fillId="22" borderId="5" xfId="4" applyFont="1" applyFill="1" applyBorder="1" applyAlignment="1">
      <alignment horizontal="center" vertical="center"/>
    </xf>
    <xf numFmtId="169" fontId="67" fillId="10" borderId="5" xfId="4" applyNumberFormat="1" applyFont="1" applyFill="1" applyBorder="1" applyAlignment="1">
      <alignment horizontal="left" vertical="center"/>
    </xf>
    <xf numFmtId="0" fontId="94" fillId="13" borderId="3" xfId="4" applyFont="1" applyFill="1" applyAlignment="1">
      <alignment horizontal="center" vertical="center"/>
    </xf>
    <xf numFmtId="3" fontId="94" fillId="13" borderId="3" xfId="4" applyNumberFormat="1" applyFont="1" applyFill="1" applyAlignment="1">
      <alignment horizontal="center" vertical="center"/>
    </xf>
    <xf numFmtId="0" fontId="95" fillId="13" borderId="3" xfId="4" applyFont="1" applyFill="1" applyAlignment="1">
      <alignment horizontal="center" vertical="center"/>
    </xf>
    <xf numFmtId="0" fontId="70" fillId="58" borderId="5" xfId="4" applyFont="1" applyFill="1" applyBorder="1" applyAlignment="1">
      <alignment horizontal="center" vertical="center"/>
    </xf>
    <xf numFmtId="0" fontId="70" fillId="58" borderId="3" xfId="4" applyFont="1" applyFill="1" applyAlignment="1">
      <alignment horizontal="center" vertical="center"/>
    </xf>
    <xf numFmtId="3" fontId="94" fillId="58" borderId="3" xfId="4" applyNumberFormat="1" applyFont="1" applyFill="1" applyAlignment="1">
      <alignment horizontal="center" vertical="center"/>
    </xf>
    <xf numFmtId="9" fontId="94" fillId="58" borderId="3" xfId="49" applyFont="1" applyFill="1" applyBorder="1" applyAlignment="1" applyProtection="1">
      <alignment horizontal="center" vertical="center"/>
    </xf>
    <xf numFmtId="3" fontId="94" fillId="13" borderId="3" xfId="4" applyNumberFormat="1" applyFont="1" applyFill="1" applyAlignment="1">
      <alignment horizontal="left" vertical="center"/>
    </xf>
    <xf numFmtId="3" fontId="96" fillId="33" borderId="3" xfId="4" applyNumberFormat="1" applyFont="1" applyFill="1" applyAlignment="1">
      <alignment horizontal="center" vertical="center"/>
    </xf>
    <xf numFmtId="0" fontId="97" fillId="59" borderId="5" xfId="4" applyFont="1" applyFill="1" applyBorder="1" applyAlignment="1">
      <alignment horizontal="center" vertical="center"/>
    </xf>
    <xf numFmtId="0" fontId="97" fillId="59" borderId="3" xfId="4" applyFont="1" applyFill="1" applyAlignment="1">
      <alignment horizontal="center" vertical="center"/>
    </xf>
    <xf numFmtId="9" fontId="96" fillId="33" borderId="3" xfId="49" applyFont="1" applyFill="1" applyBorder="1" applyAlignment="1" applyProtection="1">
      <alignment horizontal="center" vertical="center"/>
    </xf>
    <xf numFmtId="3" fontId="98" fillId="10" borderId="3" xfId="4" applyNumberFormat="1" applyFont="1" applyFill="1" applyAlignment="1">
      <alignment horizontal="center" vertical="center"/>
    </xf>
    <xf numFmtId="9" fontId="98" fillId="10" borderId="3" xfId="49" applyFont="1" applyFill="1" applyBorder="1" applyAlignment="1" applyProtection="1">
      <alignment horizontal="center" vertical="center"/>
    </xf>
    <xf numFmtId="3" fontId="94" fillId="10" borderId="3" xfId="4" applyNumberFormat="1" applyFont="1" applyFill="1" applyAlignment="1">
      <alignment horizontal="center" vertical="center"/>
    </xf>
    <xf numFmtId="9" fontId="94" fillId="10" borderId="3" xfId="49" applyFont="1" applyFill="1" applyBorder="1" applyAlignment="1" applyProtection="1">
      <alignment horizontal="center" vertical="center"/>
    </xf>
    <xf numFmtId="1" fontId="79" fillId="33" borderId="6" xfId="702" applyNumberFormat="1" applyFont="1" applyFill="1" applyBorder="1" applyAlignment="1">
      <alignment horizontal="center" vertical="center"/>
    </xf>
    <xf numFmtId="164" fontId="79" fillId="30" borderId="6" xfId="702" applyNumberFormat="1" applyFont="1" applyFill="1" applyBorder="1" applyAlignment="1">
      <alignment horizontal="center" vertical="center"/>
    </xf>
    <xf numFmtId="0" fontId="81" fillId="30" borderId="3" xfId="702" applyFont="1" applyFill="1" applyAlignment="1">
      <alignment vertical="center"/>
    </xf>
    <xf numFmtId="3" fontId="81" fillId="0" borderId="3" xfId="702" applyNumberFormat="1" applyFont="1" applyAlignment="1">
      <alignment vertical="center"/>
    </xf>
    <xf numFmtId="171" fontId="64" fillId="10" borderId="5" xfId="13066" applyNumberFormat="1" applyFont="1" applyFill="1" applyBorder="1" applyAlignment="1">
      <alignment horizontal="center"/>
    </xf>
    <xf numFmtId="0" fontId="80" fillId="10" borderId="6" xfId="702" quotePrefix="1" applyFont="1" applyFill="1" applyBorder="1" applyAlignment="1">
      <alignment horizontal="left" vertical="center"/>
    </xf>
    <xf numFmtId="3" fontId="79" fillId="11" borderId="6" xfId="702" applyNumberFormat="1" applyFont="1" applyFill="1" applyBorder="1" applyAlignment="1">
      <alignment horizontal="center" vertical="center"/>
    </xf>
    <xf numFmtId="0" fontId="18" fillId="14" borderId="6" xfId="702" applyFont="1" applyFill="1" applyBorder="1" applyAlignment="1">
      <alignment horizontal="center" vertical="center"/>
    </xf>
    <xf numFmtId="164" fontId="18" fillId="14" borderId="6" xfId="702" applyNumberFormat="1" applyFont="1" applyFill="1" applyBorder="1" applyAlignment="1">
      <alignment horizontal="center" vertical="center"/>
    </xf>
    <xf numFmtId="165" fontId="18" fillId="14" borderId="6" xfId="702" applyNumberFormat="1" applyFont="1" applyFill="1" applyBorder="1" applyAlignment="1">
      <alignment horizontal="center"/>
    </xf>
    <xf numFmtId="168" fontId="33" fillId="14" borderId="6" xfId="702" applyNumberFormat="1" applyFont="1" applyFill="1" applyBorder="1" applyAlignment="1">
      <alignment horizontal="center"/>
    </xf>
    <xf numFmtId="3" fontId="18" fillId="14" borderId="6" xfId="702" applyNumberFormat="1" applyFont="1" applyFill="1" applyBorder="1" applyAlignment="1">
      <alignment horizontal="center" vertical="center"/>
    </xf>
    <xf numFmtId="14" fontId="18" fillId="14" borderId="6" xfId="702" applyNumberFormat="1" applyFont="1" applyFill="1" applyBorder="1" applyAlignment="1">
      <alignment horizontal="left" vertical="center" wrapText="1"/>
    </xf>
    <xf numFmtId="14" fontId="18" fillId="14" borderId="6" xfId="702" applyNumberFormat="1" applyFont="1" applyFill="1" applyBorder="1" applyAlignment="1">
      <alignment horizontal="center" vertical="center" wrapText="1"/>
    </xf>
    <xf numFmtId="3" fontId="18" fillId="14" borderId="6" xfId="702" applyNumberFormat="1" applyFont="1" applyFill="1" applyBorder="1" applyAlignment="1">
      <alignment horizontal="right" vertical="center"/>
    </xf>
    <xf numFmtId="14" fontId="82" fillId="10" borderId="6" xfId="702" applyNumberFormat="1" applyFont="1" applyFill="1" applyBorder="1" applyAlignment="1">
      <alignment horizontal="left" vertical="center" wrapText="1"/>
    </xf>
    <xf numFmtId="14" fontId="82" fillId="10" borderId="6" xfId="702" applyNumberFormat="1" applyFont="1" applyFill="1" applyBorder="1" applyAlignment="1">
      <alignment horizontal="center" vertical="center" wrapText="1"/>
    </xf>
    <xf numFmtId="168" fontId="33" fillId="14" borderId="6" xfId="0" applyNumberFormat="1" applyFont="1" applyFill="1" applyBorder="1" applyAlignment="1">
      <alignment horizontal="center"/>
    </xf>
    <xf numFmtId="0" fontId="79" fillId="93" borderId="6" xfId="13068" applyFont="1" applyFill="1" applyBorder="1" applyAlignment="1">
      <alignment horizontal="center" vertical="center"/>
    </xf>
    <xf numFmtId="0" fontId="80" fillId="14" borderId="6" xfId="702" applyFont="1" applyFill="1" applyBorder="1" applyAlignment="1">
      <alignment horizontal="left" vertical="center"/>
    </xf>
    <xf numFmtId="164" fontId="79" fillId="33" borderId="6" xfId="702" applyNumberFormat="1" applyFont="1" applyFill="1" applyBorder="1" applyAlignment="1">
      <alignment horizontal="center" vertical="center"/>
    </xf>
    <xf numFmtId="165" fontId="80" fillId="33" borderId="6" xfId="702" applyNumberFormat="1" applyFont="1" applyFill="1" applyBorder="1" applyAlignment="1">
      <alignment horizontal="center" vertical="center"/>
    </xf>
    <xf numFmtId="168" fontId="85" fillId="33" borderId="6" xfId="702" applyNumberFormat="1" applyFont="1" applyFill="1" applyBorder="1" applyAlignment="1">
      <alignment horizontal="center" vertical="center"/>
    </xf>
    <xf numFmtId="1" fontId="85" fillId="33" borderId="6" xfId="702" applyNumberFormat="1" applyFont="1" applyFill="1" applyBorder="1" applyAlignment="1">
      <alignment horizontal="center" vertical="center"/>
    </xf>
    <xf numFmtId="3" fontId="80" fillId="33" borderId="6" xfId="702" applyNumberFormat="1" applyFont="1" applyFill="1" applyBorder="1" applyAlignment="1">
      <alignment horizontal="center" vertical="center"/>
    </xf>
    <xf numFmtId="14" fontId="79" fillId="33" borderId="6" xfId="702" applyNumberFormat="1" applyFont="1" applyFill="1" applyBorder="1" applyAlignment="1">
      <alignment horizontal="left" vertical="center" wrapText="1"/>
    </xf>
    <xf numFmtId="14" fontId="80" fillId="33" borderId="6" xfId="702" applyNumberFormat="1" applyFont="1" applyFill="1" applyBorder="1" applyAlignment="1">
      <alignment horizontal="center" vertical="center" wrapText="1"/>
    </xf>
    <xf numFmtId="0" fontId="80" fillId="94" borderId="6" xfId="702" applyFont="1" applyFill="1" applyBorder="1" applyAlignment="1">
      <alignment horizontal="center" vertical="center"/>
    </xf>
    <xf numFmtId="165" fontId="79" fillId="30" borderId="6" xfId="702" applyNumberFormat="1" applyFont="1" applyFill="1" applyBorder="1" applyAlignment="1">
      <alignment horizontal="center" vertical="center"/>
    </xf>
    <xf numFmtId="0" fontId="79" fillId="30" borderId="6" xfId="702" applyFont="1" applyFill="1" applyBorder="1" applyAlignment="1">
      <alignment horizontal="center" vertical="center"/>
    </xf>
    <xf numFmtId="0" fontId="79" fillId="33" borderId="6" xfId="702" applyFont="1" applyFill="1" applyBorder="1" applyAlignment="1">
      <alignment horizontal="left" vertical="center"/>
    </xf>
    <xf numFmtId="0" fontId="79" fillId="33" borderId="6" xfId="702" applyFont="1" applyFill="1" applyBorder="1" applyAlignment="1">
      <alignment horizontal="center" vertical="center"/>
    </xf>
    <xf numFmtId="3" fontId="79" fillId="30" borderId="6" xfId="702" applyNumberFormat="1" applyFont="1" applyFill="1" applyBorder="1" applyAlignment="1">
      <alignment horizontal="right" vertical="center"/>
    </xf>
    <xf numFmtId="164" fontId="79" fillId="30" borderId="2" xfId="702" applyNumberFormat="1" applyFont="1" applyFill="1" applyBorder="1" applyAlignment="1">
      <alignment horizontal="center" vertical="center"/>
    </xf>
    <xf numFmtId="0" fontId="80" fillId="11" borderId="6" xfId="702" applyFont="1" applyFill="1" applyBorder="1" applyAlignment="1">
      <alignment horizontal="left" vertical="center"/>
    </xf>
    <xf numFmtId="165" fontId="18" fillId="11" borderId="6" xfId="13060" applyNumberFormat="1" applyFont="1" applyFill="1" applyBorder="1" applyAlignment="1">
      <alignment horizontal="center" vertical="center" wrapText="1"/>
    </xf>
    <xf numFmtId="1" fontId="18" fillId="11" borderId="6" xfId="13060" applyNumberFormat="1" applyFont="1" applyFill="1" applyBorder="1" applyAlignment="1">
      <alignment horizontal="center" vertical="center" wrapText="1"/>
    </xf>
    <xf numFmtId="1" fontId="18" fillId="11" borderId="6" xfId="13060" applyNumberFormat="1" applyFont="1" applyFill="1" applyBorder="1" applyAlignment="1">
      <alignment horizontal="center" vertical="center"/>
    </xf>
    <xf numFmtId="164" fontId="18" fillId="11" borderId="2" xfId="13060" applyNumberFormat="1" applyFont="1" applyFill="1" applyBorder="1" applyAlignment="1">
      <alignment horizontal="center" vertical="center"/>
    </xf>
    <xf numFmtId="168" fontId="18" fillId="10" borderId="6" xfId="0" applyNumberFormat="1" applyFont="1" applyFill="1" applyBorder="1" applyAlignment="1">
      <alignment horizontal="center"/>
    </xf>
    <xf numFmtId="0" fontId="18" fillId="95" borderId="6" xfId="702" applyFont="1" applyFill="1" applyBorder="1" applyAlignment="1">
      <alignment horizontal="center" vertical="center"/>
    </xf>
    <xf numFmtId="164" fontId="18" fillId="95" borderId="6" xfId="702" applyNumberFormat="1" applyFont="1" applyFill="1" applyBorder="1" applyAlignment="1">
      <alignment horizontal="center" vertical="center"/>
    </xf>
    <xf numFmtId="165" fontId="18" fillId="95" borderId="6" xfId="702" applyNumberFormat="1" applyFont="1" applyFill="1" applyBorder="1" applyAlignment="1">
      <alignment horizontal="center"/>
    </xf>
    <xf numFmtId="168" fontId="18" fillId="95" borderId="6" xfId="702" applyNumberFormat="1" applyFont="1" applyFill="1" applyBorder="1" applyAlignment="1">
      <alignment horizontal="center"/>
    </xf>
    <xf numFmtId="3" fontId="18" fillId="95" borderId="6" xfId="702" applyNumberFormat="1" applyFont="1" applyFill="1" applyBorder="1" applyAlignment="1">
      <alignment horizontal="center" vertical="center"/>
    </xf>
    <xf numFmtId="14" fontId="18" fillId="95" borderId="6" xfId="702" applyNumberFormat="1" applyFont="1" applyFill="1" applyBorder="1" applyAlignment="1">
      <alignment horizontal="left" vertical="center" wrapText="1"/>
    </xf>
    <xf numFmtId="14" fontId="18" fillId="95" borderId="6" xfId="702" applyNumberFormat="1" applyFont="1" applyFill="1" applyBorder="1" applyAlignment="1">
      <alignment horizontal="center" vertical="center" wrapText="1"/>
    </xf>
    <xf numFmtId="168" fontId="85" fillId="14" borderId="6" xfId="702" applyNumberFormat="1" applyFont="1" applyFill="1" applyBorder="1" applyAlignment="1">
      <alignment horizontal="center" vertical="center"/>
    </xf>
    <xf numFmtId="1" fontId="85" fillId="14" borderId="6" xfId="702" applyNumberFormat="1" applyFont="1" applyFill="1" applyBorder="1" applyAlignment="1">
      <alignment horizontal="center" vertical="center"/>
    </xf>
    <xf numFmtId="168" fontId="80" fillId="31" borderId="6" xfId="702" applyNumberFormat="1" applyFont="1" applyFill="1" applyBorder="1" applyAlignment="1">
      <alignment horizontal="center" vertical="center"/>
    </xf>
    <xf numFmtId="169" fontId="67" fillId="96" borderId="5" xfId="10" applyNumberFormat="1" applyFont="1" applyFill="1" applyBorder="1" applyAlignment="1" applyProtection="1">
      <alignment horizontal="center" vertical="center" wrapText="1"/>
    </xf>
    <xf numFmtId="1" fontId="67" fillId="96" borderId="5" xfId="4" applyNumberFormat="1" applyFont="1" applyFill="1" applyBorder="1" applyAlignment="1">
      <alignment horizontal="center" vertical="center" wrapText="1"/>
    </xf>
    <xf numFmtId="1" fontId="67" fillId="96" borderId="5" xfId="4" applyNumberFormat="1" applyFont="1" applyFill="1" applyBorder="1" applyAlignment="1">
      <alignment horizontal="center" vertical="center"/>
    </xf>
    <xf numFmtId="168" fontId="18" fillId="14" borderId="6" xfId="0" applyNumberFormat="1" applyFont="1" applyFill="1" applyBorder="1" applyAlignment="1">
      <alignment horizontal="center"/>
    </xf>
    <xf numFmtId="0" fontId="32" fillId="72" borderId="21" xfId="0" applyFont="1" applyFill="1" applyBorder="1"/>
    <xf numFmtId="3" fontId="57" fillId="33" borderId="21" xfId="0" quotePrefix="1" applyNumberFormat="1" applyFont="1" applyFill="1" applyBorder="1" applyAlignment="1">
      <alignment vertical="center"/>
    </xf>
    <xf numFmtId="0" fontId="32" fillId="33" borderId="30" xfId="0" applyFont="1" applyFill="1" applyBorder="1"/>
    <xf numFmtId="0" fontId="57" fillId="33" borderId="30" xfId="0" applyFont="1" applyFill="1" applyBorder="1" applyAlignment="1">
      <alignment vertical="center"/>
    </xf>
    <xf numFmtId="49" fontId="57" fillId="33" borderId="30" xfId="0" applyNumberFormat="1" applyFont="1" applyFill="1" applyBorder="1" applyAlignment="1">
      <alignment horizontal="right" vertical="center"/>
    </xf>
    <xf numFmtId="3" fontId="57" fillId="33" borderId="30" xfId="0" quotePrefix="1" applyNumberFormat="1" applyFont="1" applyFill="1" applyBorder="1" applyAlignment="1">
      <alignment vertical="center"/>
    </xf>
    <xf numFmtId="3" fontId="57" fillId="33" borderId="21" xfId="0" quotePrefix="1" applyNumberFormat="1" applyFont="1" applyFill="1" applyBorder="1" applyAlignment="1">
      <alignment horizontal="center" vertical="center"/>
    </xf>
    <xf numFmtId="49" fontId="57" fillId="33" borderId="21" xfId="0" applyNumberFormat="1" applyFont="1" applyFill="1" applyBorder="1" applyAlignment="1">
      <alignment vertical="center"/>
    </xf>
    <xf numFmtId="3" fontId="80" fillId="33" borderId="6" xfId="702" quotePrefix="1" applyNumberFormat="1" applyFont="1" applyFill="1" applyBorder="1" applyAlignment="1">
      <alignment horizontal="right" vertical="center"/>
    </xf>
    <xf numFmtId="0" fontId="80" fillId="97" borderId="6" xfId="702" applyFont="1" applyFill="1" applyBorder="1" applyAlignment="1">
      <alignment horizontal="center" vertical="center"/>
    </xf>
    <xf numFmtId="164" fontId="80" fillId="97" borderId="6" xfId="702" applyNumberFormat="1" applyFont="1" applyFill="1" applyBorder="1" applyAlignment="1">
      <alignment horizontal="center" vertical="center"/>
    </xf>
    <xf numFmtId="165" fontId="80" fillId="97" borderId="6" xfId="702" applyNumberFormat="1" applyFont="1" applyFill="1" applyBorder="1" applyAlignment="1">
      <alignment horizontal="center" vertical="center"/>
    </xf>
    <xf numFmtId="168" fontId="85" fillId="97" borderId="6" xfId="702" applyNumberFormat="1" applyFont="1" applyFill="1" applyBorder="1" applyAlignment="1">
      <alignment horizontal="center" vertical="center"/>
    </xf>
    <xf numFmtId="1" fontId="85" fillId="97" borderId="6" xfId="702" applyNumberFormat="1" applyFont="1" applyFill="1" applyBorder="1" applyAlignment="1">
      <alignment horizontal="center" vertical="center"/>
    </xf>
    <xf numFmtId="3" fontId="80" fillId="97" borderId="6" xfId="702" applyNumberFormat="1" applyFont="1" applyFill="1" applyBorder="1" applyAlignment="1">
      <alignment horizontal="center" vertical="center"/>
    </xf>
    <xf numFmtId="14" fontId="79" fillId="97" borderId="6" xfId="702" applyNumberFormat="1" applyFont="1" applyFill="1" applyBorder="1" applyAlignment="1">
      <alignment horizontal="left" vertical="center" wrapText="1"/>
    </xf>
    <xf numFmtId="14" fontId="80" fillId="97" borderId="6" xfId="702" applyNumberFormat="1" applyFont="1" applyFill="1" applyBorder="1" applyAlignment="1">
      <alignment horizontal="center" vertical="center" wrapText="1"/>
    </xf>
    <xf numFmtId="3" fontId="80" fillId="97" borderId="6" xfId="702" applyNumberFormat="1" applyFont="1" applyFill="1" applyBorder="1" applyAlignment="1">
      <alignment horizontal="right" vertical="center"/>
    </xf>
    <xf numFmtId="0" fontId="81" fillId="10" borderId="3" xfId="702" applyFont="1" applyFill="1" applyAlignment="1">
      <alignment vertical="center"/>
    </xf>
    <xf numFmtId="0" fontId="79" fillId="14" borderId="6" xfId="702" applyFont="1" applyFill="1" applyBorder="1" applyAlignment="1">
      <alignment horizontal="left" vertical="center"/>
    </xf>
    <xf numFmtId="1" fontId="79" fillId="14" borderId="6" xfId="702" applyNumberFormat="1" applyFont="1" applyFill="1" applyBorder="1" applyAlignment="1">
      <alignment horizontal="center" vertical="center"/>
    </xf>
    <xf numFmtId="1" fontId="79" fillId="29" borderId="6" xfId="702" applyNumberFormat="1" applyFont="1" applyFill="1" applyBorder="1" applyAlignment="1">
      <alignment horizontal="center" vertical="center"/>
    </xf>
    <xf numFmtId="1" fontId="79" fillId="29" borderId="6" xfId="702" applyNumberFormat="1" applyFont="1" applyFill="1" applyBorder="1" applyAlignment="1">
      <alignment horizontal="center" vertical="center" wrapText="1"/>
    </xf>
    <xf numFmtId="165" fontId="82" fillId="98" borderId="6" xfId="702" applyNumberFormat="1" applyFont="1" applyFill="1" applyBorder="1" applyAlignment="1">
      <alignment horizontal="center" vertical="center"/>
    </xf>
    <xf numFmtId="0" fontId="82" fillId="98" borderId="6" xfId="702" applyFont="1" applyFill="1" applyBorder="1" applyAlignment="1">
      <alignment horizontal="center" vertical="center"/>
    </xf>
    <xf numFmtId="0" fontId="82" fillId="98" borderId="6" xfId="702" applyFont="1" applyFill="1" applyBorder="1" applyAlignment="1">
      <alignment horizontal="left" vertical="center"/>
    </xf>
    <xf numFmtId="0" fontId="82" fillId="97" borderId="6" xfId="702" applyFont="1" applyFill="1" applyBorder="1" applyAlignment="1">
      <alignment horizontal="center" vertical="center"/>
    </xf>
    <xf numFmtId="3" fontId="82" fillId="98" borderId="6" xfId="702" applyNumberFormat="1" applyFont="1" applyFill="1" applyBorder="1" applyAlignment="1">
      <alignment horizontal="right" vertical="center"/>
    </xf>
    <xf numFmtId="165" fontId="82" fillId="98" borderId="6" xfId="702" applyNumberFormat="1" applyFont="1" applyFill="1" applyBorder="1" applyAlignment="1">
      <alignment horizontal="center" vertical="center" wrapText="1"/>
    </xf>
    <xf numFmtId="1" fontId="82" fillId="98" borderId="6" xfId="702" applyNumberFormat="1" applyFont="1" applyFill="1" applyBorder="1" applyAlignment="1">
      <alignment horizontal="center" vertical="center" wrapText="1"/>
    </xf>
    <xf numFmtId="1" fontId="82" fillId="98" borderId="6" xfId="702" applyNumberFormat="1" applyFont="1" applyFill="1" applyBorder="1" applyAlignment="1">
      <alignment horizontal="center" vertical="center"/>
    </xf>
    <xf numFmtId="164" fontId="82" fillId="98" borderId="2" xfId="702" applyNumberFormat="1" applyFont="1" applyFill="1" applyBorder="1" applyAlignment="1">
      <alignment horizontal="center" vertical="center"/>
    </xf>
    <xf numFmtId="165" fontId="39" fillId="0" borderId="3" xfId="702" applyNumberFormat="1" applyFont="1"/>
    <xf numFmtId="0" fontId="39" fillId="56" borderId="3" xfId="702" applyFont="1" applyFill="1"/>
    <xf numFmtId="165" fontId="39" fillId="56" borderId="3" xfId="702" applyNumberFormat="1" applyFont="1" applyFill="1"/>
    <xf numFmtId="166" fontId="39" fillId="0" borderId="3" xfId="702" applyNumberFormat="1" applyFont="1"/>
    <xf numFmtId="0" fontId="39" fillId="99" borderId="3" xfId="702" applyFont="1" applyFill="1"/>
    <xf numFmtId="165" fontId="39" fillId="99" borderId="3" xfId="702" applyNumberFormat="1" applyFont="1" applyFill="1"/>
    <xf numFmtId="0" fontId="67" fillId="10" borderId="5" xfId="4" applyFont="1" applyFill="1" applyBorder="1" applyAlignment="1">
      <alignment horizontal="left" vertical="center"/>
    </xf>
    <xf numFmtId="168" fontId="39" fillId="0" borderId="3" xfId="702" applyNumberFormat="1" applyFont="1"/>
    <xf numFmtId="168" fontId="18" fillId="14" borderId="6" xfId="702" applyNumberFormat="1" applyFont="1" applyFill="1" applyBorder="1" applyAlignment="1">
      <alignment horizontal="center"/>
    </xf>
    <xf numFmtId="168" fontId="33" fillId="10" borderId="6" xfId="13068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65" fontId="19" fillId="10" borderId="6" xfId="702" applyNumberFormat="1" applyFont="1" applyFill="1" applyBorder="1" applyAlignment="1">
      <alignment horizontal="center"/>
    </xf>
    <xf numFmtId="0" fontId="32" fillId="0" borderId="0" xfId="0" pivotButton="1" applyFont="1"/>
    <xf numFmtId="0" fontId="32" fillId="0" borderId="0" xfId="0" applyFont="1" applyAlignment="1">
      <alignment horizontal="left"/>
    </xf>
    <xf numFmtId="3" fontId="32" fillId="0" borderId="0" xfId="0" applyNumberFormat="1" applyFont="1"/>
    <xf numFmtId="10" fontId="32" fillId="0" borderId="0" xfId="0" applyNumberFormat="1" applyFont="1"/>
    <xf numFmtId="0" fontId="1" fillId="0" borderId="5" xfId="13066" applyFont="1" applyBorder="1" applyAlignment="1">
      <alignment horizontal="center"/>
    </xf>
    <xf numFmtId="0" fontId="1" fillId="0" borderId="5" xfId="13066" applyFont="1" applyBorder="1"/>
    <xf numFmtId="0" fontId="1" fillId="0" borderId="0" xfId="13066" applyFont="1" applyBorder="1"/>
    <xf numFmtId="0" fontId="1" fillId="10" borderId="5" xfId="13066" applyFont="1" applyFill="1" applyBorder="1" applyAlignment="1">
      <alignment horizontal="center"/>
    </xf>
    <xf numFmtId="0" fontId="1" fillId="10" borderId="5" xfId="13066" applyFont="1" applyFill="1" applyBorder="1"/>
    <xf numFmtId="3" fontId="18" fillId="13" borderId="5" xfId="13066" applyNumberFormat="1" applyFont="1" applyFill="1" applyBorder="1" applyAlignment="1">
      <alignment horizontal="center" vertical="center"/>
    </xf>
    <xf numFmtId="0" fontId="3" fillId="13" borderId="5" xfId="13066" applyFont="1" applyFill="1" applyBorder="1"/>
    <xf numFmtId="0" fontId="62" fillId="13" borderId="5" xfId="13066" applyFont="1" applyFill="1" applyBorder="1" applyAlignment="1">
      <alignment horizontal="center"/>
    </xf>
    <xf numFmtId="0" fontId="1" fillId="13" borderId="5" xfId="13066" applyFont="1" applyFill="1" applyBorder="1"/>
    <xf numFmtId="0" fontId="1" fillId="13" borderId="5" xfId="13066" applyFont="1" applyFill="1" applyBorder="1" applyAlignment="1">
      <alignment horizontal="center"/>
    </xf>
    <xf numFmtId="0" fontId="1" fillId="54" borderId="5" xfId="13066" applyFont="1" applyFill="1" applyBorder="1" applyAlignment="1">
      <alignment horizontal="center"/>
    </xf>
    <xf numFmtId="0" fontId="1" fillId="54" borderId="5" xfId="13066" applyFont="1" applyFill="1" applyBorder="1"/>
    <xf numFmtId="0" fontId="1" fillId="13" borderId="0" xfId="13066" applyFont="1" applyFill="1" applyBorder="1"/>
    <xf numFmtId="1" fontId="1" fillId="54" borderId="5" xfId="13066" applyNumberFormat="1" applyFont="1" applyFill="1" applyBorder="1"/>
    <xf numFmtId="14" fontId="1" fillId="10" borderId="5" xfId="13066" applyNumberFormat="1" applyFont="1" applyFill="1" applyBorder="1" applyAlignment="1">
      <alignment horizontal="center"/>
    </xf>
    <xf numFmtId="0" fontId="99" fillId="0" borderId="0" xfId="0" applyFont="1"/>
    <xf numFmtId="0" fontId="18" fillId="33" borderId="6" xfId="702" applyFont="1" applyFill="1" applyBorder="1" applyAlignment="1">
      <alignment horizontal="center" vertical="center"/>
    </xf>
    <xf numFmtId="164" fontId="18" fillId="33" borderId="6" xfId="702" applyNumberFormat="1" applyFont="1" applyFill="1" applyBorder="1" applyAlignment="1">
      <alignment horizontal="center" vertical="center"/>
    </xf>
    <xf numFmtId="165" fontId="18" fillId="33" borderId="6" xfId="702" applyNumberFormat="1" applyFont="1" applyFill="1" applyBorder="1" applyAlignment="1">
      <alignment horizontal="center"/>
    </xf>
    <xf numFmtId="168" fontId="33" fillId="33" borderId="6" xfId="702" applyNumberFormat="1" applyFont="1" applyFill="1" applyBorder="1" applyAlignment="1">
      <alignment horizontal="center"/>
    </xf>
    <xf numFmtId="3" fontId="61" fillId="33" borderId="6" xfId="702" applyNumberFormat="1" applyFont="1" applyFill="1" applyBorder="1" applyAlignment="1">
      <alignment horizontal="left"/>
    </xf>
    <xf numFmtId="3" fontId="18" fillId="33" borderId="6" xfId="702" applyNumberFormat="1" applyFont="1" applyFill="1" applyBorder="1" applyAlignment="1">
      <alignment horizontal="center" vertical="center"/>
    </xf>
    <xf numFmtId="14" fontId="18" fillId="33" borderId="6" xfId="702" applyNumberFormat="1" applyFont="1" applyFill="1" applyBorder="1" applyAlignment="1">
      <alignment horizontal="left" vertical="center" wrapText="1"/>
    </xf>
    <xf numFmtId="14" fontId="18" fillId="33" borderId="6" xfId="702" applyNumberFormat="1" applyFont="1" applyFill="1" applyBorder="1" applyAlignment="1">
      <alignment horizontal="center" vertical="center" wrapText="1"/>
    </xf>
    <xf numFmtId="3" fontId="18" fillId="33" borderId="6" xfId="702" applyNumberFormat="1" applyFont="1" applyFill="1" applyBorder="1" applyAlignment="1">
      <alignment horizontal="right" vertical="center"/>
    </xf>
    <xf numFmtId="165" fontId="18" fillId="30" borderId="6" xfId="13070" applyNumberFormat="1" applyFont="1" applyFill="1" applyBorder="1" applyAlignment="1">
      <alignment horizontal="center"/>
    </xf>
    <xf numFmtId="0" fontId="18" fillId="30" borderId="6" xfId="13070" applyFont="1" applyFill="1" applyBorder="1" applyAlignment="1">
      <alignment horizontal="center" vertical="center"/>
    </xf>
    <xf numFmtId="0" fontId="18" fillId="30" borderId="6" xfId="13070" applyFont="1" applyFill="1" applyBorder="1" applyAlignment="1">
      <alignment horizontal="left" vertical="center"/>
    </xf>
    <xf numFmtId="3" fontId="33" fillId="30" borderId="6" xfId="13070" applyNumberFormat="1" applyFont="1" applyFill="1" applyBorder="1" applyAlignment="1">
      <alignment horizontal="right" vertical="center"/>
    </xf>
    <xf numFmtId="165" fontId="18" fillId="30" borderId="6" xfId="13070" applyNumberFormat="1" applyFont="1" applyFill="1" applyBorder="1" applyAlignment="1">
      <alignment horizontal="center" vertical="center" wrapText="1"/>
    </xf>
    <xf numFmtId="1" fontId="18" fillId="30" borderId="6" xfId="13070" applyNumberFormat="1" applyFont="1" applyFill="1" applyBorder="1" applyAlignment="1">
      <alignment horizontal="center" vertical="center" wrapText="1"/>
    </xf>
    <xf numFmtId="1" fontId="18" fillId="30" borderId="6" xfId="13070" applyNumberFormat="1" applyFont="1" applyFill="1" applyBorder="1" applyAlignment="1">
      <alignment horizontal="center" vertical="center"/>
    </xf>
    <xf numFmtId="164" fontId="18" fillId="30" borderId="2" xfId="13070" applyNumberFormat="1" applyFont="1" applyFill="1" applyBorder="1" applyAlignment="1">
      <alignment horizontal="center" vertical="center"/>
    </xf>
    <xf numFmtId="1" fontId="79" fillId="100" borderId="6" xfId="702" applyNumberFormat="1" applyFont="1" applyFill="1" applyBorder="1" applyAlignment="1">
      <alignment horizontal="center" vertical="center"/>
    </xf>
    <xf numFmtId="165" fontId="82" fillId="30" borderId="6" xfId="702" applyNumberFormat="1" applyFont="1" applyFill="1" applyBorder="1" applyAlignment="1">
      <alignment horizontal="center" vertical="center"/>
    </xf>
    <xf numFmtId="0" fontId="82" fillId="30" borderId="6" xfId="702" applyFont="1" applyFill="1" applyBorder="1" applyAlignment="1">
      <alignment horizontal="center" vertical="center"/>
    </xf>
    <xf numFmtId="0" fontId="82" fillId="33" borderId="6" xfId="702" applyFont="1" applyFill="1" applyBorder="1" applyAlignment="1">
      <alignment horizontal="left" vertical="center"/>
    </xf>
    <xf numFmtId="0" fontId="82" fillId="33" borderId="6" xfId="702" applyFont="1" applyFill="1" applyBorder="1" applyAlignment="1">
      <alignment horizontal="center" vertical="center"/>
    </xf>
    <xf numFmtId="3" fontId="82" fillId="30" borderId="6" xfId="702" applyNumberFormat="1" applyFont="1" applyFill="1" applyBorder="1" applyAlignment="1">
      <alignment horizontal="right" vertical="center"/>
    </xf>
    <xf numFmtId="0" fontId="100" fillId="2" borderId="6" xfId="702" applyFont="1" applyFill="1" applyBorder="1" applyAlignment="1">
      <alignment horizontal="center" vertical="center" wrapText="1"/>
    </xf>
    <xf numFmtId="0" fontId="100" fillId="2" borderId="6" xfId="702" applyFont="1" applyFill="1" applyBorder="1" applyAlignment="1">
      <alignment horizontal="left" vertical="center" wrapText="1"/>
    </xf>
    <xf numFmtId="3" fontId="100" fillId="2" borderId="6" xfId="702" applyNumberFormat="1" applyFont="1" applyFill="1" applyBorder="1" applyAlignment="1">
      <alignment horizontal="center" vertical="center" wrapText="1"/>
    </xf>
    <xf numFmtId="1" fontId="100" fillId="2" borderId="6" xfId="702" applyNumberFormat="1" applyFont="1" applyFill="1" applyBorder="1" applyAlignment="1">
      <alignment horizontal="center" vertical="center" wrapText="1"/>
    </xf>
    <xf numFmtId="1" fontId="100" fillId="2" borderId="2" xfId="702" applyNumberFormat="1" applyFont="1" applyFill="1" applyBorder="1" applyAlignment="1">
      <alignment horizontal="center" vertical="center" wrapText="1"/>
    </xf>
    <xf numFmtId="0" fontId="101" fillId="10" borderId="6" xfId="702" applyFont="1" applyFill="1" applyBorder="1" applyAlignment="1">
      <alignment horizontal="center" vertical="center"/>
    </xf>
    <xf numFmtId="164" fontId="101" fillId="10" borderId="6" xfId="702" applyNumberFormat="1" applyFont="1" applyFill="1" applyBorder="1" applyAlignment="1">
      <alignment horizontal="center" vertical="center"/>
    </xf>
    <xf numFmtId="165" fontId="101" fillId="10" borderId="6" xfId="702" applyNumberFormat="1" applyFont="1" applyFill="1" applyBorder="1" applyAlignment="1">
      <alignment horizontal="center" vertical="center"/>
    </xf>
    <xf numFmtId="168" fontId="101" fillId="10" borderId="6" xfId="702" applyNumberFormat="1" applyFont="1" applyFill="1" applyBorder="1" applyAlignment="1">
      <alignment horizontal="center" vertical="center"/>
    </xf>
    <xf numFmtId="3" fontId="101" fillId="10" borderId="6" xfId="702" applyNumberFormat="1" applyFont="1" applyFill="1" applyBorder="1" applyAlignment="1">
      <alignment horizontal="center" vertical="center"/>
    </xf>
    <xf numFmtId="14" fontId="102" fillId="10" borderId="6" xfId="702" applyNumberFormat="1" applyFont="1" applyFill="1" applyBorder="1" applyAlignment="1">
      <alignment horizontal="left" vertical="center" wrapText="1"/>
    </xf>
    <xf numFmtId="14" fontId="101" fillId="10" borderId="6" xfId="702" applyNumberFormat="1" applyFont="1" applyFill="1" applyBorder="1" applyAlignment="1">
      <alignment horizontal="center" vertical="center" wrapText="1"/>
    </xf>
    <xf numFmtId="3" fontId="101" fillId="10" borderId="6" xfId="702" applyNumberFormat="1" applyFont="1" applyFill="1" applyBorder="1" applyAlignment="1">
      <alignment horizontal="right" vertical="center"/>
    </xf>
    <xf numFmtId="166" fontId="101" fillId="5" borderId="6" xfId="702" applyNumberFormat="1" applyFont="1" applyFill="1" applyBorder="1" applyAlignment="1">
      <alignment horizontal="center" vertical="center"/>
    </xf>
    <xf numFmtId="165" fontId="102" fillId="29" borderId="6" xfId="702" applyNumberFormat="1" applyFont="1" applyFill="1" applyBorder="1" applyAlignment="1">
      <alignment horizontal="center" vertical="center"/>
    </xf>
    <xf numFmtId="168" fontId="102" fillId="29" borderId="6" xfId="702" applyNumberFormat="1" applyFont="1" applyFill="1" applyBorder="1" applyAlignment="1">
      <alignment horizontal="center" vertical="center"/>
    </xf>
    <xf numFmtId="0" fontId="102" fillId="29" borderId="6" xfId="702" applyFont="1" applyFill="1" applyBorder="1" applyAlignment="1">
      <alignment horizontal="center" vertical="center"/>
    </xf>
    <xf numFmtId="0" fontId="102" fillId="14" borderId="6" xfId="702" applyFont="1" applyFill="1" applyBorder="1" applyAlignment="1">
      <alignment horizontal="left" vertical="center"/>
    </xf>
    <xf numFmtId="3" fontId="102" fillId="29" borderId="6" xfId="702" applyNumberFormat="1" applyFont="1" applyFill="1" applyBorder="1" applyAlignment="1">
      <alignment horizontal="right" vertical="center"/>
    </xf>
    <xf numFmtId="165" fontId="102" fillId="15" borderId="6" xfId="702" applyNumberFormat="1" applyFont="1" applyFill="1" applyBorder="1" applyAlignment="1">
      <alignment horizontal="center" vertical="center" wrapText="1"/>
    </xf>
    <xf numFmtId="1" fontId="102" fillId="15" borderId="6" xfId="702" applyNumberFormat="1" applyFont="1" applyFill="1" applyBorder="1" applyAlignment="1">
      <alignment horizontal="center" vertical="center" wrapText="1"/>
    </xf>
    <xf numFmtId="1" fontId="102" fillId="15" borderId="6" xfId="702" applyNumberFormat="1" applyFont="1" applyFill="1" applyBorder="1" applyAlignment="1">
      <alignment horizontal="center" vertical="center"/>
    </xf>
    <xf numFmtId="164" fontId="102" fillId="15" borderId="2" xfId="702" applyNumberFormat="1" applyFont="1" applyFill="1" applyBorder="1" applyAlignment="1">
      <alignment horizontal="center" vertical="center"/>
    </xf>
    <xf numFmtId="0" fontId="101" fillId="0" borderId="0" xfId="0" applyFont="1"/>
    <xf numFmtId="0" fontId="101" fillId="0" borderId="0" xfId="0" applyFont="1" applyAlignment="1">
      <alignment wrapText="1"/>
    </xf>
    <xf numFmtId="0" fontId="65" fillId="57" borderId="5" xfId="13066" applyFont="1" applyFill="1" applyBorder="1" applyAlignment="1">
      <alignment horizontal="center" vertical="center"/>
    </xf>
    <xf numFmtId="0" fontId="3" fillId="10" borderId="24" xfId="13066" applyFont="1" applyFill="1" applyBorder="1" applyAlignment="1">
      <alignment horizontal="center"/>
    </xf>
    <xf numFmtId="0" fontId="3" fillId="10" borderId="25" xfId="13066" applyFont="1" applyFill="1" applyBorder="1" applyAlignment="1">
      <alignment horizontal="center"/>
    </xf>
    <xf numFmtId="3" fontId="18" fillId="10" borderId="24" xfId="13066" applyNumberFormat="1" applyFont="1" applyFill="1" applyBorder="1" applyAlignment="1">
      <alignment horizontal="center" vertical="center"/>
    </xf>
    <xf numFmtId="3" fontId="18" fillId="10" borderId="25" xfId="13066" applyNumberFormat="1" applyFont="1" applyFill="1" applyBorder="1" applyAlignment="1">
      <alignment horizontal="center" vertical="center"/>
    </xf>
    <xf numFmtId="14" fontId="64" fillId="10" borderId="24" xfId="13066" applyNumberFormat="1" applyFont="1" applyFill="1" applyBorder="1" applyAlignment="1">
      <alignment horizontal="center"/>
    </xf>
    <xf numFmtId="14" fontId="64" fillId="10" borderId="25" xfId="13066" applyNumberFormat="1" applyFont="1" applyFill="1" applyBorder="1" applyAlignment="1">
      <alignment horizontal="center"/>
    </xf>
    <xf numFmtId="3" fontId="64" fillId="10" borderId="24" xfId="13066" applyNumberFormat="1" applyFont="1" applyFill="1" applyBorder="1" applyAlignment="1">
      <alignment horizontal="center"/>
    </xf>
    <xf numFmtId="3" fontId="64" fillId="10" borderId="25" xfId="13066" applyNumberFormat="1" applyFont="1" applyFill="1" applyBorder="1" applyAlignment="1">
      <alignment horizontal="center"/>
    </xf>
    <xf numFmtId="0" fontId="65" fillId="86" borderId="24" xfId="13066" applyFont="1" applyFill="1" applyBorder="1" applyAlignment="1">
      <alignment horizontal="center"/>
    </xf>
    <xf numFmtId="0" fontId="65" fillId="10" borderId="25" xfId="13066" applyFont="1" applyFill="1" applyBorder="1" applyAlignment="1">
      <alignment horizontal="center"/>
    </xf>
    <xf numFmtId="168" fontId="33" fillId="10" borderId="24" xfId="13066" applyNumberFormat="1" applyFont="1" applyFill="1" applyBorder="1" applyAlignment="1">
      <alignment horizontal="center"/>
    </xf>
    <xf numFmtId="168" fontId="33" fillId="10" borderId="25" xfId="13066" applyNumberFormat="1" applyFont="1" applyFill="1" applyBorder="1" applyAlignment="1">
      <alignment horizontal="center"/>
    </xf>
    <xf numFmtId="3" fontId="33" fillId="11" borderId="24" xfId="13066" applyNumberFormat="1" applyFont="1" applyFill="1" applyBorder="1" applyAlignment="1">
      <alignment horizontal="right" vertical="center"/>
    </xf>
    <xf numFmtId="3" fontId="33" fillId="11" borderId="25" xfId="13066" applyNumberFormat="1" applyFont="1" applyFill="1" applyBorder="1" applyAlignment="1">
      <alignment horizontal="right" vertical="center"/>
    </xf>
    <xf numFmtId="14" fontId="64" fillId="10" borderId="24" xfId="13066" applyNumberFormat="1" applyFont="1" applyFill="1" applyBorder="1" applyAlignment="1">
      <alignment horizontal="center" vertical="center"/>
    </xf>
    <xf numFmtId="14" fontId="64" fillId="10" borderId="25" xfId="13066" applyNumberFormat="1" applyFont="1" applyFill="1" applyBorder="1" applyAlignment="1">
      <alignment horizontal="center" vertical="center"/>
    </xf>
    <xf numFmtId="0" fontId="3" fillId="10" borderId="24" xfId="13066" applyFont="1" applyFill="1" applyBorder="1" applyAlignment="1">
      <alignment horizontal="right"/>
    </xf>
    <xf numFmtId="0" fontId="3" fillId="10" borderId="25" xfId="13066" applyFont="1" applyFill="1" applyBorder="1" applyAlignment="1">
      <alignment horizontal="right"/>
    </xf>
    <xf numFmtId="0" fontId="51" fillId="20" borderId="0" xfId="0" applyFont="1" applyFill="1" applyAlignment="1">
      <alignment horizontal="center"/>
    </xf>
    <xf numFmtId="0" fontId="51" fillId="20" borderId="3" xfId="0" applyFont="1" applyFill="1" applyBorder="1" applyAlignment="1">
      <alignment horizontal="center"/>
    </xf>
    <xf numFmtId="14" fontId="83" fillId="0" borderId="6" xfId="702" applyNumberFormat="1" applyFont="1" applyBorder="1" applyAlignment="1">
      <alignment horizontal="left" vertical="center" wrapText="1"/>
    </xf>
    <xf numFmtId="14" fontId="83" fillId="71" borderId="6" xfId="702" applyNumberFormat="1" applyFont="1" applyFill="1" applyBorder="1" applyAlignment="1">
      <alignment horizontal="left" vertical="center" wrapText="1"/>
    </xf>
    <xf numFmtId="165" fontId="79" fillId="101" borderId="6" xfId="702" applyNumberFormat="1" applyFont="1" applyFill="1" applyBorder="1" applyAlignment="1">
      <alignment horizontal="center" vertical="center"/>
    </xf>
    <xf numFmtId="0" fontId="79" fillId="101" borderId="6" xfId="702" applyFont="1" applyFill="1" applyBorder="1" applyAlignment="1">
      <alignment horizontal="center" vertical="center"/>
    </xf>
    <xf numFmtId="0" fontId="79" fillId="20" borderId="6" xfId="702" applyFont="1" applyFill="1" applyBorder="1" applyAlignment="1">
      <alignment horizontal="left" vertical="center"/>
    </xf>
    <xf numFmtId="3" fontId="79" fillId="101" borderId="6" xfId="702" applyNumberFormat="1" applyFont="1" applyFill="1" applyBorder="1" applyAlignment="1">
      <alignment horizontal="right" vertical="center"/>
    </xf>
    <xf numFmtId="168" fontId="79" fillId="82" borderId="6" xfId="702" applyNumberFormat="1" applyFont="1" applyFill="1" applyBorder="1" applyAlignment="1">
      <alignment horizontal="center" vertical="center"/>
    </xf>
    <xf numFmtId="0" fontId="79" fillId="72" borderId="6" xfId="702" applyFont="1" applyFill="1" applyBorder="1" applyAlignment="1">
      <alignment horizontal="left" vertical="center"/>
    </xf>
    <xf numFmtId="3" fontId="79" fillId="82" borderId="6" xfId="702" applyNumberFormat="1" applyFont="1" applyFill="1" applyBorder="1" applyAlignment="1">
      <alignment horizontal="right" vertical="center"/>
    </xf>
    <xf numFmtId="166" fontId="85" fillId="5" borderId="6" xfId="702" applyNumberFormat="1" applyFont="1" applyFill="1" applyBorder="1" applyAlignment="1">
      <alignment horizontal="center" vertical="center"/>
    </xf>
    <xf numFmtId="3" fontId="51" fillId="0" borderId="3" xfId="702" applyNumberFormat="1" applyFont="1"/>
    <xf numFmtId="0" fontId="51" fillId="0" borderId="3" xfId="702" applyFont="1"/>
    <xf numFmtId="0" fontId="51" fillId="99" borderId="3" xfId="702" applyFont="1" applyFill="1"/>
    <xf numFmtId="165" fontId="51" fillId="99" borderId="3" xfId="702" applyNumberFormat="1" applyFont="1" applyFill="1"/>
    <xf numFmtId="166" fontId="51" fillId="0" borderId="3" xfId="702" applyNumberFormat="1" applyFont="1"/>
    <xf numFmtId="0" fontId="79" fillId="20" borderId="6" xfId="702" applyFont="1" applyFill="1" applyBorder="1" applyAlignment="1">
      <alignment horizontal="center" vertical="center"/>
    </xf>
    <xf numFmtId="165" fontId="79" fillId="101" borderId="6" xfId="702" applyNumberFormat="1" applyFont="1" applyFill="1" applyBorder="1" applyAlignment="1">
      <alignment horizontal="center" vertical="center" wrapText="1"/>
    </xf>
    <xf numFmtId="1" fontId="79" fillId="101" borderId="6" xfId="702" applyNumberFormat="1" applyFont="1" applyFill="1" applyBorder="1" applyAlignment="1">
      <alignment horizontal="center" vertical="center" wrapText="1"/>
    </xf>
    <xf numFmtId="1" fontId="79" fillId="101" borderId="6" xfId="702" applyNumberFormat="1" applyFont="1" applyFill="1" applyBorder="1" applyAlignment="1">
      <alignment horizontal="center" vertical="center"/>
    </xf>
    <xf numFmtId="164" fontId="79" fillId="101" borderId="2" xfId="702" applyNumberFormat="1" applyFont="1" applyFill="1" applyBorder="1" applyAlignment="1">
      <alignment horizontal="center" vertical="center"/>
    </xf>
    <xf numFmtId="1" fontId="85" fillId="10" borderId="6" xfId="702" applyNumberFormat="1" applyFont="1" applyFill="1" applyBorder="1" applyAlignment="1">
      <alignment horizontal="center" vertical="center" wrapText="1"/>
    </xf>
    <xf numFmtId="0" fontId="103" fillId="21" borderId="0" xfId="0" applyFont="1" applyFill="1"/>
    <xf numFmtId="0" fontId="104" fillId="21" borderId="0" xfId="0" applyFont="1" applyFill="1"/>
  </cellXfs>
  <cellStyles count="13071">
    <cellStyle name="40% - Ênfase6 2" xfId="13055" xr:uid="{00000000-0005-0000-0000-000001000000}"/>
    <cellStyle name="40% - Ênfase6 3" xfId="13059" xr:uid="{00000000-0005-0000-0000-000002000000}"/>
    <cellStyle name="Bom 2" xfId="4310" xr:uid="{00000000-0005-0000-0000-000004000000}"/>
    <cellStyle name="Incorreto 2" xfId="13054" xr:uid="{00000000-0005-0000-0000-000006000000}"/>
    <cellStyle name="Moeda" xfId="13062" builtinId="4"/>
    <cellStyle name="Moeda 2" xfId="6" xr:uid="{00000000-0005-0000-0000-000007000000}"/>
    <cellStyle name="Moeda 2 2" xfId="17" xr:uid="{00000000-0005-0000-0000-000008000000}"/>
    <cellStyle name="Moeda 2 2 10" xfId="2257" xr:uid="{00000000-0005-0000-0000-000009000000}"/>
    <cellStyle name="Moeda 2 2 10 2" xfId="8773" xr:uid="{00000000-0005-0000-0000-00000A000000}"/>
    <cellStyle name="Moeda 2 2 11" xfId="4318" xr:uid="{00000000-0005-0000-0000-00000B000000}"/>
    <cellStyle name="Moeda 2 2 11 2" xfId="10832" xr:uid="{00000000-0005-0000-0000-00000C000000}"/>
    <cellStyle name="Moeda 2 2 12" xfId="6548" xr:uid="{00000000-0005-0000-0000-00000D000000}"/>
    <cellStyle name="Moeda 2 2 2" xfId="35" xr:uid="{00000000-0005-0000-0000-00000E000000}"/>
    <cellStyle name="Moeda 2 2 2 10" xfId="4333" xr:uid="{00000000-0005-0000-0000-00000F000000}"/>
    <cellStyle name="Moeda 2 2 2 10 2" xfId="10847" xr:uid="{00000000-0005-0000-0000-000010000000}"/>
    <cellStyle name="Moeda 2 2 2 11" xfId="6563" xr:uid="{00000000-0005-0000-0000-000011000000}"/>
    <cellStyle name="Moeda 2 2 2 2" xfId="73" xr:uid="{00000000-0005-0000-0000-000012000000}"/>
    <cellStyle name="Moeda 2 2 2 2 10" xfId="6600" xr:uid="{00000000-0005-0000-0000-000013000000}"/>
    <cellStyle name="Moeda 2 2 2 2 2" xfId="147" xr:uid="{00000000-0005-0000-0000-000014000000}"/>
    <cellStyle name="Moeda 2 2 2 2 2 2" xfId="220" xr:uid="{00000000-0005-0000-0000-000015000000}"/>
    <cellStyle name="Moeda 2 2 2 2 2 2 2" xfId="348" xr:uid="{00000000-0005-0000-0000-000016000000}"/>
    <cellStyle name="Moeda 2 2 2 2 2 2 2 2" xfId="691" xr:uid="{00000000-0005-0000-0000-000017000000}"/>
    <cellStyle name="Moeda 2 2 2 2 2 2 2 2 2" xfId="1215" xr:uid="{00000000-0005-0000-0000-000018000000}"/>
    <cellStyle name="Moeda 2 2 2 2 2 2 2 2 2 2" xfId="2243" xr:uid="{00000000-0005-0000-0000-000019000000}"/>
    <cellStyle name="Moeda 2 2 2 2 2 2 2 2 2 2 2" xfId="4301" xr:uid="{00000000-0005-0000-0000-00001A000000}"/>
    <cellStyle name="Moeda 2 2 2 2 2 2 2 2 2 2 2 2" xfId="10817" xr:uid="{00000000-0005-0000-0000-00001B000000}"/>
    <cellStyle name="Moeda 2 2 2 2 2 2 2 2 2 2 3" xfId="6531" xr:uid="{00000000-0005-0000-0000-00001C000000}"/>
    <cellStyle name="Moeda 2 2 2 2 2 2 2 2 2 2 3 2" xfId="13045" xr:uid="{00000000-0005-0000-0000-00001D000000}"/>
    <cellStyle name="Moeda 2 2 2 2 2 2 2 2 2 2 4" xfId="8761" xr:uid="{00000000-0005-0000-0000-00001E000000}"/>
    <cellStyle name="Moeda 2 2 2 2 2 2 2 2 2 3" xfId="3273" xr:uid="{00000000-0005-0000-0000-00001F000000}"/>
    <cellStyle name="Moeda 2 2 2 2 2 2 2 2 2 3 2" xfId="9789" xr:uid="{00000000-0005-0000-0000-000020000000}"/>
    <cellStyle name="Moeda 2 2 2 2 2 2 2 2 2 4" xfId="5503" xr:uid="{00000000-0005-0000-0000-000021000000}"/>
    <cellStyle name="Moeda 2 2 2 2 2 2 2 2 2 4 2" xfId="12017" xr:uid="{00000000-0005-0000-0000-000022000000}"/>
    <cellStyle name="Moeda 2 2 2 2 2 2 2 2 2 5" xfId="7733" xr:uid="{00000000-0005-0000-0000-000023000000}"/>
    <cellStyle name="Moeda 2 2 2 2 2 2 2 2 3" xfId="1729" xr:uid="{00000000-0005-0000-0000-000024000000}"/>
    <cellStyle name="Moeda 2 2 2 2 2 2 2 2 3 2" xfId="3787" xr:uid="{00000000-0005-0000-0000-000025000000}"/>
    <cellStyle name="Moeda 2 2 2 2 2 2 2 2 3 2 2" xfId="10303" xr:uid="{00000000-0005-0000-0000-000026000000}"/>
    <cellStyle name="Moeda 2 2 2 2 2 2 2 2 3 3" xfId="6017" xr:uid="{00000000-0005-0000-0000-000027000000}"/>
    <cellStyle name="Moeda 2 2 2 2 2 2 2 2 3 3 2" xfId="12531" xr:uid="{00000000-0005-0000-0000-000028000000}"/>
    <cellStyle name="Moeda 2 2 2 2 2 2 2 2 3 4" xfId="8247" xr:uid="{00000000-0005-0000-0000-000029000000}"/>
    <cellStyle name="Moeda 2 2 2 2 2 2 2 2 4" xfId="2759" xr:uid="{00000000-0005-0000-0000-00002A000000}"/>
    <cellStyle name="Moeda 2 2 2 2 2 2 2 2 4 2" xfId="9275" xr:uid="{00000000-0005-0000-0000-00002B000000}"/>
    <cellStyle name="Moeda 2 2 2 2 2 2 2 2 5" xfId="4987" xr:uid="{00000000-0005-0000-0000-00002C000000}"/>
    <cellStyle name="Moeda 2 2 2 2 2 2 2 2 5 2" xfId="11501" xr:uid="{00000000-0005-0000-0000-00002D000000}"/>
    <cellStyle name="Moeda 2 2 2 2 2 2 2 2 6" xfId="7217" xr:uid="{00000000-0005-0000-0000-00002E000000}"/>
    <cellStyle name="Moeda 2 2 2 2 2 2 2 3" xfId="959" xr:uid="{00000000-0005-0000-0000-00002F000000}"/>
    <cellStyle name="Moeda 2 2 2 2 2 2 2 3 2" xfId="1987" xr:uid="{00000000-0005-0000-0000-000030000000}"/>
    <cellStyle name="Moeda 2 2 2 2 2 2 2 3 2 2" xfId="4045" xr:uid="{00000000-0005-0000-0000-000031000000}"/>
    <cellStyle name="Moeda 2 2 2 2 2 2 2 3 2 2 2" xfId="10561" xr:uid="{00000000-0005-0000-0000-000032000000}"/>
    <cellStyle name="Moeda 2 2 2 2 2 2 2 3 2 3" xfId="6275" xr:uid="{00000000-0005-0000-0000-000033000000}"/>
    <cellStyle name="Moeda 2 2 2 2 2 2 2 3 2 3 2" xfId="12789" xr:uid="{00000000-0005-0000-0000-000034000000}"/>
    <cellStyle name="Moeda 2 2 2 2 2 2 2 3 2 4" xfId="8505" xr:uid="{00000000-0005-0000-0000-000035000000}"/>
    <cellStyle name="Moeda 2 2 2 2 2 2 2 3 3" xfId="3017" xr:uid="{00000000-0005-0000-0000-000036000000}"/>
    <cellStyle name="Moeda 2 2 2 2 2 2 2 3 3 2" xfId="9533" xr:uid="{00000000-0005-0000-0000-000037000000}"/>
    <cellStyle name="Moeda 2 2 2 2 2 2 2 3 4" xfId="5247" xr:uid="{00000000-0005-0000-0000-000038000000}"/>
    <cellStyle name="Moeda 2 2 2 2 2 2 2 3 4 2" xfId="11761" xr:uid="{00000000-0005-0000-0000-000039000000}"/>
    <cellStyle name="Moeda 2 2 2 2 2 2 2 3 5" xfId="7477" xr:uid="{00000000-0005-0000-0000-00003A000000}"/>
    <cellStyle name="Moeda 2 2 2 2 2 2 2 4" xfId="1473" xr:uid="{00000000-0005-0000-0000-00003B000000}"/>
    <cellStyle name="Moeda 2 2 2 2 2 2 2 4 2" xfId="3531" xr:uid="{00000000-0005-0000-0000-00003C000000}"/>
    <cellStyle name="Moeda 2 2 2 2 2 2 2 4 2 2" xfId="10047" xr:uid="{00000000-0005-0000-0000-00003D000000}"/>
    <cellStyle name="Moeda 2 2 2 2 2 2 2 4 3" xfId="5761" xr:uid="{00000000-0005-0000-0000-00003E000000}"/>
    <cellStyle name="Moeda 2 2 2 2 2 2 2 4 3 2" xfId="12275" xr:uid="{00000000-0005-0000-0000-00003F000000}"/>
    <cellStyle name="Moeda 2 2 2 2 2 2 2 4 4" xfId="7991" xr:uid="{00000000-0005-0000-0000-000040000000}"/>
    <cellStyle name="Moeda 2 2 2 2 2 2 2 5" xfId="2503" xr:uid="{00000000-0005-0000-0000-000041000000}"/>
    <cellStyle name="Moeda 2 2 2 2 2 2 2 5 2" xfId="9019" xr:uid="{00000000-0005-0000-0000-000042000000}"/>
    <cellStyle name="Moeda 2 2 2 2 2 2 2 6" xfId="4645" xr:uid="{00000000-0005-0000-0000-000043000000}"/>
    <cellStyle name="Moeda 2 2 2 2 2 2 2 6 2" xfId="11159" xr:uid="{00000000-0005-0000-0000-000044000000}"/>
    <cellStyle name="Moeda 2 2 2 2 2 2 2 7" xfId="6875" xr:uid="{00000000-0005-0000-0000-000045000000}"/>
    <cellStyle name="Moeda 2 2 2 2 2 2 3" xfId="563" xr:uid="{00000000-0005-0000-0000-000046000000}"/>
    <cellStyle name="Moeda 2 2 2 2 2 2 3 2" xfId="1087" xr:uid="{00000000-0005-0000-0000-000047000000}"/>
    <cellStyle name="Moeda 2 2 2 2 2 2 3 2 2" xfId="2115" xr:uid="{00000000-0005-0000-0000-000048000000}"/>
    <cellStyle name="Moeda 2 2 2 2 2 2 3 2 2 2" xfId="4173" xr:uid="{00000000-0005-0000-0000-000049000000}"/>
    <cellStyle name="Moeda 2 2 2 2 2 2 3 2 2 2 2" xfId="10689" xr:uid="{00000000-0005-0000-0000-00004A000000}"/>
    <cellStyle name="Moeda 2 2 2 2 2 2 3 2 2 3" xfId="6403" xr:uid="{00000000-0005-0000-0000-00004B000000}"/>
    <cellStyle name="Moeda 2 2 2 2 2 2 3 2 2 3 2" xfId="12917" xr:uid="{00000000-0005-0000-0000-00004C000000}"/>
    <cellStyle name="Moeda 2 2 2 2 2 2 3 2 2 4" xfId="8633" xr:uid="{00000000-0005-0000-0000-00004D000000}"/>
    <cellStyle name="Moeda 2 2 2 2 2 2 3 2 3" xfId="3145" xr:uid="{00000000-0005-0000-0000-00004E000000}"/>
    <cellStyle name="Moeda 2 2 2 2 2 2 3 2 3 2" xfId="9661" xr:uid="{00000000-0005-0000-0000-00004F000000}"/>
    <cellStyle name="Moeda 2 2 2 2 2 2 3 2 4" xfId="5375" xr:uid="{00000000-0005-0000-0000-000050000000}"/>
    <cellStyle name="Moeda 2 2 2 2 2 2 3 2 4 2" xfId="11889" xr:uid="{00000000-0005-0000-0000-000051000000}"/>
    <cellStyle name="Moeda 2 2 2 2 2 2 3 2 5" xfId="7605" xr:uid="{00000000-0005-0000-0000-000052000000}"/>
    <cellStyle name="Moeda 2 2 2 2 2 2 3 3" xfId="1601" xr:uid="{00000000-0005-0000-0000-000053000000}"/>
    <cellStyle name="Moeda 2 2 2 2 2 2 3 3 2" xfId="3659" xr:uid="{00000000-0005-0000-0000-000054000000}"/>
    <cellStyle name="Moeda 2 2 2 2 2 2 3 3 2 2" xfId="10175" xr:uid="{00000000-0005-0000-0000-000055000000}"/>
    <cellStyle name="Moeda 2 2 2 2 2 2 3 3 3" xfId="5889" xr:uid="{00000000-0005-0000-0000-000056000000}"/>
    <cellStyle name="Moeda 2 2 2 2 2 2 3 3 3 2" xfId="12403" xr:uid="{00000000-0005-0000-0000-000057000000}"/>
    <cellStyle name="Moeda 2 2 2 2 2 2 3 3 4" xfId="8119" xr:uid="{00000000-0005-0000-0000-000058000000}"/>
    <cellStyle name="Moeda 2 2 2 2 2 2 3 4" xfId="2631" xr:uid="{00000000-0005-0000-0000-000059000000}"/>
    <cellStyle name="Moeda 2 2 2 2 2 2 3 4 2" xfId="9147" xr:uid="{00000000-0005-0000-0000-00005A000000}"/>
    <cellStyle name="Moeda 2 2 2 2 2 2 3 5" xfId="4859" xr:uid="{00000000-0005-0000-0000-00005B000000}"/>
    <cellStyle name="Moeda 2 2 2 2 2 2 3 5 2" xfId="11373" xr:uid="{00000000-0005-0000-0000-00005C000000}"/>
    <cellStyle name="Moeda 2 2 2 2 2 2 3 6" xfId="7089" xr:uid="{00000000-0005-0000-0000-00005D000000}"/>
    <cellStyle name="Moeda 2 2 2 2 2 2 4" xfId="831" xr:uid="{00000000-0005-0000-0000-00005E000000}"/>
    <cellStyle name="Moeda 2 2 2 2 2 2 4 2" xfId="1859" xr:uid="{00000000-0005-0000-0000-00005F000000}"/>
    <cellStyle name="Moeda 2 2 2 2 2 2 4 2 2" xfId="3917" xr:uid="{00000000-0005-0000-0000-000060000000}"/>
    <cellStyle name="Moeda 2 2 2 2 2 2 4 2 2 2" xfId="10433" xr:uid="{00000000-0005-0000-0000-000061000000}"/>
    <cellStyle name="Moeda 2 2 2 2 2 2 4 2 3" xfId="6147" xr:uid="{00000000-0005-0000-0000-000062000000}"/>
    <cellStyle name="Moeda 2 2 2 2 2 2 4 2 3 2" xfId="12661" xr:uid="{00000000-0005-0000-0000-000063000000}"/>
    <cellStyle name="Moeda 2 2 2 2 2 2 4 2 4" xfId="8377" xr:uid="{00000000-0005-0000-0000-000064000000}"/>
    <cellStyle name="Moeda 2 2 2 2 2 2 4 3" xfId="2889" xr:uid="{00000000-0005-0000-0000-000065000000}"/>
    <cellStyle name="Moeda 2 2 2 2 2 2 4 3 2" xfId="9405" xr:uid="{00000000-0005-0000-0000-000066000000}"/>
    <cellStyle name="Moeda 2 2 2 2 2 2 4 4" xfId="5119" xr:uid="{00000000-0005-0000-0000-000067000000}"/>
    <cellStyle name="Moeda 2 2 2 2 2 2 4 4 2" xfId="11633" xr:uid="{00000000-0005-0000-0000-000068000000}"/>
    <cellStyle name="Moeda 2 2 2 2 2 2 4 5" xfId="7349" xr:uid="{00000000-0005-0000-0000-000069000000}"/>
    <cellStyle name="Moeda 2 2 2 2 2 2 5" xfId="1345" xr:uid="{00000000-0005-0000-0000-00006A000000}"/>
    <cellStyle name="Moeda 2 2 2 2 2 2 5 2" xfId="3403" xr:uid="{00000000-0005-0000-0000-00006B000000}"/>
    <cellStyle name="Moeda 2 2 2 2 2 2 5 2 2" xfId="9919" xr:uid="{00000000-0005-0000-0000-00006C000000}"/>
    <cellStyle name="Moeda 2 2 2 2 2 2 5 3" xfId="5633" xr:uid="{00000000-0005-0000-0000-00006D000000}"/>
    <cellStyle name="Moeda 2 2 2 2 2 2 5 3 2" xfId="12147" xr:uid="{00000000-0005-0000-0000-00006E000000}"/>
    <cellStyle name="Moeda 2 2 2 2 2 2 5 4" xfId="7863" xr:uid="{00000000-0005-0000-0000-00006F000000}"/>
    <cellStyle name="Moeda 2 2 2 2 2 2 6" xfId="2375" xr:uid="{00000000-0005-0000-0000-000070000000}"/>
    <cellStyle name="Moeda 2 2 2 2 2 2 6 2" xfId="8891" xr:uid="{00000000-0005-0000-0000-000071000000}"/>
    <cellStyle name="Moeda 2 2 2 2 2 2 7" xfId="4517" xr:uid="{00000000-0005-0000-0000-000072000000}"/>
    <cellStyle name="Moeda 2 2 2 2 2 2 7 2" xfId="11031" xr:uid="{00000000-0005-0000-0000-000073000000}"/>
    <cellStyle name="Moeda 2 2 2 2 2 2 8" xfId="6747" xr:uid="{00000000-0005-0000-0000-000074000000}"/>
    <cellStyle name="Moeda 2 2 2 2 2 3" xfId="284" xr:uid="{00000000-0005-0000-0000-000075000000}"/>
    <cellStyle name="Moeda 2 2 2 2 2 3 2" xfId="627" xr:uid="{00000000-0005-0000-0000-000076000000}"/>
    <cellStyle name="Moeda 2 2 2 2 2 3 2 2" xfId="1151" xr:uid="{00000000-0005-0000-0000-000077000000}"/>
    <cellStyle name="Moeda 2 2 2 2 2 3 2 2 2" xfId="2179" xr:uid="{00000000-0005-0000-0000-000078000000}"/>
    <cellStyle name="Moeda 2 2 2 2 2 3 2 2 2 2" xfId="4237" xr:uid="{00000000-0005-0000-0000-000079000000}"/>
    <cellStyle name="Moeda 2 2 2 2 2 3 2 2 2 2 2" xfId="10753" xr:uid="{00000000-0005-0000-0000-00007A000000}"/>
    <cellStyle name="Moeda 2 2 2 2 2 3 2 2 2 3" xfId="6467" xr:uid="{00000000-0005-0000-0000-00007B000000}"/>
    <cellStyle name="Moeda 2 2 2 2 2 3 2 2 2 3 2" xfId="12981" xr:uid="{00000000-0005-0000-0000-00007C000000}"/>
    <cellStyle name="Moeda 2 2 2 2 2 3 2 2 2 4" xfId="8697" xr:uid="{00000000-0005-0000-0000-00007D000000}"/>
    <cellStyle name="Moeda 2 2 2 2 2 3 2 2 3" xfId="3209" xr:uid="{00000000-0005-0000-0000-00007E000000}"/>
    <cellStyle name="Moeda 2 2 2 2 2 3 2 2 3 2" xfId="9725" xr:uid="{00000000-0005-0000-0000-00007F000000}"/>
    <cellStyle name="Moeda 2 2 2 2 2 3 2 2 4" xfId="5439" xr:uid="{00000000-0005-0000-0000-000080000000}"/>
    <cellStyle name="Moeda 2 2 2 2 2 3 2 2 4 2" xfId="11953" xr:uid="{00000000-0005-0000-0000-000081000000}"/>
    <cellStyle name="Moeda 2 2 2 2 2 3 2 2 5" xfId="7669" xr:uid="{00000000-0005-0000-0000-000082000000}"/>
    <cellStyle name="Moeda 2 2 2 2 2 3 2 3" xfId="1665" xr:uid="{00000000-0005-0000-0000-000083000000}"/>
    <cellStyle name="Moeda 2 2 2 2 2 3 2 3 2" xfId="3723" xr:uid="{00000000-0005-0000-0000-000084000000}"/>
    <cellStyle name="Moeda 2 2 2 2 2 3 2 3 2 2" xfId="10239" xr:uid="{00000000-0005-0000-0000-000085000000}"/>
    <cellStyle name="Moeda 2 2 2 2 2 3 2 3 3" xfId="5953" xr:uid="{00000000-0005-0000-0000-000086000000}"/>
    <cellStyle name="Moeda 2 2 2 2 2 3 2 3 3 2" xfId="12467" xr:uid="{00000000-0005-0000-0000-000087000000}"/>
    <cellStyle name="Moeda 2 2 2 2 2 3 2 3 4" xfId="8183" xr:uid="{00000000-0005-0000-0000-000088000000}"/>
    <cellStyle name="Moeda 2 2 2 2 2 3 2 4" xfId="2695" xr:uid="{00000000-0005-0000-0000-000089000000}"/>
    <cellStyle name="Moeda 2 2 2 2 2 3 2 4 2" xfId="9211" xr:uid="{00000000-0005-0000-0000-00008A000000}"/>
    <cellStyle name="Moeda 2 2 2 2 2 3 2 5" xfId="4923" xr:uid="{00000000-0005-0000-0000-00008B000000}"/>
    <cellStyle name="Moeda 2 2 2 2 2 3 2 5 2" xfId="11437" xr:uid="{00000000-0005-0000-0000-00008C000000}"/>
    <cellStyle name="Moeda 2 2 2 2 2 3 2 6" xfId="7153" xr:uid="{00000000-0005-0000-0000-00008D000000}"/>
    <cellStyle name="Moeda 2 2 2 2 2 3 3" xfId="895" xr:uid="{00000000-0005-0000-0000-00008E000000}"/>
    <cellStyle name="Moeda 2 2 2 2 2 3 3 2" xfId="1923" xr:uid="{00000000-0005-0000-0000-00008F000000}"/>
    <cellStyle name="Moeda 2 2 2 2 2 3 3 2 2" xfId="3981" xr:uid="{00000000-0005-0000-0000-000090000000}"/>
    <cellStyle name="Moeda 2 2 2 2 2 3 3 2 2 2" xfId="10497" xr:uid="{00000000-0005-0000-0000-000091000000}"/>
    <cellStyle name="Moeda 2 2 2 2 2 3 3 2 3" xfId="6211" xr:uid="{00000000-0005-0000-0000-000092000000}"/>
    <cellStyle name="Moeda 2 2 2 2 2 3 3 2 3 2" xfId="12725" xr:uid="{00000000-0005-0000-0000-000093000000}"/>
    <cellStyle name="Moeda 2 2 2 2 2 3 3 2 4" xfId="8441" xr:uid="{00000000-0005-0000-0000-000094000000}"/>
    <cellStyle name="Moeda 2 2 2 2 2 3 3 3" xfId="2953" xr:uid="{00000000-0005-0000-0000-000095000000}"/>
    <cellStyle name="Moeda 2 2 2 2 2 3 3 3 2" xfId="9469" xr:uid="{00000000-0005-0000-0000-000096000000}"/>
    <cellStyle name="Moeda 2 2 2 2 2 3 3 4" xfId="5183" xr:uid="{00000000-0005-0000-0000-000097000000}"/>
    <cellStyle name="Moeda 2 2 2 2 2 3 3 4 2" xfId="11697" xr:uid="{00000000-0005-0000-0000-000098000000}"/>
    <cellStyle name="Moeda 2 2 2 2 2 3 3 5" xfId="7413" xr:uid="{00000000-0005-0000-0000-000099000000}"/>
    <cellStyle name="Moeda 2 2 2 2 2 3 4" xfId="1409" xr:uid="{00000000-0005-0000-0000-00009A000000}"/>
    <cellStyle name="Moeda 2 2 2 2 2 3 4 2" xfId="3467" xr:uid="{00000000-0005-0000-0000-00009B000000}"/>
    <cellStyle name="Moeda 2 2 2 2 2 3 4 2 2" xfId="9983" xr:uid="{00000000-0005-0000-0000-00009C000000}"/>
    <cellStyle name="Moeda 2 2 2 2 2 3 4 3" xfId="5697" xr:uid="{00000000-0005-0000-0000-00009D000000}"/>
    <cellStyle name="Moeda 2 2 2 2 2 3 4 3 2" xfId="12211" xr:uid="{00000000-0005-0000-0000-00009E000000}"/>
    <cellStyle name="Moeda 2 2 2 2 2 3 4 4" xfId="7927" xr:uid="{00000000-0005-0000-0000-00009F000000}"/>
    <cellStyle name="Moeda 2 2 2 2 2 3 5" xfId="2439" xr:uid="{00000000-0005-0000-0000-0000A0000000}"/>
    <cellStyle name="Moeda 2 2 2 2 2 3 5 2" xfId="8955" xr:uid="{00000000-0005-0000-0000-0000A1000000}"/>
    <cellStyle name="Moeda 2 2 2 2 2 3 6" xfId="4581" xr:uid="{00000000-0005-0000-0000-0000A2000000}"/>
    <cellStyle name="Moeda 2 2 2 2 2 3 6 2" xfId="11095" xr:uid="{00000000-0005-0000-0000-0000A3000000}"/>
    <cellStyle name="Moeda 2 2 2 2 2 3 7" xfId="6811" xr:uid="{00000000-0005-0000-0000-0000A4000000}"/>
    <cellStyle name="Moeda 2 2 2 2 2 4" xfId="490" xr:uid="{00000000-0005-0000-0000-0000A5000000}"/>
    <cellStyle name="Moeda 2 2 2 2 2 4 2" xfId="1023" xr:uid="{00000000-0005-0000-0000-0000A6000000}"/>
    <cellStyle name="Moeda 2 2 2 2 2 4 2 2" xfId="2051" xr:uid="{00000000-0005-0000-0000-0000A7000000}"/>
    <cellStyle name="Moeda 2 2 2 2 2 4 2 2 2" xfId="4109" xr:uid="{00000000-0005-0000-0000-0000A8000000}"/>
    <cellStyle name="Moeda 2 2 2 2 2 4 2 2 2 2" xfId="10625" xr:uid="{00000000-0005-0000-0000-0000A9000000}"/>
    <cellStyle name="Moeda 2 2 2 2 2 4 2 2 3" xfId="6339" xr:uid="{00000000-0005-0000-0000-0000AA000000}"/>
    <cellStyle name="Moeda 2 2 2 2 2 4 2 2 3 2" xfId="12853" xr:uid="{00000000-0005-0000-0000-0000AB000000}"/>
    <cellStyle name="Moeda 2 2 2 2 2 4 2 2 4" xfId="8569" xr:uid="{00000000-0005-0000-0000-0000AC000000}"/>
    <cellStyle name="Moeda 2 2 2 2 2 4 2 3" xfId="3081" xr:uid="{00000000-0005-0000-0000-0000AD000000}"/>
    <cellStyle name="Moeda 2 2 2 2 2 4 2 3 2" xfId="9597" xr:uid="{00000000-0005-0000-0000-0000AE000000}"/>
    <cellStyle name="Moeda 2 2 2 2 2 4 2 4" xfId="5311" xr:uid="{00000000-0005-0000-0000-0000AF000000}"/>
    <cellStyle name="Moeda 2 2 2 2 2 4 2 4 2" xfId="11825" xr:uid="{00000000-0005-0000-0000-0000B0000000}"/>
    <cellStyle name="Moeda 2 2 2 2 2 4 2 5" xfId="7541" xr:uid="{00000000-0005-0000-0000-0000B1000000}"/>
    <cellStyle name="Moeda 2 2 2 2 2 4 3" xfId="1537" xr:uid="{00000000-0005-0000-0000-0000B2000000}"/>
    <cellStyle name="Moeda 2 2 2 2 2 4 3 2" xfId="3595" xr:uid="{00000000-0005-0000-0000-0000B3000000}"/>
    <cellStyle name="Moeda 2 2 2 2 2 4 3 2 2" xfId="10111" xr:uid="{00000000-0005-0000-0000-0000B4000000}"/>
    <cellStyle name="Moeda 2 2 2 2 2 4 3 3" xfId="5825" xr:uid="{00000000-0005-0000-0000-0000B5000000}"/>
    <cellStyle name="Moeda 2 2 2 2 2 4 3 3 2" xfId="12339" xr:uid="{00000000-0005-0000-0000-0000B6000000}"/>
    <cellStyle name="Moeda 2 2 2 2 2 4 3 4" xfId="8055" xr:uid="{00000000-0005-0000-0000-0000B7000000}"/>
    <cellStyle name="Moeda 2 2 2 2 2 4 4" xfId="2567" xr:uid="{00000000-0005-0000-0000-0000B8000000}"/>
    <cellStyle name="Moeda 2 2 2 2 2 4 4 2" xfId="9083" xr:uid="{00000000-0005-0000-0000-0000B9000000}"/>
    <cellStyle name="Moeda 2 2 2 2 2 4 5" xfId="4786" xr:uid="{00000000-0005-0000-0000-0000BA000000}"/>
    <cellStyle name="Moeda 2 2 2 2 2 4 5 2" xfId="11300" xr:uid="{00000000-0005-0000-0000-0000BB000000}"/>
    <cellStyle name="Moeda 2 2 2 2 2 4 6" xfId="7016" xr:uid="{00000000-0005-0000-0000-0000BC000000}"/>
    <cellStyle name="Moeda 2 2 2 2 2 5" xfId="767" xr:uid="{00000000-0005-0000-0000-0000BD000000}"/>
    <cellStyle name="Moeda 2 2 2 2 2 5 2" xfId="1795" xr:uid="{00000000-0005-0000-0000-0000BE000000}"/>
    <cellStyle name="Moeda 2 2 2 2 2 5 2 2" xfId="3853" xr:uid="{00000000-0005-0000-0000-0000BF000000}"/>
    <cellStyle name="Moeda 2 2 2 2 2 5 2 2 2" xfId="10369" xr:uid="{00000000-0005-0000-0000-0000C0000000}"/>
    <cellStyle name="Moeda 2 2 2 2 2 5 2 3" xfId="6083" xr:uid="{00000000-0005-0000-0000-0000C1000000}"/>
    <cellStyle name="Moeda 2 2 2 2 2 5 2 3 2" xfId="12597" xr:uid="{00000000-0005-0000-0000-0000C2000000}"/>
    <cellStyle name="Moeda 2 2 2 2 2 5 2 4" xfId="8313" xr:uid="{00000000-0005-0000-0000-0000C3000000}"/>
    <cellStyle name="Moeda 2 2 2 2 2 5 3" xfId="2825" xr:uid="{00000000-0005-0000-0000-0000C4000000}"/>
    <cellStyle name="Moeda 2 2 2 2 2 5 3 2" xfId="9341" xr:uid="{00000000-0005-0000-0000-0000C5000000}"/>
    <cellStyle name="Moeda 2 2 2 2 2 5 4" xfId="5055" xr:uid="{00000000-0005-0000-0000-0000C6000000}"/>
    <cellStyle name="Moeda 2 2 2 2 2 5 4 2" xfId="11569" xr:uid="{00000000-0005-0000-0000-0000C7000000}"/>
    <cellStyle name="Moeda 2 2 2 2 2 5 5" xfId="7285" xr:uid="{00000000-0005-0000-0000-0000C8000000}"/>
    <cellStyle name="Moeda 2 2 2 2 2 6" xfId="1281" xr:uid="{00000000-0005-0000-0000-0000C9000000}"/>
    <cellStyle name="Moeda 2 2 2 2 2 6 2" xfId="3339" xr:uid="{00000000-0005-0000-0000-0000CA000000}"/>
    <cellStyle name="Moeda 2 2 2 2 2 6 2 2" xfId="9855" xr:uid="{00000000-0005-0000-0000-0000CB000000}"/>
    <cellStyle name="Moeda 2 2 2 2 2 6 3" xfId="5569" xr:uid="{00000000-0005-0000-0000-0000CC000000}"/>
    <cellStyle name="Moeda 2 2 2 2 2 6 3 2" xfId="12083" xr:uid="{00000000-0005-0000-0000-0000CD000000}"/>
    <cellStyle name="Moeda 2 2 2 2 2 6 4" xfId="7799" xr:uid="{00000000-0005-0000-0000-0000CE000000}"/>
    <cellStyle name="Moeda 2 2 2 2 2 7" xfId="2311" xr:uid="{00000000-0005-0000-0000-0000CF000000}"/>
    <cellStyle name="Moeda 2 2 2 2 2 7 2" xfId="8827" xr:uid="{00000000-0005-0000-0000-0000D0000000}"/>
    <cellStyle name="Moeda 2 2 2 2 2 8" xfId="4444" xr:uid="{00000000-0005-0000-0000-0000D1000000}"/>
    <cellStyle name="Moeda 2 2 2 2 2 8 2" xfId="10958" xr:uid="{00000000-0005-0000-0000-0000D2000000}"/>
    <cellStyle name="Moeda 2 2 2 2 2 9" xfId="6674" xr:uid="{00000000-0005-0000-0000-0000D3000000}"/>
    <cellStyle name="Moeda 2 2 2 2 3" xfId="188" xr:uid="{00000000-0005-0000-0000-0000D4000000}"/>
    <cellStyle name="Moeda 2 2 2 2 3 2" xfId="316" xr:uid="{00000000-0005-0000-0000-0000D5000000}"/>
    <cellStyle name="Moeda 2 2 2 2 3 2 2" xfId="659" xr:uid="{00000000-0005-0000-0000-0000D6000000}"/>
    <cellStyle name="Moeda 2 2 2 2 3 2 2 2" xfId="1183" xr:uid="{00000000-0005-0000-0000-0000D7000000}"/>
    <cellStyle name="Moeda 2 2 2 2 3 2 2 2 2" xfId="2211" xr:uid="{00000000-0005-0000-0000-0000D8000000}"/>
    <cellStyle name="Moeda 2 2 2 2 3 2 2 2 2 2" xfId="4269" xr:uid="{00000000-0005-0000-0000-0000D9000000}"/>
    <cellStyle name="Moeda 2 2 2 2 3 2 2 2 2 2 2" xfId="10785" xr:uid="{00000000-0005-0000-0000-0000DA000000}"/>
    <cellStyle name="Moeda 2 2 2 2 3 2 2 2 2 3" xfId="6499" xr:uid="{00000000-0005-0000-0000-0000DB000000}"/>
    <cellStyle name="Moeda 2 2 2 2 3 2 2 2 2 3 2" xfId="13013" xr:uid="{00000000-0005-0000-0000-0000DC000000}"/>
    <cellStyle name="Moeda 2 2 2 2 3 2 2 2 2 4" xfId="8729" xr:uid="{00000000-0005-0000-0000-0000DD000000}"/>
    <cellStyle name="Moeda 2 2 2 2 3 2 2 2 3" xfId="3241" xr:uid="{00000000-0005-0000-0000-0000DE000000}"/>
    <cellStyle name="Moeda 2 2 2 2 3 2 2 2 3 2" xfId="9757" xr:uid="{00000000-0005-0000-0000-0000DF000000}"/>
    <cellStyle name="Moeda 2 2 2 2 3 2 2 2 4" xfId="5471" xr:uid="{00000000-0005-0000-0000-0000E0000000}"/>
    <cellStyle name="Moeda 2 2 2 2 3 2 2 2 4 2" xfId="11985" xr:uid="{00000000-0005-0000-0000-0000E1000000}"/>
    <cellStyle name="Moeda 2 2 2 2 3 2 2 2 5" xfId="7701" xr:uid="{00000000-0005-0000-0000-0000E2000000}"/>
    <cellStyle name="Moeda 2 2 2 2 3 2 2 3" xfId="1697" xr:uid="{00000000-0005-0000-0000-0000E3000000}"/>
    <cellStyle name="Moeda 2 2 2 2 3 2 2 3 2" xfId="3755" xr:uid="{00000000-0005-0000-0000-0000E4000000}"/>
    <cellStyle name="Moeda 2 2 2 2 3 2 2 3 2 2" xfId="10271" xr:uid="{00000000-0005-0000-0000-0000E5000000}"/>
    <cellStyle name="Moeda 2 2 2 2 3 2 2 3 3" xfId="5985" xr:uid="{00000000-0005-0000-0000-0000E6000000}"/>
    <cellStyle name="Moeda 2 2 2 2 3 2 2 3 3 2" xfId="12499" xr:uid="{00000000-0005-0000-0000-0000E7000000}"/>
    <cellStyle name="Moeda 2 2 2 2 3 2 2 3 4" xfId="8215" xr:uid="{00000000-0005-0000-0000-0000E8000000}"/>
    <cellStyle name="Moeda 2 2 2 2 3 2 2 4" xfId="2727" xr:uid="{00000000-0005-0000-0000-0000E9000000}"/>
    <cellStyle name="Moeda 2 2 2 2 3 2 2 4 2" xfId="9243" xr:uid="{00000000-0005-0000-0000-0000EA000000}"/>
    <cellStyle name="Moeda 2 2 2 2 3 2 2 5" xfId="4955" xr:uid="{00000000-0005-0000-0000-0000EB000000}"/>
    <cellStyle name="Moeda 2 2 2 2 3 2 2 5 2" xfId="11469" xr:uid="{00000000-0005-0000-0000-0000EC000000}"/>
    <cellStyle name="Moeda 2 2 2 2 3 2 2 6" xfId="7185" xr:uid="{00000000-0005-0000-0000-0000ED000000}"/>
    <cellStyle name="Moeda 2 2 2 2 3 2 3" xfId="927" xr:uid="{00000000-0005-0000-0000-0000EE000000}"/>
    <cellStyle name="Moeda 2 2 2 2 3 2 3 2" xfId="1955" xr:uid="{00000000-0005-0000-0000-0000EF000000}"/>
    <cellStyle name="Moeda 2 2 2 2 3 2 3 2 2" xfId="4013" xr:uid="{00000000-0005-0000-0000-0000F0000000}"/>
    <cellStyle name="Moeda 2 2 2 2 3 2 3 2 2 2" xfId="10529" xr:uid="{00000000-0005-0000-0000-0000F1000000}"/>
    <cellStyle name="Moeda 2 2 2 2 3 2 3 2 3" xfId="6243" xr:uid="{00000000-0005-0000-0000-0000F2000000}"/>
    <cellStyle name="Moeda 2 2 2 2 3 2 3 2 3 2" xfId="12757" xr:uid="{00000000-0005-0000-0000-0000F3000000}"/>
    <cellStyle name="Moeda 2 2 2 2 3 2 3 2 4" xfId="8473" xr:uid="{00000000-0005-0000-0000-0000F4000000}"/>
    <cellStyle name="Moeda 2 2 2 2 3 2 3 3" xfId="2985" xr:uid="{00000000-0005-0000-0000-0000F5000000}"/>
    <cellStyle name="Moeda 2 2 2 2 3 2 3 3 2" xfId="9501" xr:uid="{00000000-0005-0000-0000-0000F6000000}"/>
    <cellStyle name="Moeda 2 2 2 2 3 2 3 4" xfId="5215" xr:uid="{00000000-0005-0000-0000-0000F7000000}"/>
    <cellStyle name="Moeda 2 2 2 2 3 2 3 4 2" xfId="11729" xr:uid="{00000000-0005-0000-0000-0000F8000000}"/>
    <cellStyle name="Moeda 2 2 2 2 3 2 3 5" xfId="7445" xr:uid="{00000000-0005-0000-0000-0000F9000000}"/>
    <cellStyle name="Moeda 2 2 2 2 3 2 4" xfId="1441" xr:uid="{00000000-0005-0000-0000-0000FA000000}"/>
    <cellStyle name="Moeda 2 2 2 2 3 2 4 2" xfId="3499" xr:uid="{00000000-0005-0000-0000-0000FB000000}"/>
    <cellStyle name="Moeda 2 2 2 2 3 2 4 2 2" xfId="10015" xr:uid="{00000000-0005-0000-0000-0000FC000000}"/>
    <cellStyle name="Moeda 2 2 2 2 3 2 4 3" xfId="5729" xr:uid="{00000000-0005-0000-0000-0000FD000000}"/>
    <cellStyle name="Moeda 2 2 2 2 3 2 4 3 2" xfId="12243" xr:uid="{00000000-0005-0000-0000-0000FE000000}"/>
    <cellStyle name="Moeda 2 2 2 2 3 2 4 4" xfId="7959" xr:uid="{00000000-0005-0000-0000-0000FF000000}"/>
    <cellStyle name="Moeda 2 2 2 2 3 2 5" xfId="2471" xr:uid="{00000000-0005-0000-0000-000000010000}"/>
    <cellStyle name="Moeda 2 2 2 2 3 2 5 2" xfId="8987" xr:uid="{00000000-0005-0000-0000-000001010000}"/>
    <cellStyle name="Moeda 2 2 2 2 3 2 6" xfId="4613" xr:uid="{00000000-0005-0000-0000-000002010000}"/>
    <cellStyle name="Moeda 2 2 2 2 3 2 6 2" xfId="11127" xr:uid="{00000000-0005-0000-0000-000003010000}"/>
    <cellStyle name="Moeda 2 2 2 2 3 2 7" xfId="6843" xr:uid="{00000000-0005-0000-0000-000004010000}"/>
    <cellStyle name="Moeda 2 2 2 2 3 3" xfId="531" xr:uid="{00000000-0005-0000-0000-000005010000}"/>
    <cellStyle name="Moeda 2 2 2 2 3 3 2" xfId="1055" xr:uid="{00000000-0005-0000-0000-000006010000}"/>
    <cellStyle name="Moeda 2 2 2 2 3 3 2 2" xfId="2083" xr:uid="{00000000-0005-0000-0000-000007010000}"/>
    <cellStyle name="Moeda 2 2 2 2 3 3 2 2 2" xfId="4141" xr:uid="{00000000-0005-0000-0000-000008010000}"/>
    <cellStyle name="Moeda 2 2 2 2 3 3 2 2 2 2" xfId="10657" xr:uid="{00000000-0005-0000-0000-000009010000}"/>
    <cellStyle name="Moeda 2 2 2 2 3 3 2 2 3" xfId="6371" xr:uid="{00000000-0005-0000-0000-00000A010000}"/>
    <cellStyle name="Moeda 2 2 2 2 3 3 2 2 3 2" xfId="12885" xr:uid="{00000000-0005-0000-0000-00000B010000}"/>
    <cellStyle name="Moeda 2 2 2 2 3 3 2 2 4" xfId="8601" xr:uid="{00000000-0005-0000-0000-00000C010000}"/>
    <cellStyle name="Moeda 2 2 2 2 3 3 2 3" xfId="3113" xr:uid="{00000000-0005-0000-0000-00000D010000}"/>
    <cellStyle name="Moeda 2 2 2 2 3 3 2 3 2" xfId="9629" xr:uid="{00000000-0005-0000-0000-00000E010000}"/>
    <cellStyle name="Moeda 2 2 2 2 3 3 2 4" xfId="5343" xr:uid="{00000000-0005-0000-0000-00000F010000}"/>
    <cellStyle name="Moeda 2 2 2 2 3 3 2 4 2" xfId="11857" xr:uid="{00000000-0005-0000-0000-000010010000}"/>
    <cellStyle name="Moeda 2 2 2 2 3 3 2 5" xfId="7573" xr:uid="{00000000-0005-0000-0000-000011010000}"/>
    <cellStyle name="Moeda 2 2 2 2 3 3 3" xfId="1569" xr:uid="{00000000-0005-0000-0000-000012010000}"/>
    <cellStyle name="Moeda 2 2 2 2 3 3 3 2" xfId="3627" xr:uid="{00000000-0005-0000-0000-000013010000}"/>
    <cellStyle name="Moeda 2 2 2 2 3 3 3 2 2" xfId="10143" xr:uid="{00000000-0005-0000-0000-000014010000}"/>
    <cellStyle name="Moeda 2 2 2 2 3 3 3 3" xfId="5857" xr:uid="{00000000-0005-0000-0000-000015010000}"/>
    <cellStyle name="Moeda 2 2 2 2 3 3 3 3 2" xfId="12371" xr:uid="{00000000-0005-0000-0000-000016010000}"/>
    <cellStyle name="Moeda 2 2 2 2 3 3 3 4" xfId="8087" xr:uid="{00000000-0005-0000-0000-000017010000}"/>
    <cellStyle name="Moeda 2 2 2 2 3 3 4" xfId="2599" xr:uid="{00000000-0005-0000-0000-000018010000}"/>
    <cellStyle name="Moeda 2 2 2 2 3 3 4 2" xfId="9115" xr:uid="{00000000-0005-0000-0000-000019010000}"/>
    <cellStyle name="Moeda 2 2 2 2 3 3 5" xfId="4827" xr:uid="{00000000-0005-0000-0000-00001A010000}"/>
    <cellStyle name="Moeda 2 2 2 2 3 3 5 2" xfId="11341" xr:uid="{00000000-0005-0000-0000-00001B010000}"/>
    <cellStyle name="Moeda 2 2 2 2 3 3 6" xfId="7057" xr:uid="{00000000-0005-0000-0000-00001C010000}"/>
    <cellStyle name="Moeda 2 2 2 2 3 4" xfId="799" xr:uid="{00000000-0005-0000-0000-00001D010000}"/>
    <cellStyle name="Moeda 2 2 2 2 3 4 2" xfId="1827" xr:uid="{00000000-0005-0000-0000-00001E010000}"/>
    <cellStyle name="Moeda 2 2 2 2 3 4 2 2" xfId="3885" xr:uid="{00000000-0005-0000-0000-00001F010000}"/>
    <cellStyle name="Moeda 2 2 2 2 3 4 2 2 2" xfId="10401" xr:uid="{00000000-0005-0000-0000-000020010000}"/>
    <cellStyle name="Moeda 2 2 2 2 3 4 2 3" xfId="6115" xr:uid="{00000000-0005-0000-0000-000021010000}"/>
    <cellStyle name="Moeda 2 2 2 2 3 4 2 3 2" xfId="12629" xr:uid="{00000000-0005-0000-0000-000022010000}"/>
    <cellStyle name="Moeda 2 2 2 2 3 4 2 4" xfId="8345" xr:uid="{00000000-0005-0000-0000-000023010000}"/>
    <cellStyle name="Moeda 2 2 2 2 3 4 3" xfId="2857" xr:uid="{00000000-0005-0000-0000-000024010000}"/>
    <cellStyle name="Moeda 2 2 2 2 3 4 3 2" xfId="9373" xr:uid="{00000000-0005-0000-0000-000025010000}"/>
    <cellStyle name="Moeda 2 2 2 2 3 4 4" xfId="5087" xr:uid="{00000000-0005-0000-0000-000026010000}"/>
    <cellStyle name="Moeda 2 2 2 2 3 4 4 2" xfId="11601" xr:uid="{00000000-0005-0000-0000-000027010000}"/>
    <cellStyle name="Moeda 2 2 2 2 3 4 5" xfId="7317" xr:uid="{00000000-0005-0000-0000-000028010000}"/>
    <cellStyle name="Moeda 2 2 2 2 3 5" xfId="1313" xr:uid="{00000000-0005-0000-0000-000029010000}"/>
    <cellStyle name="Moeda 2 2 2 2 3 5 2" xfId="3371" xr:uid="{00000000-0005-0000-0000-00002A010000}"/>
    <cellStyle name="Moeda 2 2 2 2 3 5 2 2" xfId="9887" xr:uid="{00000000-0005-0000-0000-00002B010000}"/>
    <cellStyle name="Moeda 2 2 2 2 3 5 3" xfId="5601" xr:uid="{00000000-0005-0000-0000-00002C010000}"/>
    <cellStyle name="Moeda 2 2 2 2 3 5 3 2" xfId="12115" xr:uid="{00000000-0005-0000-0000-00002D010000}"/>
    <cellStyle name="Moeda 2 2 2 2 3 5 4" xfId="7831" xr:uid="{00000000-0005-0000-0000-00002E010000}"/>
    <cellStyle name="Moeda 2 2 2 2 3 6" xfId="2343" xr:uid="{00000000-0005-0000-0000-00002F010000}"/>
    <cellStyle name="Moeda 2 2 2 2 3 6 2" xfId="8859" xr:uid="{00000000-0005-0000-0000-000030010000}"/>
    <cellStyle name="Moeda 2 2 2 2 3 7" xfId="4485" xr:uid="{00000000-0005-0000-0000-000031010000}"/>
    <cellStyle name="Moeda 2 2 2 2 3 7 2" xfId="10999" xr:uid="{00000000-0005-0000-0000-000032010000}"/>
    <cellStyle name="Moeda 2 2 2 2 3 8" xfId="6715" xr:uid="{00000000-0005-0000-0000-000033010000}"/>
    <cellStyle name="Moeda 2 2 2 2 4" xfId="252" xr:uid="{00000000-0005-0000-0000-000034010000}"/>
    <cellStyle name="Moeda 2 2 2 2 4 2" xfId="595" xr:uid="{00000000-0005-0000-0000-000035010000}"/>
    <cellStyle name="Moeda 2 2 2 2 4 2 2" xfId="1119" xr:uid="{00000000-0005-0000-0000-000036010000}"/>
    <cellStyle name="Moeda 2 2 2 2 4 2 2 2" xfId="2147" xr:uid="{00000000-0005-0000-0000-000037010000}"/>
    <cellStyle name="Moeda 2 2 2 2 4 2 2 2 2" xfId="4205" xr:uid="{00000000-0005-0000-0000-000038010000}"/>
    <cellStyle name="Moeda 2 2 2 2 4 2 2 2 2 2" xfId="10721" xr:uid="{00000000-0005-0000-0000-000039010000}"/>
    <cellStyle name="Moeda 2 2 2 2 4 2 2 2 3" xfId="6435" xr:uid="{00000000-0005-0000-0000-00003A010000}"/>
    <cellStyle name="Moeda 2 2 2 2 4 2 2 2 3 2" xfId="12949" xr:uid="{00000000-0005-0000-0000-00003B010000}"/>
    <cellStyle name="Moeda 2 2 2 2 4 2 2 2 4" xfId="8665" xr:uid="{00000000-0005-0000-0000-00003C010000}"/>
    <cellStyle name="Moeda 2 2 2 2 4 2 2 3" xfId="3177" xr:uid="{00000000-0005-0000-0000-00003D010000}"/>
    <cellStyle name="Moeda 2 2 2 2 4 2 2 3 2" xfId="9693" xr:uid="{00000000-0005-0000-0000-00003E010000}"/>
    <cellStyle name="Moeda 2 2 2 2 4 2 2 4" xfId="5407" xr:uid="{00000000-0005-0000-0000-00003F010000}"/>
    <cellStyle name="Moeda 2 2 2 2 4 2 2 4 2" xfId="11921" xr:uid="{00000000-0005-0000-0000-000040010000}"/>
    <cellStyle name="Moeda 2 2 2 2 4 2 2 5" xfId="7637" xr:uid="{00000000-0005-0000-0000-000041010000}"/>
    <cellStyle name="Moeda 2 2 2 2 4 2 3" xfId="1633" xr:uid="{00000000-0005-0000-0000-000042010000}"/>
    <cellStyle name="Moeda 2 2 2 2 4 2 3 2" xfId="3691" xr:uid="{00000000-0005-0000-0000-000043010000}"/>
    <cellStyle name="Moeda 2 2 2 2 4 2 3 2 2" xfId="10207" xr:uid="{00000000-0005-0000-0000-000044010000}"/>
    <cellStyle name="Moeda 2 2 2 2 4 2 3 3" xfId="5921" xr:uid="{00000000-0005-0000-0000-000045010000}"/>
    <cellStyle name="Moeda 2 2 2 2 4 2 3 3 2" xfId="12435" xr:uid="{00000000-0005-0000-0000-000046010000}"/>
    <cellStyle name="Moeda 2 2 2 2 4 2 3 4" xfId="8151" xr:uid="{00000000-0005-0000-0000-000047010000}"/>
    <cellStyle name="Moeda 2 2 2 2 4 2 4" xfId="2663" xr:uid="{00000000-0005-0000-0000-000048010000}"/>
    <cellStyle name="Moeda 2 2 2 2 4 2 4 2" xfId="9179" xr:uid="{00000000-0005-0000-0000-000049010000}"/>
    <cellStyle name="Moeda 2 2 2 2 4 2 5" xfId="4891" xr:uid="{00000000-0005-0000-0000-00004A010000}"/>
    <cellStyle name="Moeda 2 2 2 2 4 2 5 2" xfId="11405" xr:uid="{00000000-0005-0000-0000-00004B010000}"/>
    <cellStyle name="Moeda 2 2 2 2 4 2 6" xfId="7121" xr:uid="{00000000-0005-0000-0000-00004C010000}"/>
    <cellStyle name="Moeda 2 2 2 2 4 3" xfId="863" xr:uid="{00000000-0005-0000-0000-00004D010000}"/>
    <cellStyle name="Moeda 2 2 2 2 4 3 2" xfId="1891" xr:uid="{00000000-0005-0000-0000-00004E010000}"/>
    <cellStyle name="Moeda 2 2 2 2 4 3 2 2" xfId="3949" xr:uid="{00000000-0005-0000-0000-00004F010000}"/>
    <cellStyle name="Moeda 2 2 2 2 4 3 2 2 2" xfId="10465" xr:uid="{00000000-0005-0000-0000-000050010000}"/>
    <cellStyle name="Moeda 2 2 2 2 4 3 2 3" xfId="6179" xr:uid="{00000000-0005-0000-0000-000051010000}"/>
    <cellStyle name="Moeda 2 2 2 2 4 3 2 3 2" xfId="12693" xr:uid="{00000000-0005-0000-0000-000052010000}"/>
    <cellStyle name="Moeda 2 2 2 2 4 3 2 4" xfId="8409" xr:uid="{00000000-0005-0000-0000-000053010000}"/>
    <cellStyle name="Moeda 2 2 2 2 4 3 3" xfId="2921" xr:uid="{00000000-0005-0000-0000-000054010000}"/>
    <cellStyle name="Moeda 2 2 2 2 4 3 3 2" xfId="9437" xr:uid="{00000000-0005-0000-0000-000055010000}"/>
    <cellStyle name="Moeda 2 2 2 2 4 3 4" xfId="5151" xr:uid="{00000000-0005-0000-0000-000056010000}"/>
    <cellStyle name="Moeda 2 2 2 2 4 3 4 2" xfId="11665" xr:uid="{00000000-0005-0000-0000-000057010000}"/>
    <cellStyle name="Moeda 2 2 2 2 4 3 5" xfId="7381" xr:uid="{00000000-0005-0000-0000-000058010000}"/>
    <cellStyle name="Moeda 2 2 2 2 4 4" xfId="1377" xr:uid="{00000000-0005-0000-0000-000059010000}"/>
    <cellStyle name="Moeda 2 2 2 2 4 4 2" xfId="3435" xr:uid="{00000000-0005-0000-0000-00005A010000}"/>
    <cellStyle name="Moeda 2 2 2 2 4 4 2 2" xfId="9951" xr:uid="{00000000-0005-0000-0000-00005B010000}"/>
    <cellStyle name="Moeda 2 2 2 2 4 4 3" xfId="5665" xr:uid="{00000000-0005-0000-0000-00005C010000}"/>
    <cellStyle name="Moeda 2 2 2 2 4 4 3 2" xfId="12179" xr:uid="{00000000-0005-0000-0000-00005D010000}"/>
    <cellStyle name="Moeda 2 2 2 2 4 4 4" xfId="7895" xr:uid="{00000000-0005-0000-0000-00005E010000}"/>
    <cellStyle name="Moeda 2 2 2 2 4 5" xfId="2407" xr:uid="{00000000-0005-0000-0000-00005F010000}"/>
    <cellStyle name="Moeda 2 2 2 2 4 5 2" xfId="8923" xr:uid="{00000000-0005-0000-0000-000060010000}"/>
    <cellStyle name="Moeda 2 2 2 2 4 6" xfId="4549" xr:uid="{00000000-0005-0000-0000-000061010000}"/>
    <cellStyle name="Moeda 2 2 2 2 4 6 2" xfId="11063" xr:uid="{00000000-0005-0000-0000-000062010000}"/>
    <cellStyle name="Moeda 2 2 2 2 4 7" xfId="6779" xr:uid="{00000000-0005-0000-0000-000063010000}"/>
    <cellStyle name="Moeda 2 2 2 2 5" xfId="416" xr:uid="{00000000-0005-0000-0000-000064010000}"/>
    <cellStyle name="Moeda 2 2 2 2 5 2" xfId="991" xr:uid="{00000000-0005-0000-0000-000065010000}"/>
    <cellStyle name="Moeda 2 2 2 2 5 2 2" xfId="2019" xr:uid="{00000000-0005-0000-0000-000066010000}"/>
    <cellStyle name="Moeda 2 2 2 2 5 2 2 2" xfId="4077" xr:uid="{00000000-0005-0000-0000-000067010000}"/>
    <cellStyle name="Moeda 2 2 2 2 5 2 2 2 2" xfId="10593" xr:uid="{00000000-0005-0000-0000-000068010000}"/>
    <cellStyle name="Moeda 2 2 2 2 5 2 2 3" xfId="6307" xr:uid="{00000000-0005-0000-0000-000069010000}"/>
    <cellStyle name="Moeda 2 2 2 2 5 2 2 3 2" xfId="12821" xr:uid="{00000000-0005-0000-0000-00006A010000}"/>
    <cellStyle name="Moeda 2 2 2 2 5 2 2 4" xfId="8537" xr:uid="{00000000-0005-0000-0000-00006B010000}"/>
    <cellStyle name="Moeda 2 2 2 2 5 2 3" xfId="3049" xr:uid="{00000000-0005-0000-0000-00006C010000}"/>
    <cellStyle name="Moeda 2 2 2 2 5 2 3 2" xfId="9565" xr:uid="{00000000-0005-0000-0000-00006D010000}"/>
    <cellStyle name="Moeda 2 2 2 2 5 2 4" xfId="5279" xr:uid="{00000000-0005-0000-0000-00006E010000}"/>
    <cellStyle name="Moeda 2 2 2 2 5 2 4 2" xfId="11793" xr:uid="{00000000-0005-0000-0000-00006F010000}"/>
    <cellStyle name="Moeda 2 2 2 2 5 2 5" xfId="7509" xr:uid="{00000000-0005-0000-0000-000070010000}"/>
    <cellStyle name="Moeda 2 2 2 2 5 3" xfId="1505" xr:uid="{00000000-0005-0000-0000-000071010000}"/>
    <cellStyle name="Moeda 2 2 2 2 5 3 2" xfId="3563" xr:uid="{00000000-0005-0000-0000-000072010000}"/>
    <cellStyle name="Moeda 2 2 2 2 5 3 2 2" xfId="10079" xr:uid="{00000000-0005-0000-0000-000073010000}"/>
    <cellStyle name="Moeda 2 2 2 2 5 3 3" xfId="5793" xr:uid="{00000000-0005-0000-0000-000074010000}"/>
    <cellStyle name="Moeda 2 2 2 2 5 3 3 2" xfId="12307" xr:uid="{00000000-0005-0000-0000-000075010000}"/>
    <cellStyle name="Moeda 2 2 2 2 5 3 4" xfId="8023" xr:uid="{00000000-0005-0000-0000-000076010000}"/>
    <cellStyle name="Moeda 2 2 2 2 5 4" xfId="2535" xr:uid="{00000000-0005-0000-0000-000077010000}"/>
    <cellStyle name="Moeda 2 2 2 2 5 4 2" xfId="9051" xr:uid="{00000000-0005-0000-0000-000078010000}"/>
    <cellStyle name="Moeda 2 2 2 2 5 5" xfId="4712" xr:uid="{00000000-0005-0000-0000-000079010000}"/>
    <cellStyle name="Moeda 2 2 2 2 5 5 2" xfId="11226" xr:uid="{00000000-0005-0000-0000-00007A010000}"/>
    <cellStyle name="Moeda 2 2 2 2 5 6" xfId="6942" xr:uid="{00000000-0005-0000-0000-00007B010000}"/>
    <cellStyle name="Moeda 2 2 2 2 6" xfId="735" xr:uid="{00000000-0005-0000-0000-00007C010000}"/>
    <cellStyle name="Moeda 2 2 2 2 6 2" xfId="1763" xr:uid="{00000000-0005-0000-0000-00007D010000}"/>
    <cellStyle name="Moeda 2 2 2 2 6 2 2" xfId="3821" xr:uid="{00000000-0005-0000-0000-00007E010000}"/>
    <cellStyle name="Moeda 2 2 2 2 6 2 2 2" xfId="10337" xr:uid="{00000000-0005-0000-0000-00007F010000}"/>
    <cellStyle name="Moeda 2 2 2 2 6 2 3" xfId="6051" xr:uid="{00000000-0005-0000-0000-000080010000}"/>
    <cellStyle name="Moeda 2 2 2 2 6 2 3 2" xfId="12565" xr:uid="{00000000-0005-0000-0000-000081010000}"/>
    <cellStyle name="Moeda 2 2 2 2 6 2 4" xfId="8281" xr:uid="{00000000-0005-0000-0000-000082010000}"/>
    <cellStyle name="Moeda 2 2 2 2 6 3" xfId="2793" xr:uid="{00000000-0005-0000-0000-000083010000}"/>
    <cellStyle name="Moeda 2 2 2 2 6 3 2" xfId="9309" xr:uid="{00000000-0005-0000-0000-000084010000}"/>
    <cellStyle name="Moeda 2 2 2 2 6 4" xfId="5023" xr:uid="{00000000-0005-0000-0000-000085010000}"/>
    <cellStyle name="Moeda 2 2 2 2 6 4 2" xfId="11537" xr:uid="{00000000-0005-0000-0000-000086010000}"/>
    <cellStyle name="Moeda 2 2 2 2 6 5" xfId="7253" xr:uid="{00000000-0005-0000-0000-000087010000}"/>
    <cellStyle name="Moeda 2 2 2 2 7" xfId="1249" xr:uid="{00000000-0005-0000-0000-000088010000}"/>
    <cellStyle name="Moeda 2 2 2 2 7 2" xfId="3307" xr:uid="{00000000-0005-0000-0000-000089010000}"/>
    <cellStyle name="Moeda 2 2 2 2 7 2 2" xfId="9823" xr:uid="{00000000-0005-0000-0000-00008A010000}"/>
    <cellStyle name="Moeda 2 2 2 2 7 3" xfId="5537" xr:uid="{00000000-0005-0000-0000-00008B010000}"/>
    <cellStyle name="Moeda 2 2 2 2 7 3 2" xfId="12051" xr:uid="{00000000-0005-0000-0000-00008C010000}"/>
    <cellStyle name="Moeda 2 2 2 2 7 4" xfId="7767" xr:uid="{00000000-0005-0000-0000-00008D010000}"/>
    <cellStyle name="Moeda 2 2 2 2 8" xfId="2279" xr:uid="{00000000-0005-0000-0000-00008E010000}"/>
    <cellStyle name="Moeda 2 2 2 2 8 2" xfId="8795" xr:uid="{00000000-0005-0000-0000-00008F010000}"/>
    <cellStyle name="Moeda 2 2 2 2 9" xfId="4370" xr:uid="{00000000-0005-0000-0000-000090010000}"/>
    <cellStyle name="Moeda 2 2 2 2 9 2" xfId="10884" xr:uid="{00000000-0005-0000-0000-000091010000}"/>
    <cellStyle name="Moeda 2 2 2 3" xfId="110" xr:uid="{00000000-0005-0000-0000-000092010000}"/>
    <cellStyle name="Moeda 2 2 2 3 2" xfId="204" xr:uid="{00000000-0005-0000-0000-000093010000}"/>
    <cellStyle name="Moeda 2 2 2 3 2 2" xfId="332" xr:uid="{00000000-0005-0000-0000-000094010000}"/>
    <cellStyle name="Moeda 2 2 2 3 2 2 2" xfId="675" xr:uid="{00000000-0005-0000-0000-000095010000}"/>
    <cellStyle name="Moeda 2 2 2 3 2 2 2 2" xfId="1199" xr:uid="{00000000-0005-0000-0000-000096010000}"/>
    <cellStyle name="Moeda 2 2 2 3 2 2 2 2 2" xfId="2227" xr:uid="{00000000-0005-0000-0000-000097010000}"/>
    <cellStyle name="Moeda 2 2 2 3 2 2 2 2 2 2" xfId="4285" xr:uid="{00000000-0005-0000-0000-000098010000}"/>
    <cellStyle name="Moeda 2 2 2 3 2 2 2 2 2 2 2" xfId="10801" xr:uid="{00000000-0005-0000-0000-000099010000}"/>
    <cellStyle name="Moeda 2 2 2 3 2 2 2 2 2 3" xfId="6515" xr:uid="{00000000-0005-0000-0000-00009A010000}"/>
    <cellStyle name="Moeda 2 2 2 3 2 2 2 2 2 3 2" xfId="13029" xr:uid="{00000000-0005-0000-0000-00009B010000}"/>
    <cellStyle name="Moeda 2 2 2 3 2 2 2 2 2 4" xfId="8745" xr:uid="{00000000-0005-0000-0000-00009C010000}"/>
    <cellStyle name="Moeda 2 2 2 3 2 2 2 2 3" xfId="3257" xr:uid="{00000000-0005-0000-0000-00009D010000}"/>
    <cellStyle name="Moeda 2 2 2 3 2 2 2 2 3 2" xfId="9773" xr:uid="{00000000-0005-0000-0000-00009E010000}"/>
    <cellStyle name="Moeda 2 2 2 3 2 2 2 2 4" xfId="5487" xr:uid="{00000000-0005-0000-0000-00009F010000}"/>
    <cellStyle name="Moeda 2 2 2 3 2 2 2 2 4 2" xfId="12001" xr:uid="{00000000-0005-0000-0000-0000A0010000}"/>
    <cellStyle name="Moeda 2 2 2 3 2 2 2 2 5" xfId="7717" xr:uid="{00000000-0005-0000-0000-0000A1010000}"/>
    <cellStyle name="Moeda 2 2 2 3 2 2 2 3" xfId="1713" xr:uid="{00000000-0005-0000-0000-0000A2010000}"/>
    <cellStyle name="Moeda 2 2 2 3 2 2 2 3 2" xfId="3771" xr:uid="{00000000-0005-0000-0000-0000A3010000}"/>
    <cellStyle name="Moeda 2 2 2 3 2 2 2 3 2 2" xfId="10287" xr:uid="{00000000-0005-0000-0000-0000A4010000}"/>
    <cellStyle name="Moeda 2 2 2 3 2 2 2 3 3" xfId="6001" xr:uid="{00000000-0005-0000-0000-0000A5010000}"/>
    <cellStyle name="Moeda 2 2 2 3 2 2 2 3 3 2" xfId="12515" xr:uid="{00000000-0005-0000-0000-0000A6010000}"/>
    <cellStyle name="Moeda 2 2 2 3 2 2 2 3 4" xfId="8231" xr:uid="{00000000-0005-0000-0000-0000A7010000}"/>
    <cellStyle name="Moeda 2 2 2 3 2 2 2 4" xfId="2743" xr:uid="{00000000-0005-0000-0000-0000A8010000}"/>
    <cellStyle name="Moeda 2 2 2 3 2 2 2 4 2" xfId="9259" xr:uid="{00000000-0005-0000-0000-0000A9010000}"/>
    <cellStyle name="Moeda 2 2 2 3 2 2 2 5" xfId="4971" xr:uid="{00000000-0005-0000-0000-0000AA010000}"/>
    <cellStyle name="Moeda 2 2 2 3 2 2 2 5 2" xfId="11485" xr:uid="{00000000-0005-0000-0000-0000AB010000}"/>
    <cellStyle name="Moeda 2 2 2 3 2 2 2 6" xfId="7201" xr:uid="{00000000-0005-0000-0000-0000AC010000}"/>
    <cellStyle name="Moeda 2 2 2 3 2 2 3" xfId="943" xr:uid="{00000000-0005-0000-0000-0000AD010000}"/>
    <cellStyle name="Moeda 2 2 2 3 2 2 3 2" xfId="1971" xr:uid="{00000000-0005-0000-0000-0000AE010000}"/>
    <cellStyle name="Moeda 2 2 2 3 2 2 3 2 2" xfId="4029" xr:uid="{00000000-0005-0000-0000-0000AF010000}"/>
    <cellStyle name="Moeda 2 2 2 3 2 2 3 2 2 2" xfId="10545" xr:uid="{00000000-0005-0000-0000-0000B0010000}"/>
    <cellStyle name="Moeda 2 2 2 3 2 2 3 2 3" xfId="6259" xr:uid="{00000000-0005-0000-0000-0000B1010000}"/>
    <cellStyle name="Moeda 2 2 2 3 2 2 3 2 3 2" xfId="12773" xr:uid="{00000000-0005-0000-0000-0000B2010000}"/>
    <cellStyle name="Moeda 2 2 2 3 2 2 3 2 4" xfId="8489" xr:uid="{00000000-0005-0000-0000-0000B3010000}"/>
    <cellStyle name="Moeda 2 2 2 3 2 2 3 3" xfId="3001" xr:uid="{00000000-0005-0000-0000-0000B4010000}"/>
    <cellStyle name="Moeda 2 2 2 3 2 2 3 3 2" xfId="9517" xr:uid="{00000000-0005-0000-0000-0000B5010000}"/>
    <cellStyle name="Moeda 2 2 2 3 2 2 3 4" xfId="5231" xr:uid="{00000000-0005-0000-0000-0000B6010000}"/>
    <cellStyle name="Moeda 2 2 2 3 2 2 3 4 2" xfId="11745" xr:uid="{00000000-0005-0000-0000-0000B7010000}"/>
    <cellStyle name="Moeda 2 2 2 3 2 2 3 5" xfId="7461" xr:uid="{00000000-0005-0000-0000-0000B8010000}"/>
    <cellStyle name="Moeda 2 2 2 3 2 2 4" xfId="1457" xr:uid="{00000000-0005-0000-0000-0000B9010000}"/>
    <cellStyle name="Moeda 2 2 2 3 2 2 4 2" xfId="3515" xr:uid="{00000000-0005-0000-0000-0000BA010000}"/>
    <cellStyle name="Moeda 2 2 2 3 2 2 4 2 2" xfId="10031" xr:uid="{00000000-0005-0000-0000-0000BB010000}"/>
    <cellStyle name="Moeda 2 2 2 3 2 2 4 3" xfId="5745" xr:uid="{00000000-0005-0000-0000-0000BC010000}"/>
    <cellStyle name="Moeda 2 2 2 3 2 2 4 3 2" xfId="12259" xr:uid="{00000000-0005-0000-0000-0000BD010000}"/>
    <cellStyle name="Moeda 2 2 2 3 2 2 4 4" xfId="7975" xr:uid="{00000000-0005-0000-0000-0000BE010000}"/>
    <cellStyle name="Moeda 2 2 2 3 2 2 5" xfId="2487" xr:uid="{00000000-0005-0000-0000-0000BF010000}"/>
    <cellStyle name="Moeda 2 2 2 3 2 2 5 2" xfId="9003" xr:uid="{00000000-0005-0000-0000-0000C0010000}"/>
    <cellStyle name="Moeda 2 2 2 3 2 2 6" xfId="4629" xr:uid="{00000000-0005-0000-0000-0000C1010000}"/>
    <cellStyle name="Moeda 2 2 2 3 2 2 6 2" xfId="11143" xr:uid="{00000000-0005-0000-0000-0000C2010000}"/>
    <cellStyle name="Moeda 2 2 2 3 2 2 7" xfId="6859" xr:uid="{00000000-0005-0000-0000-0000C3010000}"/>
    <cellStyle name="Moeda 2 2 2 3 2 3" xfId="547" xr:uid="{00000000-0005-0000-0000-0000C4010000}"/>
    <cellStyle name="Moeda 2 2 2 3 2 3 2" xfId="1071" xr:uid="{00000000-0005-0000-0000-0000C5010000}"/>
    <cellStyle name="Moeda 2 2 2 3 2 3 2 2" xfId="2099" xr:uid="{00000000-0005-0000-0000-0000C6010000}"/>
    <cellStyle name="Moeda 2 2 2 3 2 3 2 2 2" xfId="4157" xr:uid="{00000000-0005-0000-0000-0000C7010000}"/>
    <cellStyle name="Moeda 2 2 2 3 2 3 2 2 2 2" xfId="10673" xr:uid="{00000000-0005-0000-0000-0000C8010000}"/>
    <cellStyle name="Moeda 2 2 2 3 2 3 2 2 3" xfId="6387" xr:uid="{00000000-0005-0000-0000-0000C9010000}"/>
    <cellStyle name="Moeda 2 2 2 3 2 3 2 2 3 2" xfId="12901" xr:uid="{00000000-0005-0000-0000-0000CA010000}"/>
    <cellStyle name="Moeda 2 2 2 3 2 3 2 2 4" xfId="8617" xr:uid="{00000000-0005-0000-0000-0000CB010000}"/>
    <cellStyle name="Moeda 2 2 2 3 2 3 2 3" xfId="3129" xr:uid="{00000000-0005-0000-0000-0000CC010000}"/>
    <cellStyle name="Moeda 2 2 2 3 2 3 2 3 2" xfId="9645" xr:uid="{00000000-0005-0000-0000-0000CD010000}"/>
    <cellStyle name="Moeda 2 2 2 3 2 3 2 4" xfId="5359" xr:uid="{00000000-0005-0000-0000-0000CE010000}"/>
    <cellStyle name="Moeda 2 2 2 3 2 3 2 4 2" xfId="11873" xr:uid="{00000000-0005-0000-0000-0000CF010000}"/>
    <cellStyle name="Moeda 2 2 2 3 2 3 2 5" xfId="7589" xr:uid="{00000000-0005-0000-0000-0000D0010000}"/>
    <cellStyle name="Moeda 2 2 2 3 2 3 3" xfId="1585" xr:uid="{00000000-0005-0000-0000-0000D1010000}"/>
    <cellStyle name="Moeda 2 2 2 3 2 3 3 2" xfId="3643" xr:uid="{00000000-0005-0000-0000-0000D2010000}"/>
    <cellStyle name="Moeda 2 2 2 3 2 3 3 2 2" xfId="10159" xr:uid="{00000000-0005-0000-0000-0000D3010000}"/>
    <cellStyle name="Moeda 2 2 2 3 2 3 3 3" xfId="5873" xr:uid="{00000000-0005-0000-0000-0000D4010000}"/>
    <cellStyle name="Moeda 2 2 2 3 2 3 3 3 2" xfId="12387" xr:uid="{00000000-0005-0000-0000-0000D5010000}"/>
    <cellStyle name="Moeda 2 2 2 3 2 3 3 4" xfId="8103" xr:uid="{00000000-0005-0000-0000-0000D6010000}"/>
    <cellStyle name="Moeda 2 2 2 3 2 3 4" xfId="2615" xr:uid="{00000000-0005-0000-0000-0000D7010000}"/>
    <cellStyle name="Moeda 2 2 2 3 2 3 4 2" xfId="9131" xr:uid="{00000000-0005-0000-0000-0000D8010000}"/>
    <cellStyle name="Moeda 2 2 2 3 2 3 5" xfId="4843" xr:uid="{00000000-0005-0000-0000-0000D9010000}"/>
    <cellStyle name="Moeda 2 2 2 3 2 3 5 2" xfId="11357" xr:uid="{00000000-0005-0000-0000-0000DA010000}"/>
    <cellStyle name="Moeda 2 2 2 3 2 3 6" xfId="7073" xr:uid="{00000000-0005-0000-0000-0000DB010000}"/>
    <cellStyle name="Moeda 2 2 2 3 2 4" xfId="815" xr:uid="{00000000-0005-0000-0000-0000DC010000}"/>
    <cellStyle name="Moeda 2 2 2 3 2 4 2" xfId="1843" xr:uid="{00000000-0005-0000-0000-0000DD010000}"/>
    <cellStyle name="Moeda 2 2 2 3 2 4 2 2" xfId="3901" xr:uid="{00000000-0005-0000-0000-0000DE010000}"/>
    <cellStyle name="Moeda 2 2 2 3 2 4 2 2 2" xfId="10417" xr:uid="{00000000-0005-0000-0000-0000DF010000}"/>
    <cellStyle name="Moeda 2 2 2 3 2 4 2 3" xfId="6131" xr:uid="{00000000-0005-0000-0000-0000E0010000}"/>
    <cellStyle name="Moeda 2 2 2 3 2 4 2 3 2" xfId="12645" xr:uid="{00000000-0005-0000-0000-0000E1010000}"/>
    <cellStyle name="Moeda 2 2 2 3 2 4 2 4" xfId="8361" xr:uid="{00000000-0005-0000-0000-0000E2010000}"/>
    <cellStyle name="Moeda 2 2 2 3 2 4 3" xfId="2873" xr:uid="{00000000-0005-0000-0000-0000E3010000}"/>
    <cellStyle name="Moeda 2 2 2 3 2 4 3 2" xfId="9389" xr:uid="{00000000-0005-0000-0000-0000E4010000}"/>
    <cellStyle name="Moeda 2 2 2 3 2 4 4" xfId="5103" xr:uid="{00000000-0005-0000-0000-0000E5010000}"/>
    <cellStyle name="Moeda 2 2 2 3 2 4 4 2" xfId="11617" xr:uid="{00000000-0005-0000-0000-0000E6010000}"/>
    <cellStyle name="Moeda 2 2 2 3 2 4 5" xfId="7333" xr:uid="{00000000-0005-0000-0000-0000E7010000}"/>
    <cellStyle name="Moeda 2 2 2 3 2 5" xfId="1329" xr:uid="{00000000-0005-0000-0000-0000E8010000}"/>
    <cellStyle name="Moeda 2 2 2 3 2 5 2" xfId="3387" xr:uid="{00000000-0005-0000-0000-0000E9010000}"/>
    <cellStyle name="Moeda 2 2 2 3 2 5 2 2" xfId="9903" xr:uid="{00000000-0005-0000-0000-0000EA010000}"/>
    <cellStyle name="Moeda 2 2 2 3 2 5 3" xfId="5617" xr:uid="{00000000-0005-0000-0000-0000EB010000}"/>
    <cellStyle name="Moeda 2 2 2 3 2 5 3 2" xfId="12131" xr:uid="{00000000-0005-0000-0000-0000EC010000}"/>
    <cellStyle name="Moeda 2 2 2 3 2 5 4" xfId="7847" xr:uid="{00000000-0005-0000-0000-0000ED010000}"/>
    <cellStyle name="Moeda 2 2 2 3 2 6" xfId="2359" xr:uid="{00000000-0005-0000-0000-0000EE010000}"/>
    <cellStyle name="Moeda 2 2 2 3 2 6 2" xfId="8875" xr:uid="{00000000-0005-0000-0000-0000EF010000}"/>
    <cellStyle name="Moeda 2 2 2 3 2 7" xfId="4501" xr:uid="{00000000-0005-0000-0000-0000F0010000}"/>
    <cellStyle name="Moeda 2 2 2 3 2 7 2" xfId="11015" xr:uid="{00000000-0005-0000-0000-0000F1010000}"/>
    <cellStyle name="Moeda 2 2 2 3 2 8" xfId="6731" xr:uid="{00000000-0005-0000-0000-0000F2010000}"/>
    <cellStyle name="Moeda 2 2 2 3 3" xfId="268" xr:uid="{00000000-0005-0000-0000-0000F3010000}"/>
    <cellStyle name="Moeda 2 2 2 3 3 2" xfId="611" xr:uid="{00000000-0005-0000-0000-0000F4010000}"/>
    <cellStyle name="Moeda 2 2 2 3 3 2 2" xfId="1135" xr:uid="{00000000-0005-0000-0000-0000F5010000}"/>
    <cellStyle name="Moeda 2 2 2 3 3 2 2 2" xfId="2163" xr:uid="{00000000-0005-0000-0000-0000F6010000}"/>
    <cellStyle name="Moeda 2 2 2 3 3 2 2 2 2" xfId="4221" xr:uid="{00000000-0005-0000-0000-0000F7010000}"/>
    <cellStyle name="Moeda 2 2 2 3 3 2 2 2 2 2" xfId="10737" xr:uid="{00000000-0005-0000-0000-0000F8010000}"/>
    <cellStyle name="Moeda 2 2 2 3 3 2 2 2 3" xfId="6451" xr:uid="{00000000-0005-0000-0000-0000F9010000}"/>
    <cellStyle name="Moeda 2 2 2 3 3 2 2 2 3 2" xfId="12965" xr:uid="{00000000-0005-0000-0000-0000FA010000}"/>
    <cellStyle name="Moeda 2 2 2 3 3 2 2 2 4" xfId="8681" xr:uid="{00000000-0005-0000-0000-0000FB010000}"/>
    <cellStyle name="Moeda 2 2 2 3 3 2 2 3" xfId="3193" xr:uid="{00000000-0005-0000-0000-0000FC010000}"/>
    <cellStyle name="Moeda 2 2 2 3 3 2 2 3 2" xfId="9709" xr:uid="{00000000-0005-0000-0000-0000FD010000}"/>
    <cellStyle name="Moeda 2 2 2 3 3 2 2 4" xfId="5423" xr:uid="{00000000-0005-0000-0000-0000FE010000}"/>
    <cellStyle name="Moeda 2 2 2 3 3 2 2 4 2" xfId="11937" xr:uid="{00000000-0005-0000-0000-0000FF010000}"/>
    <cellStyle name="Moeda 2 2 2 3 3 2 2 5" xfId="7653" xr:uid="{00000000-0005-0000-0000-000000020000}"/>
    <cellStyle name="Moeda 2 2 2 3 3 2 3" xfId="1649" xr:uid="{00000000-0005-0000-0000-000001020000}"/>
    <cellStyle name="Moeda 2 2 2 3 3 2 3 2" xfId="3707" xr:uid="{00000000-0005-0000-0000-000002020000}"/>
    <cellStyle name="Moeda 2 2 2 3 3 2 3 2 2" xfId="10223" xr:uid="{00000000-0005-0000-0000-000003020000}"/>
    <cellStyle name="Moeda 2 2 2 3 3 2 3 3" xfId="5937" xr:uid="{00000000-0005-0000-0000-000004020000}"/>
    <cellStyle name="Moeda 2 2 2 3 3 2 3 3 2" xfId="12451" xr:uid="{00000000-0005-0000-0000-000005020000}"/>
    <cellStyle name="Moeda 2 2 2 3 3 2 3 4" xfId="8167" xr:uid="{00000000-0005-0000-0000-000006020000}"/>
    <cellStyle name="Moeda 2 2 2 3 3 2 4" xfId="2679" xr:uid="{00000000-0005-0000-0000-000007020000}"/>
    <cellStyle name="Moeda 2 2 2 3 3 2 4 2" xfId="9195" xr:uid="{00000000-0005-0000-0000-000008020000}"/>
    <cellStyle name="Moeda 2 2 2 3 3 2 5" xfId="4907" xr:uid="{00000000-0005-0000-0000-000009020000}"/>
    <cellStyle name="Moeda 2 2 2 3 3 2 5 2" xfId="11421" xr:uid="{00000000-0005-0000-0000-00000A020000}"/>
    <cellStyle name="Moeda 2 2 2 3 3 2 6" xfId="7137" xr:uid="{00000000-0005-0000-0000-00000B020000}"/>
    <cellStyle name="Moeda 2 2 2 3 3 3" xfId="879" xr:uid="{00000000-0005-0000-0000-00000C020000}"/>
    <cellStyle name="Moeda 2 2 2 3 3 3 2" xfId="1907" xr:uid="{00000000-0005-0000-0000-00000D020000}"/>
    <cellStyle name="Moeda 2 2 2 3 3 3 2 2" xfId="3965" xr:uid="{00000000-0005-0000-0000-00000E020000}"/>
    <cellStyle name="Moeda 2 2 2 3 3 3 2 2 2" xfId="10481" xr:uid="{00000000-0005-0000-0000-00000F020000}"/>
    <cellStyle name="Moeda 2 2 2 3 3 3 2 3" xfId="6195" xr:uid="{00000000-0005-0000-0000-000010020000}"/>
    <cellStyle name="Moeda 2 2 2 3 3 3 2 3 2" xfId="12709" xr:uid="{00000000-0005-0000-0000-000011020000}"/>
    <cellStyle name="Moeda 2 2 2 3 3 3 2 4" xfId="8425" xr:uid="{00000000-0005-0000-0000-000012020000}"/>
    <cellStyle name="Moeda 2 2 2 3 3 3 3" xfId="2937" xr:uid="{00000000-0005-0000-0000-000013020000}"/>
    <cellStyle name="Moeda 2 2 2 3 3 3 3 2" xfId="9453" xr:uid="{00000000-0005-0000-0000-000014020000}"/>
    <cellStyle name="Moeda 2 2 2 3 3 3 4" xfId="5167" xr:uid="{00000000-0005-0000-0000-000015020000}"/>
    <cellStyle name="Moeda 2 2 2 3 3 3 4 2" xfId="11681" xr:uid="{00000000-0005-0000-0000-000016020000}"/>
    <cellStyle name="Moeda 2 2 2 3 3 3 5" xfId="7397" xr:uid="{00000000-0005-0000-0000-000017020000}"/>
    <cellStyle name="Moeda 2 2 2 3 3 4" xfId="1393" xr:uid="{00000000-0005-0000-0000-000018020000}"/>
    <cellStyle name="Moeda 2 2 2 3 3 4 2" xfId="3451" xr:uid="{00000000-0005-0000-0000-000019020000}"/>
    <cellStyle name="Moeda 2 2 2 3 3 4 2 2" xfId="9967" xr:uid="{00000000-0005-0000-0000-00001A020000}"/>
    <cellStyle name="Moeda 2 2 2 3 3 4 3" xfId="5681" xr:uid="{00000000-0005-0000-0000-00001B020000}"/>
    <cellStyle name="Moeda 2 2 2 3 3 4 3 2" xfId="12195" xr:uid="{00000000-0005-0000-0000-00001C020000}"/>
    <cellStyle name="Moeda 2 2 2 3 3 4 4" xfId="7911" xr:uid="{00000000-0005-0000-0000-00001D020000}"/>
    <cellStyle name="Moeda 2 2 2 3 3 5" xfId="2423" xr:uid="{00000000-0005-0000-0000-00001E020000}"/>
    <cellStyle name="Moeda 2 2 2 3 3 5 2" xfId="8939" xr:uid="{00000000-0005-0000-0000-00001F020000}"/>
    <cellStyle name="Moeda 2 2 2 3 3 6" xfId="4565" xr:uid="{00000000-0005-0000-0000-000020020000}"/>
    <cellStyle name="Moeda 2 2 2 3 3 6 2" xfId="11079" xr:uid="{00000000-0005-0000-0000-000021020000}"/>
    <cellStyle name="Moeda 2 2 2 3 3 7" xfId="6795" xr:uid="{00000000-0005-0000-0000-000022020000}"/>
    <cellStyle name="Moeda 2 2 2 3 4" xfId="453" xr:uid="{00000000-0005-0000-0000-000023020000}"/>
    <cellStyle name="Moeda 2 2 2 3 4 2" xfId="1007" xr:uid="{00000000-0005-0000-0000-000024020000}"/>
    <cellStyle name="Moeda 2 2 2 3 4 2 2" xfId="2035" xr:uid="{00000000-0005-0000-0000-000025020000}"/>
    <cellStyle name="Moeda 2 2 2 3 4 2 2 2" xfId="4093" xr:uid="{00000000-0005-0000-0000-000026020000}"/>
    <cellStyle name="Moeda 2 2 2 3 4 2 2 2 2" xfId="10609" xr:uid="{00000000-0005-0000-0000-000027020000}"/>
    <cellStyle name="Moeda 2 2 2 3 4 2 2 3" xfId="6323" xr:uid="{00000000-0005-0000-0000-000028020000}"/>
    <cellStyle name="Moeda 2 2 2 3 4 2 2 3 2" xfId="12837" xr:uid="{00000000-0005-0000-0000-000029020000}"/>
    <cellStyle name="Moeda 2 2 2 3 4 2 2 4" xfId="8553" xr:uid="{00000000-0005-0000-0000-00002A020000}"/>
    <cellStyle name="Moeda 2 2 2 3 4 2 3" xfId="3065" xr:uid="{00000000-0005-0000-0000-00002B020000}"/>
    <cellStyle name="Moeda 2 2 2 3 4 2 3 2" xfId="9581" xr:uid="{00000000-0005-0000-0000-00002C020000}"/>
    <cellStyle name="Moeda 2 2 2 3 4 2 4" xfId="5295" xr:uid="{00000000-0005-0000-0000-00002D020000}"/>
    <cellStyle name="Moeda 2 2 2 3 4 2 4 2" xfId="11809" xr:uid="{00000000-0005-0000-0000-00002E020000}"/>
    <cellStyle name="Moeda 2 2 2 3 4 2 5" xfId="7525" xr:uid="{00000000-0005-0000-0000-00002F020000}"/>
    <cellStyle name="Moeda 2 2 2 3 4 3" xfId="1521" xr:uid="{00000000-0005-0000-0000-000030020000}"/>
    <cellStyle name="Moeda 2 2 2 3 4 3 2" xfId="3579" xr:uid="{00000000-0005-0000-0000-000031020000}"/>
    <cellStyle name="Moeda 2 2 2 3 4 3 2 2" xfId="10095" xr:uid="{00000000-0005-0000-0000-000032020000}"/>
    <cellStyle name="Moeda 2 2 2 3 4 3 3" xfId="5809" xr:uid="{00000000-0005-0000-0000-000033020000}"/>
    <cellStyle name="Moeda 2 2 2 3 4 3 3 2" xfId="12323" xr:uid="{00000000-0005-0000-0000-000034020000}"/>
    <cellStyle name="Moeda 2 2 2 3 4 3 4" xfId="8039" xr:uid="{00000000-0005-0000-0000-000035020000}"/>
    <cellStyle name="Moeda 2 2 2 3 4 4" xfId="2551" xr:uid="{00000000-0005-0000-0000-000036020000}"/>
    <cellStyle name="Moeda 2 2 2 3 4 4 2" xfId="9067" xr:uid="{00000000-0005-0000-0000-000037020000}"/>
    <cellStyle name="Moeda 2 2 2 3 4 5" xfId="4749" xr:uid="{00000000-0005-0000-0000-000038020000}"/>
    <cellStyle name="Moeda 2 2 2 3 4 5 2" xfId="11263" xr:uid="{00000000-0005-0000-0000-000039020000}"/>
    <cellStyle name="Moeda 2 2 2 3 4 6" xfId="6979" xr:uid="{00000000-0005-0000-0000-00003A020000}"/>
    <cellStyle name="Moeda 2 2 2 3 5" xfId="751" xr:uid="{00000000-0005-0000-0000-00003B020000}"/>
    <cellStyle name="Moeda 2 2 2 3 5 2" xfId="1779" xr:uid="{00000000-0005-0000-0000-00003C020000}"/>
    <cellStyle name="Moeda 2 2 2 3 5 2 2" xfId="3837" xr:uid="{00000000-0005-0000-0000-00003D020000}"/>
    <cellStyle name="Moeda 2 2 2 3 5 2 2 2" xfId="10353" xr:uid="{00000000-0005-0000-0000-00003E020000}"/>
    <cellStyle name="Moeda 2 2 2 3 5 2 3" xfId="6067" xr:uid="{00000000-0005-0000-0000-00003F020000}"/>
    <cellStyle name="Moeda 2 2 2 3 5 2 3 2" xfId="12581" xr:uid="{00000000-0005-0000-0000-000040020000}"/>
    <cellStyle name="Moeda 2 2 2 3 5 2 4" xfId="8297" xr:uid="{00000000-0005-0000-0000-000041020000}"/>
    <cellStyle name="Moeda 2 2 2 3 5 3" xfId="2809" xr:uid="{00000000-0005-0000-0000-000042020000}"/>
    <cellStyle name="Moeda 2 2 2 3 5 3 2" xfId="9325" xr:uid="{00000000-0005-0000-0000-000043020000}"/>
    <cellStyle name="Moeda 2 2 2 3 5 4" xfId="5039" xr:uid="{00000000-0005-0000-0000-000044020000}"/>
    <cellStyle name="Moeda 2 2 2 3 5 4 2" xfId="11553" xr:uid="{00000000-0005-0000-0000-000045020000}"/>
    <cellStyle name="Moeda 2 2 2 3 5 5" xfId="7269" xr:uid="{00000000-0005-0000-0000-000046020000}"/>
    <cellStyle name="Moeda 2 2 2 3 6" xfId="1265" xr:uid="{00000000-0005-0000-0000-000047020000}"/>
    <cellStyle name="Moeda 2 2 2 3 6 2" xfId="3323" xr:uid="{00000000-0005-0000-0000-000048020000}"/>
    <cellStyle name="Moeda 2 2 2 3 6 2 2" xfId="9839" xr:uid="{00000000-0005-0000-0000-000049020000}"/>
    <cellStyle name="Moeda 2 2 2 3 6 3" xfId="5553" xr:uid="{00000000-0005-0000-0000-00004A020000}"/>
    <cellStyle name="Moeda 2 2 2 3 6 3 2" xfId="12067" xr:uid="{00000000-0005-0000-0000-00004B020000}"/>
    <cellStyle name="Moeda 2 2 2 3 6 4" xfId="7783" xr:uid="{00000000-0005-0000-0000-00004C020000}"/>
    <cellStyle name="Moeda 2 2 2 3 7" xfId="2295" xr:uid="{00000000-0005-0000-0000-00004D020000}"/>
    <cellStyle name="Moeda 2 2 2 3 7 2" xfId="8811" xr:uid="{00000000-0005-0000-0000-00004E020000}"/>
    <cellStyle name="Moeda 2 2 2 3 8" xfId="4407" xr:uid="{00000000-0005-0000-0000-00004F020000}"/>
    <cellStyle name="Moeda 2 2 2 3 8 2" xfId="10921" xr:uid="{00000000-0005-0000-0000-000050020000}"/>
    <cellStyle name="Moeda 2 2 2 3 9" xfId="6637" xr:uid="{00000000-0005-0000-0000-000051020000}"/>
    <cellStyle name="Moeda 2 2 2 4" xfId="172" xr:uid="{00000000-0005-0000-0000-000052020000}"/>
    <cellStyle name="Moeda 2 2 2 4 2" xfId="300" xr:uid="{00000000-0005-0000-0000-000053020000}"/>
    <cellStyle name="Moeda 2 2 2 4 2 2" xfId="643" xr:uid="{00000000-0005-0000-0000-000054020000}"/>
    <cellStyle name="Moeda 2 2 2 4 2 2 2" xfId="1167" xr:uid="{00000000-0005-0000-0000-000055020000}"/>
    <cellStyle name="Moeda 2 2 2 4 2 2 2 2" xfId="2195" xr:uid="{00000000-0005-0000-0000-000056020000}"/>
    <cellStyle name="Moeda 2 2 2 4 2 2 2 2 2" xfId="4253" xr:uid="{00000000-0005-0000-0000-000057020000}"/>
    <cellStyle name="Moeda 2 2 2 4 2 2 2 2 2 2" xfId="10769" xr:uid="{00000000-0005-0000-0000-000058020000}"/>
    <cellStyle name="Moeda 2 2 2 4 2 2 2 2 3" xfId="6483" xr:uid="{00000000-0005-0000-0000-000059020000}"/>
    <cellStyle name="Moeda 2 2 2 4 2 2 2 2 3 2" xfId="12997" xr:uid="{00000000-0005-0000-0000-00005A020000}"/>
    <cellStyle name="Moeda 2 2 2 4 2 2 2 2 4" xfId="8713" xr:uid="{00000000-0005-0000-0000-00005B020000}"/>
    <cellStyle name="Moeda 2 2 2 4 2 2 2 3" xfId="3225" xr:uid="{00000000-0005-0000-0000-00005C020000}"/>
    <cellStyle name="Moeda 2 2 2 4 2 2 2 3 2" xfId="9741" xr:uid="{00000000-0005-0000-0000-00005D020000}"/>
    <cellStyle name="Moeda 2 2 2 4 2 2 2 4" xfId="5455" xr:uid="{00000000-0005-0000-0000-00005E020000}"/>
    <cellStyle name="Moeda 2 2 2 4 2 2 2 4 2" xfId="11969" xr:uid="{00000000-0005-0000-0000-00005F020000}"/>
    <cellStyle name="Moeda 2 2 2 4 2 2 2 5" xfId="7685" xr:uid="{00000000-0005-0000-0000-000060020000}"/>
    <cellStyle name="Moeda 2 2 2 4 2 2 3" xfId="1681" xr:uid="{00000000-0005-0000-0000-000061020000}"/>
    <cellStyle name="Moeda 2 2 2 4 2 2 3 2" xfId="3739" xr:uid="{00000000-0005-0000-0000-000062020000}"/>
    <cellStyle name="Moeda 2 2 2 4 2 2 3 2 2" xfId="10255" xr:uid="{00000000-0005-0000-0000-000063020000}"/>
    <cellStyle name="Moeda 2 2 2 4 2 2 3 3" xfId="5969" xr:uid="{00000000-0005-0000-0000-000064020000}"/>
    <cellStyle name="Moeda 2 2 2 4 2 2 3 3 2" xfId="12483" xr:uid="{00000000-0005-0000-0000-000065020000}"/>
    <cellStyle name="Moeda 2 2 2 4 2 2 3 4" xfId="8199" xr:uid="{00000000-0005-0000-0000-000066020000}"/>
    <cellStyle name="Moeda 2 2 2 4 2 2 4" xfId="2711" xr:uid="{00000000-0005-0000-0000-000067020000}"/>
    <cellStyle name="Moeda 2 2 2 4 2 2 4 2" xfId="9227" xr:uid="{00000000-0005-0000-0000-000068020000}"/>
    <cellStyle name="Moeda 2 2 2 4 2 2 5" xfId="4939" xr:uid="{00000000-0005-0000-0000-000069020000}"/>
    <cellStyle name="Moeda 2 2 2 4 2 2 5 2" xfId="11453" xr:uid="{00000000-0005-0000-0000-00006A020000}"/>
    <cellStyle name="Moeda 2 2 2 4 2 2 6" xfId="7169" xr:uid="{00000000-0005-0000-0000-00006B020000}"/>
    <cellStyle name="Moeda 2 2 2 4 2 3" xfId="911" xr:uid="{00000000-0005-0000-0000-00006C020000}"/>
    <cellStyle name="Moeda 2 2 2 4 2 3 2" xfId="1939" xr:uid="{00000000-0005-0000-0000-00006D020000}"/>
    <cellStyle name="Moeda 2 2 2 4 2 3 2 2" xfId="3997" xr:uid="{00000000-0005-0000-0000-00006E020000}"/>
    <cellStyle name="Moeda 2 2 2 4 2 3 2 2 2" xfId="10513" xr:uid="{00000000-0005-0000-0000-00006F020000}"/>
    <cellStyle name="Moeda 2 2 2 4 2 3 2 3" xfId="6227" xr:uid="{00000000-0005-0000-0000-000070020000}"/>
    <cellStyle name="Moeda 2 2 2 4 2 3 2 3 2" xfId="12741" xr:uid="{00000000-0005-0000-0000-000071020000}"/>
    <cellStyle name="Moeda 2 2 2 4 2 3 2 4" xfId="8457" xr:uid="{00000000-0005-0000-0000-000072020000}"/>
    <cellStyle name="Moeda 2 2 2 4 2 3 3" xfId="2969" xr:uid="{00000000-0005-0000-0000-000073020000}"/>
    <cellStyle name="Moeda 2 2 2 4 2 3 3 2" xfId="9485" xr:uid="{00000000-0005-0000-0000-000074020000}"/>
    <cellStyle name="Moeda 2 2 2 4 2 3 4" xfId="5199" xr:uid="{00000000-0005-0000-0000-000075020000}"/>
    <cellStyle name="Moeda 2 2 2 4 2 3 4 2" xfId="11713" xr:uid="{00000000-0005-0000-0000-000076020000}"/>
    <cellStyle name="Moeda 2 2 2 4 2 3 5" xfId="7429" xr:uid="{00000000-0005-0000-0000-000077020000}"/>
    <cellStyle name="Moeda 2 2 2 4 2 4" xfId="1425" xr:uid="{00000000-0005-0000-0000-000078020000}"/>
    <cellStyle name="Moeda 2 2 2 4 2 4 2" xfId="3483" xr:uid="{00000000-0005-0000-0000-000079020000}"/>
    <cellStyle name="Moeda 2 2 2 4 2 4 2 2" xfId="9999" xr:uid="{00000000-0005-0000-0000-00007A020000}"/>
    <cellStyle name="Moeda 2 2 2 4 2 4 3" xfId="5713" xr:uid="{00000000-0005-0000-0000-00007B020000}"/>
    <cellStyle name="Moeda 2 2 2 4 2 4 3 2" xfId="12227" xr:uid="{00000000-0005-0000-0000-00007C020000}"/>
    <cellStyle name="Moeda 2 2 2 4 2 4 4" xfId="7943" xr:uid="{00000000-0005-0000-0000-00007D020000}"/>
    <cellStyle name="Moeda 2 2 2 4 2 5" xfId="2455" xr:uid="{00000000-0005-0000-0000-00007E020000}"/>
    <cellStyle name="Moeda 2 2 2 4 2 5 2" xfId="8971" xr:uid="{00000000-0005-0000-0000-00007F020000}"/>
    <cellStyle name="Moeda 2 2 2 4 2 6" xfId="4597" xr:uid="{00000000-0005-0000-0000-000080020000}"/>
    <cellStyle name="Moeda 2 2 2 4 2 6 2" xfId="11111" xr:uid="{00000000-0005-0000-0000-000081020000}"/>
    <cellStyle name="Moeda 2 2 2 4 2 7" xfId="6827" xr:uid="{00000000-0005-0000-0000-000082020000}"/>
    <cellStyle name="Moeda 2 2 2 4 3" xfId="515" xr:uid="{00000000-0005-0000-0000-000083020000}"/>
    <cellStyle name="Moeda 2 2 2 4 3 2" xfId="1039" xr:uid="{00000000-0005-0000-0000-000084020000}"/>
    <cellStyle name="Moeda 2 2 2 4 3 2 2" xfId="2067" xr:uid="{00000000-0005-0000-0000-000085020000}"/>
    <cellStyle name="Moeda 2 2 2 4 3 2 2 2" xfId="4125" xr:uid="{00000000-0005-0000-0000-000086020000}"/>
    <cellStyle name="Moeda 2 2 2 4 3 2 2 2 2" xfId="10641" xr:uid="{00000000-0005-0000-0000-000087020000}"/>
    <cellStyle name="Moeda 2 2 2 4 3 2 2 3" xfId="6355" xr:uid="{00000000-0005-0000-0000-000088020000}"/>
    <cellStyle name="Moeda 2 2 2 4 3 2 2 3 2" xfId="12869" xr:uid="{00000000-0005-0000-0000-000089020000}"/>
    <cellStyle name="Moeda 2 2 2 4 3 2 2 4" xfId="8585" xr:uid="{00000000-0005-0000-0000-00008A020000}"/>
    <cellStyle name="Moeda 2 2 2 4 3 2 3" xfId="3097" xr:uid="{00000000-0005-0000-0000-00008B020000}"/>
    <cellStyle name="Moeda 2 2 2 4 3 2 3 2" xfId="9613" xr:uid="{00000000-0005-0000-0000-00008C020000}"/>
    <cellStyle name="Moeda 2 2 2 4 3 2 4" xfId="5327" xr:uid="{00000000-0005-0000-0000-00008D020000}"/>
    <cellStyle name="Moeda 2 2 2 4 3 2 4 2" xfId="11841" xr:uid="{00000000-0005-0000-0000-00008E020000}"/>
    <cellStyle name="Moeda 2 2 2 4 3 2 5" xfId="7557" xr:uid="{00000000-0005-0000-0000-00008F020000}"/>
    <cellStyle name="Moeda 2 2 2 4 3 3" xfId="1553" xr:uid="{00000000-0005-0000-0000-000090020000}"/>
    <cellStyle name="Moeda 2 2 2 4 3 3 2" xfId="3611" xr:uid="{00000000-0005-0000-0000-000091020000}"/>
    <cellStyle name="Moeda 2 2 2 4 3 3 2 2" xfId="10127" xr:uid="{00000000-0005-0000-0000-000092020000}"/>
    <cellStyle name="Moeda 2 2 2 4 3 3 3" xfId="5841" xr:uid="{00000000-0005-0000-0000-000093020000}"/>
    <cellStyle name="Moeda 2 2 2 4 3 3 3 2" xfId="12355" xr:uid="{00000000-0005-0000-0000-000094020000}"/>
    <cellStyle name="Moeda 2 2 2 4 3 3 4" xfId="8071" xr:uid="{00000000-0005-0000-0000-000095020000}"/>
    <cellStyle name="Moeda 2 2 2 4 3 4" xfId="2583" xr:uid="{00000000-0005-0000-0000-000096020000}"/>
    <cellStyle name="Moeda 2 2 2 4 3 4 2" xfId="9099" xr:uid="{00000000-0005-0000-0000-000097020000}"/>
    <cellStyle name="Moeda 2 2 2 4 3 5" xfId="4811" xr:uid="{00000000-0005-0000-0000-000098020000}"/>
    <cellStyle name="Moeda 2 2 2 4 3 5 2" xfId="11325" xr:uid="{00000000-0005-0000-0000-000099020000}"/>
    <cellStyle name="Moeda 2 2 2 4 3 6" xfId="7041" xr:uid="{00000000-0005-0000-0000-00009A020000}"/>
    <cellStyle name="Moeda 2 2 2 4 4" xfId="783" xr:uid="{00000000-0005-0000-0000-00009B020000}"/>
    <cellStyle name="Moeda 2 2 2 4 4 2" xfId="1811" xr:uid="{00000000-0005-0000-0000-00009C020000}"/>
    <cellStyle name="Moeda 2 2 2 4 4 2 2" xfId="3869" xr:uid="{00000000-0005-0000-0000-00009D020000}"/>
    <cellStyle name="Moeda 2 2 2 4 4 2 2 2" xfId="10385" xr:uid="{00000000-0005-0000-0000-00009E020000}"/>
    <cellStyle name="Moeda 2 2 2 4 4 2 3" xfId="6099" xr:uid="{00000000-0005-0000-0000-00009F020000}"/>
    <cellStyle name="Moeda 2 2 2 4 4 2 3 2" xfId="12613" xr:uid="{00000000-0005-0000-0000-0000A0020000}"/>
    <cellStyle name="Moeda 2 2 2 4 4 2 4" xfId="8329" xr:uid="{00000000-0005-0000-0000-0000A1020000}"/>
    <cellStyle name="Moeda 2 2 2 4 4 3" xfId="2841" xr:uid="{00000000-0005-0000-0000-0000A2020000}"/>
    <cellStyle name="Moeda 2 2 2 4 4 3 2" xfId="9357" xr:uid="{00000000-0005-0000-0000-0000A3020000}"/>
    <cellStyle name="Moeda 2 2 2 4 4 4" xfId="5071" xr:uid="{00000000-0005-0000-0000-0000A4020000}"/>
    <cellStyle name="Moeda 2 2 2 4 4 4 2" xfId="11585" xr:uid="{00000000-0005-0000-0000-0000A5020000}"/>
    <cellStyle name="Moeda 2 2 2 4 4 5" xfId="7301" xr:uid="{00000000-0005-0000-0000-0000A6020000}"/>
    <cellStyle name="Moeda 2 2 2 4 5" xfId="1297" xr:uid="{00000000-0005-0000-0000-0000A7020000}"/>
    <cellStyle name="Moeda 2 2 2 4 5 2" xfId="3355" xr:uid="{00000000-0005-0000-0000-0000A8020000}"/>
    <cellStyle name="Moeda 2 2 2 4 5 2 2" xfId="9871" xr:uid="{00000000-0005-0000-0000-0000A9020000}"/>
    <cellStyle name="Moeda 2 2 2 4 5 3" xfId="5585" xr:uid="{00000000-0005-0000-0000-0000AA020000}"/>
    <cellStyle name="Moeda 2 2 2 4 5 3 2" xfId="12099" xr:uid="{00000000-0005-0000-0000-0000AB020000}"/>
    <cellStyle name="Moeda 2 2 2 4 5 4" xfId="7815" xr:uid="{00000000-0005-0000-0000-0000AC020000}"/>
    <cellStyle name="Moeda 2 2 2 4 6" xfId="2327" xr:uid="{00000000-0005-0000-0000-0000AD020000}"/>
    <cellStyle name="Moeda 2 2 2 4 6 2" xfId="8843" xr:uid="{00000000-0005-0000-0000-0000AE020000}"/>
    <cellStyle name="Moeda 2 2 2 4 7" xfId="4469" xr:uid="{00000000-0005-0000-0000-0000AF020000}"/>
    <cellStyle name="Moeda 2 2 2 4 7 2" xfId="10983" xr:uid="{00000000-0005-0000-0000-0000B0020000}"/>
    <cellStyle name="Moeda 2 2 2 4 8" xfId="6699" xr:uid="{00000000-0005-0000-0000-0000B1020000}"/>
    <cellStyle name="Moeda 2 2 2 5" xfId="236" xr:uid="{00000000-0005-0000-0000-0000B2020000}"/>
    <cellStyle name="Moeda 2 2 2 5 2" xfId="579" xr:uid="{00000000-0005-0000-0000-0000B3020000}"/>
    <cellStyle name="Moeda 2 2 2 5 2 2" xfId="1103" xr:uid="{00000000-0005-0000-0000-0000B4020000}"/>
    <cellStyle name="Moeda 2 2 2 5 2 2 2" xfId="2131" xr:uid="{00000000-0005-0000-0000-0000B5020000}"/>
    <cellStyle name="Moeda 2 2 2 5 2 2 2 2" xfId="4189" xr:uid="{00000000-0005-0000-0000-0000B6020000}"/>
    <cellStyle name="Moeda 2 2 2 5 2 2 2 2 2" xfId="10705" xr:uid="{00000000-0005-0000-0000-0000B7020000}"/>
    <cellStyle name="Moeda 2 2 2 5 2 2 2 3" xfId="6419" xr:uid="{00000000-0005-0000-0000-0000B8020000}"/>
    <cellStyle name="Moeda 2 2 2 5 2 2 2 3 2" xfId="12933" xr:uid="{00000000-0005-0000-0000-0000B9020000}"/>
    <cellStyle name="Moeda 2 2 2 5 2 2 2 4" xfId="8649" xr:uid="{00000000-0005-0000-0000-0000BA020000}"/>
    <cellStyle name="Moeda 2 2 2 5 2 2 3" xfId="3161" xr:uid="{00000000-0005-0000-0000-0000BB020000}"/>
    <cellStyle name="Moeda 2 2 2 5 2 2 3 2" xfId="9677" xr:uid="{00000000-0005-0000-0000-0000BC020000}"/>
    <cellStyle name="Moeda 2 2 2 5 2 2 4" xfId="5391" xr:uid="{00000000-0005-0000-0000-0000BD020000}"/>
    <cellStyle name="Moeda 2 2 2 5 2 2 4 2" xfId="11905" xr:uid="{00000000-0005-0000-0000-0000BE020000}"/>
    <cellStyle name="Moeda 2 2 2 5 2 2 5" xfId="7621" xr:uid="{00000000-0005-0000-0000-0000BF020000}"/>
    <cellStyle name="Moeda 2 2 2 5 2 3" xfId="1617" xr:uid="{00000000-0005-0000-0000-0000C0020000}"/>
    <cellStyle name="Moeda 2 2 2 5 2 3 2" xfId="3675" xr:uid="{00000000-0005-0000-0000-0000C1020000}"/>
    <cellStyle name="Moeda 2 2 2 5 2 3 2 2" xfId="10191" xr:uid="{00000000-0005-0000-0000-0000C2020000}"/>
    <cellStyle name="Moeda 2 2 2 5 2 3 3" xfId="5905" xr:uid="{00000000-0005-0000-0000-0000C3020000}"/>
    <cellStyle name="Moeda 2 2 2 5 2 3 3 2" xfId="12419" xr:uid="{00000000-0005-0000-0000-0000C4020000}"/>
    <cellStyle name="Moeda 2 2 2 5 2 3 4" xfId="8135" xr:uid="{00000000-0005-0000-0000-0000C5020000}"/>
    <cellStyle name="Moeda 2 2 2 5 2 4" xfId="2647" xr:uid="{00000000-0005-0000-0000-0000C6020000}"/>
    <cellStyle name="Moeda 2 2 2 5 2 4 2" xfId="9163" xr:uid="{00000000-0005-0000-0000-0000C7020000}"/>
    <cellStyle name="Moeda 2 2 2 5 2 5" xfId="4875" xr:uid="{00000000-0005-0000-0000-0000C8020000}"/>
    <cellStyle name="Moeda 2 2 2 5 2 5 2" xfId="11389" xr:uid="{00000000-0005-0000-0000-0000C9020000}"/>
    <cellStyle name="Moeda 2 2 2 5 2 6" xfId="7105" xr:uid="{00000000-0005-0000-0000-0000CA020000}"/>
    <cellStyle name="Moeda 2 2 2 5 3" xfId="847" xr:uid="{00000000-0005-0000-0000-0000CB020000}"/>
    <cellStyle name="Moeda 2 2 2 5 3 2" xfId="1875" xr:uid="{00000000-0005-0000-0000-0000CC020000}"/>
    <cellStyle name="Moeda 2 2 2 5 3 2 2" xfId="3933" xr:uid="{00000000-0005-0000-0000-0000CD020000}"/>
    <cellStyle name="Moeda 2 2 2 5 3 2 2 2" xfId="10449" xr:uid="{00000000-0005-0000-0000-0000CE020000}"/>
    <cellStyle name="Moeda 2 2 2 5 3 2 3" xfId="6163" xr:uid="{00000000-0005-0000-0000-0000CF020000}"/>
    <cellStyle name="Moeda 2 2 2 5 3 2 3 2" xfId="12677" xr:uid="{00000000-0005-0000-0000-0000D0020000}"/>
    <cellStyle name="Moeda 2 2 2 5 3 2 4" xfId="8393" xr:uid="{00000000-0005-0000-0000-0000D1020000}"/>
    <cellStyle name="Moeda 2 2 2 5 3 3" xfId="2905" xr:uid="{00000000-0005-0000-0000-0000D2020000}"/>
    <cellStyle name="Moeda 2 2 2 5 3 3 2" xfId="9421" xr:uid="{00000000-0005-0000-0000-0000D3020000}"/>
    <cellStyle name="Moeda 2 2 2 5 3 4" xfId="5135" xr:uid="{00000000-0005-0000-0000-0000D4020000}"/>
    <cellStyle name="Moeda 2 2 2 5 3 4 2" xfId="11649" xr:uid="{00000000-0005-0000-0000-0000D5020000}"/>
    <cellStyle name="Moeda 2 2 2 5 3 5" xfId="7365" xr:uid="{00000000-0005-0000-0000-0000D6020000}"/>
    <cellStyle name="Moeda 2 2 2 5 4" xfId="1361" xr:uid="{00000000-0005-0000-0000-0000D7020000}"/>
    <cellStyle name="Moeda 2 2 2 5 4 2" xfId="3419" xr:uid="{00000000-0005-0000-0000-0000D8020000}"/>
    <cellStyle name="Moeda 2 2 2 5 4 2 2" xfId="9935" xr:uid="{00000000-0005-0000-0000-0000D9020000}"/>
    <cellStyle name="Moeda 2 2 2 5 4 3" xfId="5649" xr:uid="{00000000-0005-0000-0000-0000DA020000}"/>
    <cellStyle name="Moeda 2 2 2 5 4 3 2" xfId="12163" xr:uid="{00000000-0005-0000-0000-0000DB020000}"/>
    <cellStyle name="Moeda 2 2 2 5 4 4" xfId="7879" xr:uid="{00000000-0005-0000-0000-0000DC020000}"/>
    <cellStyle name="Moeda 2 2 2 5 5" xfId="2391" xr:uid="{00000000-0005-0000-0000-0000DD020000}"/>
    <cellStyle name="Moeda 2 2 2 5 5 2" xfId="8907" xr:uid="{00000000-0005-0000-0000-0000DE020000}"/>
    <cellStyle name="Moeda 2 2 2 5 6" xfId="4533" xr:uid="{00000000-0005-0000-0000-0000DF020000}"/>
    <cellStyle name="Moeda 2 2 2 5 6 2" xfId="11047" xr:uid="{00000000-0005-0000-0000-0000E0020000}"/>
    <cellStyle name="Moeda 2 2 2 5 7" xfId="6763" xr:uid="{00000000-0005-0000-0000-0000E1020000}"/>
    <cellStyle name="Moeda 2 2 2 6" xfId="379" xr:uid="{00000000-0005-0000-0000-0000E2020000}"/>
    <cellStyle name="Moeda 2 2 2 6 2" xfId="975" xr:uid="{00000000-0005-0000-0000-0000E3020000}"/>
    <cellStyle name="Moeda 2 2 2 6 2 2" xfId="2003" xr:uid="{00000000-0005-0000-0000-0000E4020000}"/>
    <cellStyle name="Moeda 2 2 2 6 2 2 2" xfId="4061" xr:uid="{00000000-0005-0000-0000-0000E5020000}"/>
    <cellStyle name="Moeda 2 2 2 6 2 2 2 2" xfId="10577" xr:uid="{00000000-0005-0000-0000-0000E6020000}"/>
    <cellStyle name="Moeda 2 2 2 6 2 2 3" xfId="6291" xr:uid="{00000000-0005-0000-0000-0000E7020000}"/>
    <cellStyle name="Moeda 2 2 2 6 2 2 3 2" xfId="12805" xr:uid="{00000000-0005-0000-0000-0000E8020000}"/>
    <cellStyle name="Moeda 2 2 2 6 2 2 4" xfId="8521" xr:uid="{00000000-0005-0000-0000-0000E9020000}"/>
    <cellStyle name="Moeda 2 2 2 6 2 3" xfId="3033" xr:uid="{00000000-0005-0000-0000-0000EA020000}"/>
    <cellStyle name="Moeda 2 2 2 6 2 3 2" xfId="9549" xr:uid="{00000000-0005-0000-0000-0000EB020000}"/>
    <cellStyle name="Moeda 2 2 2 6 2 4" xfId="5263" xr:uid="{00000000-0005-0000-0000-0000EC020000}"/>
    <cellStyle name="Moeda 2 2 2 6 2 4 2" xfId="11777" xr:uid="{00000000-0005-0000-0000-0000ED020000}"/>
    <cellStyle name="Moeda 2 2 2 6 2 5" xfId="7493" xr:uid="{00000000-0005-0000-0000-0000EE020000}"/>
    <cellStyle name="Moeda 2 2 2 6 3" xfId="1489" xr:uid="{00000000-0005-0000-0000-0000EF020000}"/>
    <cellStyle name="Moeda 2 2 2 6 3 2" xfId="3547" xr:uid="{00000000-0005-0000-0000-0000F0020000}"/>
    <cellStyle name="Moeda 2 2 2 6 3 2 2" xfId="10063" xr:uid="{00000000-0005-0000-0000-0000F1020000}"/>
    <cellStyle name="Moeda 2 2 2 6 3 3" xfId="5777" xr:uid="{00000000-0005-0000-0000-0000F2020000}"/>
    <cellStyle name="Moeda 2 2 2 6 3 3 2" xfId="12291" xr:uid="{00000000-0005-0000-0000-0000F3020000}"/>
    <cellStyle name="Moeda 2 2 2 6 3 4" xfId="8007" xr:uid="{00000000-0005-0000-0000-0000F4020000}"/>
    <cellStyle name="Moeda 2 2 2 6 4" xfId="2519" xr:uid="{00000000-0005-0000-0000-0000F5020000}"/>
    <cellStyle name="Moeda 2 2 2 6 4 2" xfId="9035" xr:uid="{00000000-0005-0000-0000-0000F6020000}"/>
    <cellStyle name="Moeda 2 2 2 6 5" xfId="4675" xr:uid="{00000000-0005-0000-0000-0000F7020000}"/>
    <cellStyle name="Moeda 2 2 2 6 5 2" xfId="11189" xr:uid="{00000000-0005-0000-0000-0000F8020000}"/>
    <cellStyle name="Moeda 2 2 2 6 6" xfId="6905" xr:uid="{00000000-0005-0000-0000-0000F9020000}"/>
    <cellStyle name="Moeda 2 2 2 7" xfId="719" xr:uid="{00000000-0005-0000-0000-0000FA020000}"/>
    <cellStyle name="Moeda 2 2 2 7 2" xfId="1747" xr:uid="{00000000-0005-0000-0000-0000FB020000}"/>
    <cellStyle name="Moeda 2 2 2 7 2 2" xfId="3805" xr:uid="{00000000-0005-0000-0000-0000FC020000}"/>
    <cellStyle name="Moeda 2 2 2 7 2 2 2" xfId="10321" xr:uid="{00000000-0005-0000-0000-0000FD020000}"/>
    <cellStyle name="Moeda 2 2 2 7 2 3" xfId="6035" xr:uid="{00000000-0005-0000-0000-0000FE020000}"/>
    <cellStyle name="Moeda 2 2 2 7 2 3 2" xfId="12549" xr:uid="{00000000-0005-0000-0000-0000FF020000}"/>
    <cellStyle name="Moeda 2 2 2 7 2 4" xfId="8265" xr:uid="{00000000-0005-0000-0000-000000030000}"/>
    <cellStyle name="Moeda 2 2 2 7 3" xfId="2777" xr:uid="{00000000-0005-0000-0000-000001030000}"/>
    <cellStyle name="Moeda 2 2 2 7 3 2" xfId="9293" xr:uid="{00000000-0005-0000-0000-000002030000}"/>
    <cellStyle name="Moeda 2 2 2 7 4" xfId="5007" xr:uid="{00000000-0005-0000-0000-000003030000}"/>
    <cellStyle name="Moeda 2 2 2 7 4 2" xfId="11521" xr:uid="{00000000-0005-0000-0000-000004030000}"/>
    <cellStyle name="Moeda 2 2 2 7 5" xfId="7237" xr:uid="{00000000-0005-0000-0000-000005030000}"/>
    <cellStyle name="Moeda 2 2 2 8" xfId="1233" xr:uid="{00000000-0005-0000-0000-000006030000}"/>
    <cellStyle name="Moeda 2 2 2 8 2" xfId="3291" xr:uid="{00000000-0005-0000-0000-000007030000}"/>
    <cellStyle name="Moeda 2 2 2 8 2 2" xfId="9807" xr:uid="{00000000-0005-0000-0000-000008030000}"/>
    <cellStyle name="Moeda 2 2 2 8 3" xfId="5521" xr:uid="{00000000-0005-0000-0000-000009030000}"/>
    <cellStyle name="Moeda 2 2 2 8 3 2" xfId="12035" xr:uid="{00000000-0005-0000-0000-00000A030000}"/>
    <cellStyle name="Moeda 2 2 2 8 4" xfId="7751" xr:uid="{00000000-0005-0000-0000-00000B030000}"/>
    <cellStyle name="Moeda 2 2 2 9" xfId="2263" xr:uid="{00000000-0005-0000-0000-00000C030000}"/>
    <cellStyle name="Moeda 2 2 2 9 2" xfId="8779" xr:uid="{00000000-0005-0000-0000-00000D030000}"/>
    <cellStyle name="Moeda 2 2 3" xfId="63" xr:uid="{00000000-0005-0000-0000-00000E030000}"/>
    <cellStyle name="Moeda 2 2 3 10" xfId="6590" xr:uid="{00000000-0005-0000-0000-00000F030000}"/>
    <cellStyle name="Moeda 2 2 3 2" xfId="137" xr:uid="{00000000-0005-0000-0000-000010030000}"/>
    <cellStyle name="Moeda 2 2 3 2 2" xfId="214" xr:uid="{00000000-0005-0000-0000-000011030000}"/>
    <cellStyle name="Moeda 2 2 3 2 2 2" xfId="342" xr:uid="{00000000-0005-0000-0000-000012030000}"/>
    <cellStyle name="Moeda 2 2 3 2 2 2 2" xfId="685" xr:uid="{00000000-0005-0000-0000-000013030000}"/>
    <cellStyle name="Moeda 2 2 3 2 2 2 2 2" xfId="1209" xr:uid="{00000000-0005-0000-0000-000014030000}"/>
    <cellStyle name="Moeda 2 2 3 2 2 2 2 2 2" xfId="2237" xr:uid="{00000000-0005-0000-0000-000015030000}"/>
    <cellStyle name="Moeda 2 2 3 2 2 2 2 2 2 2" xfId="4295" xr:uid="{00000000-0005-0000-0000-000016030000}"/>
    <cellStyle name="Moeda 2 2 3 2 2 2 2 2 2 2 2" xfId="10811" xr:uid="{00000000-0005-0000-0000-000017030000}"/>
    <cellStyle name="Moeda 2 2 3 2 2 2 2 2 2 3" xfId="6525" xr:uid="{00000000-0005-0000-0000-000018030000}"/>
    <cellStyle name="Moeda 2 2 3 2 2 2 2 2 2 3 2" xfId="13039" xr:uid="{00000000-0005-0000-0000-000019030000}"/>
    <cellStyle name="Moeda 2 2 3 2 2 2 2 2 2 4" xfId="8755" xr:uid="{00000000-0005-0000-0000-00001A030000}"/>
    <cellStyle name="Moeda 2 2 3 2 2 2 2 2 3" xfId="3267" xr:uid="{00000000-0005-0000-0000-00001B030000}"/>
    <cellStyle name="Moeda 2 2 3 2 2 2 2 2 3 2" xfId="9783" xr:uid="{00000000-0005-0000-0000-00001C030000}"/>
    <cellStyle name="Moeda 2 2 3 2 2 2 2 2 4" xfId="5497" xr:uid="{00000000-0005-0000-0000-00001D030000}"/>
    <cellStyle name="Moeda 2 2 3 2 2 2 2 2 4 2" xfId="12011" xr:uid="{00000000-0005-0000-0000-00001E030000}"/>
    <cellStyle name="Moeda 2 2 3 2 2 2 2 2 5" xfId="7727" xr:uid="{00000000-0005-0000-0000-00001F030000}"/>
    <cellStyle name="Moeda 2 2 3 2 2 2 2 3" xfId="1723" xr:uid="{00000000-0005-0000-0000-000020030000}"/>
    <cellStyle name="Moeda 2 2 3 2 2 2 2 3 2" xfId="3781" xr:uid="{00000000-0005-0000-0000-000021030000}"/>
    <cellStyle name="Moeda 2 2 3 2 2 2 2 3 2 2" xfId="10297" xr:uid="{00000000-0005-0000-0000-000022030000}"/>
    <cellStyle name="Moeda 2 2 3 2 2 2 2 3 3" xfId="6011" xr:uid="{00000000-0005-0000-0000-000023030000}"/>
    <cellStyle name="Moeda 2 2 3 2 2 2 2 3 3 2" xfId="12525" xr:uid="{00000000-0005-0000-0000-000024030000}"/>
    <cellStyle name="Moeda 2 2 3 2 2 2 2 3 4" xfId="8241" xr:uid="{00000000-0005-0000-0000-000025030000}"/>
    <cellStyle name="Moeda 2 2 3 2 2 2 2 4" xfId="2753" xr:uid="{00000000-0005-0000-0000-000026030000}"/>
    <cellStyle name="Moeda 2 2 3 2 2 2 2 4 2" xfId="9269" xr:uid="{00000000-0005-0000-0000-000027030000}"/>
    <cellStyle name="Moeda 2 2 3 2 2 2 2 5" xfId="4981" xr:uid="{00000000-0005-0000-0000-000028030000}"/>
    <cellStyle name="Moeda 2 2 3 2 2 2 2 5 2" xfId="11495" xr:uid="{00000000-0005-0000-0000-000029030000}"/>
    <cellStyle name="Moeda 2 2 3 2 2 2 2 6" xfId="7211" xr:uid="{00000000-0005-0000-0000-00002A030000}"/>
    <cellStyle name="Moeda 2 2 3 2 2 2 3" xfId="953" xr:uid="{00000000-0005-0000-0000-00002B030000}"/>
    <cellStyle name="Moeda 2 2 3 2 2 2 3 2" xfId="1981" xr:uid="{00000000-0005-0000-0000-00002C030000}"/>
    <cellStyle name="Moeda 2 2 3 2 2 2 3 2 2" xfId="4039" xr:uid="{00000000-0005-0000-0000-00002D030000}"/>
    <cellStyle name="Moeda 2 2 3 2 2 2 3 2 2 2" xfId="10555" xr:uid="{00000000-0005-0000-0000-00002E030000}"/>
    <cellStyle name="Moeda 2 2 3 2 2 2 3 2 3" xfId="6269" xr:uid="{00000000-0005-0000-0000-00002F030000}"/>
    <cellStyle name="Moeda 2 2 3 2 2 2 3 2 3 2" xfId="12783" xr:uid="{00000000-0005-0000-0000-000030030000}"/>
    <cellStyle name="Moeda 2 2 3 2 2 2 3 2 4" xfId="8499" xr:uid="{00000000-0005-0000-0000-000031030000}"/>
    <cellStyle name="Moeda 2 2 3 2 2 2 3 3" xfId="3011" xr:uid="{00000000-0005-0000-0000-000032030000}"/>
    <cellStyle name="Moeda 2 2 3 2 2 2 3 3 2" xfId="9527" xr:uid="{00000000-0005-0000-0000-000033030000}"/>
    <cellStyle name="Moeda 2 2 3 2 2 2 3 4" xfId="5241" xr:uid="{00000000-0005-0000-0000-000034030000}"/>
    <cellStyle name="Moeda 2 2 3 2 2 2 3 4 2" xfId="11755" xr:uid="{00000000-0005-0000-0000-000035030000}"/>
    <cellStyle name="Moeda 2 2 3 2 2 2 3 5" xfId="7471" xr:uid="{00000000-0005-0000-0000-000036030000}"/>
    <cellStyle name="Moeda 2 2 3 2 2 2 4" xfId="1467" xr:uid="{00000000-0005-0000-0000-000037030000}"/>
    <cellStyle name="Moeda 2 2 3 2 2 2 4 2" xfId="3525" xr:uid="{00000000-0005-0000-0000-000038030000}"/>
    <cellStyle name="Moeda 2 2 3 2 2 2 4 2 2" xfId="10041" xr:uid="{00000000-0005-0000-0000-000039030000}"/>
    <cellStyle name="Moeda 2 2 3 2 2 2 4 3" xfId="5755" xr:uid="{00000000-0005-0000-0000-00003A030000}"/>
    <cellStyle name="Moeda 2 2 3 2 2 2 4 3 2" xfId="12269" xr:uid="{00000000-0005-0000-0000-00003B030000}"/>
    <cellStyle name="Moeda 2 2 3 2 2 2 4 4" xfId="7985" xr:uid="{00000000-0005-0000-0000-00003C030000}"/>
    <cellStyle name="Moeda 2 2 3 2 2 2 5" xfId="2497" xr:uid="{00000000-0005-0000-0000-00003D030000}"/>
    <cellStyle name="Moeda 2 2 3 2 2 2 5 2" xfId="9013" xr:uid="{00000000-0005-0000-0000-00003E030000}"/>
    <cellStyle name="Moeda 2 2 3 2 2 2 6" xfId="4639" xr:uid="{00000000-0005-0000-0000-00003F030000}"/>
    <cellStyle name="Moeda 2 2 3 2 2 2 6 2" xfId="11153" xr:uid="{00000000-0005-0000-0000-000040030000}"/>
    <cellStyle name="Moeda 2 2 3 2 2 2 7" xfId="6869" xr:uid="{00000000-0005-0000-0000-000041030000}"/>
    <cellStyle name="Moeda 2 2 3 2 2 3" xfId="557" xr:uid="{00000000-0005-0000-0000-000042030000}"/>
    <cellStyle name="Moeda 2 2 3 2 2 3 2" xfId="1081" xr:uid="{00000000-0005-0000-0000-000043030000}"/>
    <cellStyle name="Moeda 2 2 3 2 2 3 2 2" xfId="2109" xr:uid="{00000000-0005-0000-0000-000044030000}"/>
    <cellStyle name="Moeda 2 2 3 2 2 3 2 2 2" xfId="4167" xr:uid="{00000000-0005-0000-0000-000045030000}"/>
    <cellStyle name="Moeda 2 2 3 2 2 3 2 2 2 2" xfId="10683" xr:uid="{00000000-0005-0000-0000-000046030000}"/>
    <cellStyle name="Moeda 2 2 3 2 2 3 2 2 3" xfId="6397" xr:uid="{00000000-0005-0000-0000-000047030000}"/>
    <cellStyle name="Moeda 2 2 3 2 2 3 2 2 3 2" xfId="12911" xr:uid="{00000000-0005-0000-0000-000048030000}"/>
    <cellStyle name="Moeda 2 2 3 2 2 3 2 2 4" xfId="8627" xr:uid="{00000000-0005-0000-0000-000049030000}"/>
    <cellStyle name="Moeda 2 2 3 2 2 3 2 3" xfId="3139" xr:uid="{00000000-0005-0000-0000-00004A030000}"/>
    <cellStyle name="Moeda 2 2 3 2 2 3 2 3 2" xfId="9655" xr:uid="{00000000-0005-0000-0000-00004B030000}"/>
    <cellStyle name="Moeda 2 2 3 2 2 3 2 4" xfId="5369" xr:uid="{00000000-0005-0000-0000-00004C030000}"/>
    <cellStyle name="Moeda 2 2 3 2 2 3 2 4 2" xfId="11883" xr:uid="{00000000-0005-0000-0000-00004D030000}"/>
    <cellStyle name="Moeda 2 2 3 2 2 3 2 5" xfId="7599" xr:uid="{00000000-0005-0000-0000-00004E030000}"/>
    <cellStyle name="Moeda 2 2 3 2 2 3 3" xfId="1595" xr:uid="{00000000-0005-0000-0000-00004F030000}"/>
    <cellStyle name="Moeda 2 2 3 2 2 3 3 2" xfId="3653" xr:uid="{00000000-0005-0000-0000-000050030000}"/>
    <cellStyle name="Moeda 2 2 3 2 2 3 3 2 2" xfId="10169" xr:uid="{00000000-0005-0000-0000-000051030000}"/>
    <cellStyle name="Moeda 2 2 3 2 2 3 3 3" xfId="5883" xr:uid="{00000000-0005-0000-0000-000052030000}"/>
    <cellStyle name="Moeda 2 2 3 2 2 3 3 3 2" xfId="12397" xr:uid="{00000000-0005-0000-0000-000053030000}"/>
    <cellStyle name="Moeda 2 2 3 2 2 3 3 4" xfId="8113" xr:uid="{00000000-0005-0000-0000-000054030000}"/>
    <cellStyle name="Moeda 2 2 3 2 2 3 4" xfId="2625" xr:uid="{00000000-0005-0000-0000-000055030000}"/>
    <cellStyle name="Moeda 2 2 3 2 2 3 4 2" xfId="9141" xr:uid="{00000000-0005-0000-0000-000056030000}"/>
    <cellStyle name="Moeda 2 2 3 2 2 3 5" xfId="4853" xr:uid="{00000000-0005-0000-0000-000057030000}"/>
    <cellStyle name="Moeda 2 2 3 2 2 3 5 2" xfId="11367" xr:uid="{00000000-0005-0000-0000-000058030000}"/>
    <cellStyle name="Moeda 2 2 3 2 2 3 6" xfId="7083" xr:uid="{00000000-0005-0000-0000-000059030000}"/>
    <cellStyle name="Moeda 2 2 3 2 2 4" xfId="825" xr:uid="{00000000-0005-0000-0000-00005A030000}"/>
    <cellStyle name="Moeda 2 2 3 2 2 4 2" xfId="1853" xr:uid="{00000000-0005-0000-0000-00005B030000}"/>
    <cellStyle name="Moeda 2 2 3 2 2 4 2 2" xfId="3911" xr:uid="{00000000-0005-0000-0000-00005C030000}"/>
    <cellStyle name="Moeda 2 2 3 2 2 4 2 2 2" xfId="10427" xr:uid="{00000000-0005-0000-0000-00005D030000}"/>
    <cellStyle name="Moeda 2 2 3 2 2 4 2 3" xfId="6141" xr:uid="{00000000-0005-0000-0000-00005E030000}"/>
    <cellStyle name="Moeda 2 2 3 2 2 4 2 3 2" xfId="12655" xr:uid="{00000000-0005-0000-0000-00005F030000}"/>
    <cellStyle name="Moeda 2 2 3 2 2 4 2 4" xfId="8371" xr:uid="{00000000-0005-0000-0000-000060030000}"/>
    <cellStyle name="Moeda 2 2 3 2 2 4 3" xfId="2883" xr:uid="{00000000-0005-0000-0000-000061030000}"/>
    <cellStyle name="Moeda 2 2 3 2 2 4 3 2" xfId="9399" xr:uid="{00000000-0005-0000-0000-000062030000}"/>
    <cellStyle name="Moeda 2 2 3 2 2 4 4" xfId="5113" xr:uid="{00000000-0005-0000-0000-000063030000}"/>
    <cellStyle name="Moeda 2 2 3 2 2 4 4 2" xfId="11627" xr:uid="{00000000-0005-0000-0000-000064030000}"/>
    <cellStyle name="Moeda 2 2 3 2 2 4 5" xfId="7343" xr:uid="{00000000-0005-0000-0000-000065030000}"/>
    <cellStyle name="Moeda 2 2 3 2 2 5" xfId="1339" xr:uid="{00000000-0005-0000-0000-000066030000}"/>
    <cellStyle name="Moeda 2 2 3 2 2 5 2" xfId="3397" xr:uid="{00000000-0005-0000-0000-000067030000}"/>
    <cellStyle name="Moeda 2 2 3 2 2 5 2 2" xfId="9913" xr:uid="{00000000-0005-0000-0000-000068030000}"/>
    <cellStyle name="Moeda 2 2 3 2 2 5 3" xfId="5627" xr:uid="{00000000-0005-0000-0000-000069030000}"/>
    <cellStyle name="Moeda 2 2 3 2 2 5 3 2" xfId="12141" xr:uid="{00000000-0005-0000-0000-00006A030000}"/>
    <cellStyle name="Moeda 2 2 3 2 2 5 4" xfId="7857" xr:uid="{00000000-0005-0000-0000-00006B030000}"/>
    <cellStyle name="Moeda 2 2 3 2 2 6" xfId="2369" xr:uid="{00000000-0005-0000-0000-00006C030000}"/>
    <cellStyle name="Moeda 2 2 3 2 2 6 2" xfId="8885" xr:uid="{00000000-0005-0000-0000-00006D030000}"/>
    <cellStyle name="Moeda 2 2 3 2 2 7" xfId="4511" xr:uid="{00000000-0005-0000-0000-00006E030000}"/>
    <cellStyle name="Moeda 2 2 3 2 2 7 2" xfId="11025" xr:uid="{00000000-0005-0000-0000-00006F030000}"/>
    <cellStyle name="Moeda 2 2 3 2 2 8" xfId="6741" xr:uid="{00000000-0005-0000-0000-000070030000}"/>
    <cellStyle name="Moeda 2 2 3 2 3" xfId="278" xr:uid="{00000000-0005-0000-0000-000071030000}"/>
    <cellStyle name="Moeda 2 2 3 2 3 2" xfId="621" xr:uid="{00000000-0005-0000-0000-000072030000}"/>
    <cellStyle name="Moeda 2 2 3 2 3 2 2" xfId="1145" xr:uid="{00000000-0005-0000-0000-000073030000}"/>
    <cellStyle name="Moeda 2 2 3 2 3 2 2 2" xfId="2173" xr:uid="{00000000-0005-0000-0000-000074030000}"/>
    <cellStyle name="Moeda 2 2 3 2 3 2 2 2 2" xfId="4231" xr:uid="{00000000-0005-0000-0000-000075030000}"/>
    <cellStyle name="Moeda 2 2 3 2 3 2 2 2 2 2" xfId="10747" xr:uid="{00000000-0005-0000-0000-000076030000}"/>
    <cellStyle name="Moeda 2 2 3 2 3 2 2 2 3" xfId="6461" xr:uid="{00000000-0005-0000-0000-000077030000}"/>
    <cellStyle name="Moeda 2 2 3 2 3 2 2 2 3 2" xfId="12975" xr:uid="{00000000-0005-0000-0000-000078030000}"/>
    <cellStyle name="Moeda 2 2 3 2 3 2 2 2 4" xfId="8691" xr:uid="{00000000-0005-0000-0000-000079030000}"/>
    <cellStyle name="Moeda 2 2 3 2 3 2 2 3" xfId="3203" xr:uid="{00000000-0005-0000-0000-00007A030000}"/>
    <cellStyle name="Moeda 2 2 3 2 3 2 2 3 2" xfId="9719" xr:uid="{00000000-0005-0000-0000-00007B030000}"/>
    <cellStyle name="Moeda 2 2 3 2 3 2 2 4" xfId="5433" xr:uid="{00000000-0005-0000-0000-00007C030000}"/>
    <cellStyle name="Moeda 2 2 3 2 3 2 2 4 2" xfId="11947" xr:uid="{00000000-0005-0000-0000-00007D030000}"/>
    <cellStyle name="Moeda 2 2 3 2 3 2 2 5" xfId="7663" xr:uid="{00000000-0005-0000-0000-00007E030000}"/>
    <cellStyle name="Moeda 2 2 3 2 3 2 3" xfId="1659" xr:uid="{00000000-0005-0000-0000-00007F030000}"/>
    <cellStyle name="Moeda 2 2 3 2 3 2 3 2" xfId="3717" xr:uid="{00000000-0005-0000-0000-000080030000}"/>
    <cellStyle name="Moeda 2 2 3 2 3 2 3 2 2" xfId="10233" xr:uid="{00000000-0005-0000-0000-000081030000}"/>
    <cellStyle name="Moeda 2 2 3 2 3 2 3 3" xfId="5947" xr:uid="{00000000-0005-0000-0000-000082030000}"/>
    <cellStyle name="Moeda 2 2 3 2 3 2 3 3 2" xfId="12461" xr:uid="{00000000-0005-0000-0000-000083030000}"/>
    <cellStyle name="Moeda 2 2 3 2 3 2 3 4" xfId="8177" xr:uid="{00000000-0005-0000-0000-000084030000}"/>
    <cellStyle name="Moeda 2 2 3 2 3 2 4" xfId="2689" xr:uid="{00000000-0005-0000-0000-000085030000}"/>
    <cellStyle name="Moeda 2 2 3 2 3 2 4 2" xfId="9205" xr:uid="{00000000-0005-0000-0000-000086030000}"/>
    <cellStyle name="Moeda 2 2 3 2 3 2 5" xfId="4917" xr:uid="{00000000-0005-0000-0000-000087030000}"/>
    <cellStyle name="Moeda 2 2 3 2 3 2 5 2" xfId="11431" xr:uid="{00000000-0005-0000-0000-000088030000}"/>
    <cellStyle name="Moeda 2 2 3 2 3 2 6" xfId="7147" xr:uid="{00000000-0005-0000-0000-000089030000}"/>
    <cellStyle name="Moeda 2 2 3 2 3 3" xfId="889" xr:uid="{00000000-0005-0000-0000-00008A030000}"/>
    <cellStyle name="Moeda 2 2 3 2 3 3 2" xfId="1917" xr:uid="{00000000-0005-0000-0000-00008B030000}"/>
    <cellStyle name="Moeda 2 2 3 2 3 3 2 2" xfId="3975" xr:uid="{00000000-0005-0000-0000-00008C030000}"/>
    <cellStyle name="Moeda 2 2 3 2 3 3 2 2 2" xfId="10491" xr:uid="{00000000-0005-0000-0000-00008D030000}"/>
    <cellStyle name="Moeda 2 2 3 2 3 3 2 3" xfId="6205" xr:uid="{00000000-0005-0000-0000-00008E030000}"/>
    <cellStyle name="Moeda 2 2 3 2 3 3 2 3 2" xfId="12719" xr:uid="{00000000-0005-0000-0000-00008F030000}"/>
    <cellStyle name="Moeda 2 2 3 2 3 3 2 4" xfId="8435" xr:uid="{00000000-0005-0000-0000-000090030000}"/>
    <cellStyle name="Moeda 2 2 3 2 3 3 3" xfId="2947" xr:uid="{00000000-0005-0000-0000-000091030000}"/>
    <cellStyle name="Moeda 2 2 3 2 3 3 3 2" xfId="9463" xr:uid="{00000000-0005-0000-0000-000092030000}"/>
    <cellStyle name="Moeda 2 2 3 2 3 3 4" xfId="5177" xr:uid="{00000000-0005-0000-0000-000093030000}"/>
    <cellStyle name="Moeda 2 2 3 2 3 3 4 2" xfId="11691" xr:uid="{00000000-0005-0000-0000-000094030000}"/>
    <cellStyle name="Moeda 2 2 3 2 3 3 5" xfId="7407" xr:uid="{00000000-0005-0000-0000-000095030000}"/>
    <cellStyle name="Moeda 2 2 3 2 3 4" xfId="1403" xr:uid="{00000000-0005-0000-0000-000096030000}"/>
    <cellStyle name="Moeda 2 2 3 2 3 4 2" xfId="3461" xr:uid="{00000000-0005-0000-0000-000097030000}"/>
    <cellStyle name="Moeda 2 2 3 2 3 4 2 2" xfId="9977" xr:uid="{00000000-0005-0000-0000-000098030000}"/>
    <cellStyle name="Moeda 2 2 3 2 3 4 3" xfId="5691" xr:uid="{00000000-0005-0000-0000-000099030000}"/>
    <cellStyle name="Moeda 2 2 3 2 3 4 3 2" xfId="12205" xr:uid="{00000000-0005-0000-0000-00009A030000}"/>
    <cellStyle name="Moeda 2 2 3 2 3 4 4" xfId="7921" xr:uid="{00000000-0005-0000-0000-00009B030000}"/>
    <cellStyle name="Moeda 2 2 3 2 3 5" xfId="2433" xr:uid="{00000000-0005-0000-0000-00009C030000}"/>
    <cellStyle name="Moeda 2 2 3 2 3 5 2" xfId="8949" xr:uid="{00000000-0005-0000-0000-00009D030000}"/>
    <cellStyle name="Moeda 2 2 3 2 3 6" xfId="4575" xr:uid="{00000000-0005-0000-0000-00009E030000}"/>
    <cellStyle name="Moeda 2 2 3 2 3 6 2" xfId="11089" xr:uid="{00000000-0005-0000-0000-00009F030000}"/>
    <cellStyle name="Moeda 2 2 3 2 3 7" xfId="6805" xr:uid="{00000000-0005-0000-0000-0000A0030000}"/>
    <cellStyle name="Moeda 2 2 3 2 4" xfId="480" xr:uid="{00000000-0005-0000-0000-0000A1030000}"/>
    <cellStyle name="Moeda 2 2 3 2 4 2" xfId="1017" xr:uid="{00000000-0005-0000-0000-0000A2030000}"/>
    <cellStyle name="Moeda 2 2 3 2 4 2 2" xfId="2045" xr:uid="{00000000-0005-0000-0000-0000A3030000}"/>
    <cellStyle name="Moeda 2 2 3 2 4 2 2 2" xfId="4103" xr:uid="{00000000-0005-0000-0000-0000A4030000}"/>
    <cellStyle name="Moeda 2 2 3 2 4 2 2 2 2" xfId="10619" xr:uid="{00000000-0005-0000-0000-0000A5030000}"/>
    <cellStyle name="Moeda 2 2 3 2 4 2 2 3" xfId="6333" xr:uid="{00000000-0005-0000-0000-0000A6030000}"/>
    <cellStyle name="Moeda 2 2 3 2 4 2 2 3 2" xfId="12847" xr:uid="{00000000-0005-0000-0000-0000A7030000}"/>
    <cellStyle name="Moeda 2 2 3 2 4 2 2 4" xfId="8563" xr:uid="{00000000-0005-0000-0000-0000A8030000}"/>
    <cellStyle name="Moeda 2 2 3 2 4 2 3" xfId="3075" xr:uid="{00000000-0005-0000-0000-0000A9030000}"/>
    <cellStyle name="Moeda 2 2 3 2 4 2 3 2" xfId="9591" xr:uid="{00000000-0005-0000-0000-0000AA030000}"/>
    <cellStyle name="Moeda 2 2 3 2 4 2 4" xfId="5305" xr:uid="{00000000-0005-0000-0000-0000AB030000}"/>
    <cellStyle name="Moeda 2 2 3 2 4 2 4 2" xfId="11819" xr:uid="{00000000-0005-0000-0000-0000AC030000}"/>
    <cellStyle name="Moeda 2 2 3 2 4 2 5" xfId="7535" xr:uid="{00000000-0005-0000-0000-0000AD030000}"/>
    <cellStyle name="Moeda 2 2 3 2 4 3" xfId="1531" xr:uid="{00000000-0005-0000-0000-0000AE030000}"/>
    <cellStyle name="Moeda 2 2 3 2 4 3 2" xfId="3589" xr:uid="{00000000-0005-0000-0000-0000AF030000}"/>
    <cellStyle name="Moeda 2 2 3 2 4 3 2 2" xfId="10105" xr:uid="{00000000-0005-0000-0000-0000B0030000}"/>
    <cellStyle name="Moeda 2 2 3 2 4 3 3" xfId="5819" xr:uid="{00000000-0005-0000-0000-0000B1030000}"/>
    <cellStyle name="Moeda 2 2 3 2 4 3 3 2" xfId="12333" xr:uid="{00000000-0005-0000-0000-0000B2030000}"/>
    <cellStyle name="Moeda 2 2 3 2 4 3 4" xfId="8049" xr:uid="{00000000-0005-0000-0000-0000B3030000}"/>
    <cellStyle name="Moeda 2 2 3 2 4 4" xfId="2561" xr:uid="{00000000-0005-0000-0000-0000B4030000}"/>
    <cellStyle name="Moeda 2 2 3 2 4 4 2" xfId="9077" xr:uid="{00000000-0005-0000-0000-0000B5030000}"/>
    <cellStyle name="Moeda 2 2 3 2 4 5" xfId="4776" xr:uid="{00000000-0005-0000-0000-0000B6030000}"/>
    <cellStyle name="Moeda 2 2 3 2 4 5 2" xfId="11290" xr:uid="{00000000-0005-0000-0000-0000B7030000}"/>
    <cellStyle name="Moeda 2 2 3 2 4 6" xfId="7006" xr:uid="{00000000-0005-0000-0000-0000B8030000}"/>
    <cellStyle name="Moeda 2 2 3 2 5" xfId="761" xr:uid="{00000000-0005-0000-0000-0000B9030000}"/>
    <cellStyle name="Moeda 2 2 3 2 5 2" xfId="1789" xr:uid="{00000000-0005-0000-0000-0000BA030000}"/>
    <cellStyle name="Moeda 2 2 3 2 5 2 2" xfId="3847" xr:uid="{00000000-0005-0000-0000-0000BB030000}"/>
    <cellStyle name="Moeda 2 2 3 2 5 2 2 2" xfId="10363" xr:uid="{00000000-0005-0000-0000-0000BC030000}"/>
    <cellStyle name="Moeda 2 2 3 2 5 2 3" xfId="6077" xr:uid="{00000000-0005-0000-0000-0000BD030000}"/>
    <cellStyle name="Moeda 2 2 3 2 5 2 3 2" xfId="12591" xr:uid="{00000000-0005-0000-0000-0000BE030000}"/>
    <cellStyle name="Moeda 2 2 3 2 5 2 4" xfId="8307" xr:uid="{00000000-0005-0000-0000-0000BF030000}"/>
    <cellStyle name="Moeda 2 2 3 2 5 3" xfId="2819" xr:uid="{00000000-0005-0000-0000-0000C0030000}"/>
    <cellStyle name="Moeda 2 2 3 2 5 3 2" xfId="9335" xr:uid="{00000000-0005-0000-0000-0000C1030000}"/>
    <cellStyle name="Moeda 2 2 3 2 5 4" xfId="5049" xr:uid="{00000000-0005-0000-0000-0000C2030000}"/>
    <cellStyle name="Moeda 2 2 3 2 5 4 2" xfId="11563" xr:uid="{00000000-0005-0000-0000-0000C3030000}"/>
    <cellStyle name="Moeda 2 2 3 2 5 5" xfId="7279" xr:uid="{00000000-0005-0000-0000-0000C4030000}"/>
    <cellStyle name="Moeda 2 2 3 2 6" xfId="1275" xr:uid="{00000000-0005-0000-0000-0000C5030000}"/>
    <cellStyle name="Moeda 2 2 3 2 6 2" xfId="3333" xr:uid="{00000000-0005-0000-0000-0000C6030000}"/>
    <cellStyle name="Moeda 2 2 3 2 6 2 2" xfId="9849" xr:uid="{00000000-0005-0000-0000-0000C7030000}"/>
    <cellStyle name="Moeda 2 2 3 2 6 3" xfId="5563" xr:uid="{00000000-0005-0000-0000-0000C8030000}"/>
    <cellStyle name="Moeda 2 2 3 2 6 3 2" xfId="12077" xr:uid="{00000000-0005-0000-0000-0000C9030000}"/>
    <cellStyle name="Moeda 2 2 3 2 6 4" xfId="7793" xr:uid="{00000000-0005-0000-0000-0000CA030000}"/>
    <cellStyle name="Moeda 2 2 3 2 7" xfId="2305" xr:uid="{00000000-0005-0000-0000-0000CB030000}"/>
    <cellStyle name="Moeda 2 2 3 2 7 2" xfId="8821" xr:uid="{00000000-0005-0000-0000-0000CC030000}"/>
    <cellStyle name="Moeda 2 2 3 2 8" xfId="4434" xr:uid="{00000000-0005-0000-0000-0000CD030000}"/>
    <cellStyle name="Moeda 2 2 3 2 8 2" xfId="10948" xr:uid="{00000000-0005-0000-0000-0000CE030000}"/>
    <cellStyle name="Moeda 2 2 3 2 9" xfId="6664" xr:uid="{00000000-0005-0000-0000-0000CF030000}"/>
    <cellStyle name="Moeda 2 2 3 3" xfId="182" xr:uid="{00000000-0005-0000-0000-0000D0030000}"/>
    <cellStyle name="Moeda 2 2 3 3 2" xfId="310" xr:uid="{00000000-0005-0000-0000-0000D1030000}"/>
    <cellStyle name="Moeda 2 2 3 3 2 2" xfId="653" xr:uid="{00000000-0005-0000-0000-0000D2030000}"/>
    <cellStyle name="Moeda 2 2 3 3 2 2 2" xfId="1177" xr:uid="{00000000-0005-0000-0000-0000D3030000}"/>
    <cellStyle name="Moeda 2 2 3 3 2 2 2 2" xfId="2205" xr:uid="{00000000-0005-0000-0000-0000D4030000}"/>
    <cellStyle name="Moeda 2 2 3 3 2 2 2 2 2" xfId="4263" xr:uid="{00000000-0005-0000-0000-0000D5030000}"/>
    <cellStyle name="Moeda 2 2 3 3 2 2 2 2 2 2" xfId="10779" xr:uid="{00000000-0005-0000-0000-0000D6030000}"/>
    <cellStyle name="Moeda 2 2 3 3 2 2 2 2 3" xfId="6493" xr:uid="{00000000-0005-0000-0000-0000D7030000}"/>
    <cellStyle name="Moeda 2 2 3 3 2 2 2 2 3 2" xfId="13007" xr:uid="{00000000-0005-0000-0000-0000D8030000}"/>
    <cellStyle name="Moeda 2 2 3 3 2 2 2 2 4" xfId="8723" xr:uid="{00000000-0005-0000-0000-0000D9030000}"/>
    <cellStyle name="Moeda 2 2 3 3 2 2 2 3" xfId="3235" xr:uid="{00000000-0005-0000-0000-0000DA030000}"/>
    <cellStyle name="Moeda 2 2 3 3 2 2 2 3 2" xfId="9751" xr:uid="{00000000-0005-0000-0000-0000DB030000}"/>
    <cellStyle name="Moeda 2 2 3 3 2 2 2 4" xfId="5465" xr:uid="{00000000-0005-0000-0000-0000DC030000}"/>
    <cellStyle name="Moeda 2 2 3 3 2 2 2 4 2" xfId="11979" xr:uid="{00000000-0005-0000-0000-0000DD030000}"/>
    <cellStyle name="Moeda 2 2 3 3 2 2 2 5" xfId="7695" xr:uid="{00000000-0005-0000-0000-0000DE030000}"/>
    <cellStyle name="Moeda 2 2 3 3 2 2 3" xfId="1691" xr:uid="{00000000-0005-0000-0000-0000DF030000}"/>
    <cellStyle name="Moeda 2 2 3 3 2 2 3 2" xfId="3749" xr:uid="{00000000-0005-0000-0000-0000E0030000}"/>
    <cellStyle name="Moeda 2 2 3 3 2 2 3 2 2" xfId="10265" xr:uid="{00000000-0005-0000-0000-0000E1030000}"/>
    <cellStyle name="Moeda 2 2 3 3 2 2 3 3" xfId="5979" xr:uid="{00000000-0005-0000-0000-0000E2030000}"/>
    <cellStyle name="Moeda 2 2 3 3 2 2 3 3 2" xfId="12493" xr:uid="{00000000-0005-0000-0000-0000E3030000}"/>
    <cellStyle name="Moeda 2 2 3 3 2 2 3 4" xfId="8209" xr:uid="{00000000-0005-0000-0000-0000E4030000}"/>
    <cellStyle name="Moeda 2 2 3 3 2 2 4" xfId="2721" xr:uid="{00000000-0005-0000-0000-0000E5030000}"/>
    <cellStyle name="Moeda 2 2 3 3 2 2 4 2" xfId="9237" xr:uid="{00000000-0005-0000-0000-0000E6030000}"/>
    <cellStyle name="Moeda 2 2 3 3 2 2 5" xfId="4949" xr:uid="{00000000-0005-0000-0000-0000E7030000}"/>
    <cellStyle name="Moeda 2 2 3 3 2 2 5 2" xfId="11463" xr:uid="{00000000-0005-0000-0000-0000E8030000}"/>
    <cellStyle name="Moeda 2 2 3 3 2 2 6" xfId="7179" xr:uid="{00000000-0005-0000-0000-0000E9030000}"/>
    <cellStyle name="Moeda 2 2 3 3 2 3" xfId="921" xr:uid="{00000000-0005-0000-0000-0000EA030000}"/>
    <cellStyle name="Moeda 2 2 3 3 2 3 2" xfId="1949" xr:uid="{00000000-0005-0000-0000-0000EB030000}"/>
    <cellStyle name="Moeda 2 2 3 3 2 3 2 2" xfId="4007" xr:uid="{00000000-0005-0000-0000-0000EC030000}"/>
    <cellStyle name="Moeda 2 2 3 3 2 3 2 2 2" xfId="10523" xr:uid="{00000000-0005-0000-0000-0000ED030000}"/>
    <cellStyle name="Moeda 2 2 3 3 2 3 2 3" xfId="6237" xr:uid="{00000000-0005-0000-0000-0000EE030000}"/>
    <cellStyle name="Moeda 2 2 3 3 2 3 2 3 2" xfId="12751" xr:uid="{00000000-0005-0000-0000-0000EF030000}"/>
    <cellStyle name="Moeda 2 2 3 3 2 3 2 4" xfId="8467" xr:uid="{00000000-0005-0000-0000-0000F0030000}"/>
    <cellStyle name="Moeda 2 2 3 3 2 3 3" xfId="2979" xr:uid="{00000000-0005-0000-0000-0000F1030000}"/>
    <cellStyle name="Moeda 2 2 3 3 2 3 3 2" xfId="9495" xr:uid="{00000000-0005-0000-0000-0000F2030000}"/>
    <cellStyle name="Moeda 2 2 3 3 2 3 4" xfId="5209" xr:uid="{00000000-0005-0000-0000-0000F3030000}"/>
    <cellStyle name="Moeda 2 2 3 3 2 3 4 2" xfId="11723" xr:uid="{00000000-0005-0000-0000-0000F4030000}"/>
    <cellStyle name="Moeda 2 2 3 3 2 3 5" xfId="7439" xr:uid="{00000000-0005-0000-0000-0000F5030000}"/>
    <cellStyle name="Moeda 2 2 3 3 2 4" xfId="1435" xr:uid="{00000000-0005-0000-0000-0000F6030000}"/>
    <cellStyle name="Moeda 2 2 3 3 2 4 2" xfId="3493" xr:uid="{00000000-0005-0000-0000-0000F7030000}"/>
    <cellStyle name="Moeda 2 2 3 3 2 4 2 2" xfId="10009" xr:uid="{00000000-0005-0000-0000-0000F8030000}"/>
    <cellStyle name="Moeda 2 2 3 3 2 4 3" xfId="5723" xr:uid="{00000000-0005-0000-0000-0000F9030000}"/>
    <cellStyle name="Moeda 2 2 3 3 2 4 3 2" xfId="12237" xr:uid="{00000000-0005-0000-0000-0000FA030000}"/>
    <cellStyle name="Moeda 2 2 3 3 2 4 4" xfId="7953" xr:uid="{00000000-0005-0000-0000-0000FB030000}"/>
    <cellStyle name="Moeda 2 2 3 3 2 5" xfId="2465" xr:uid="{00000000-0005-0000-0000-0000FC030000}"/>
    <cellStyle name="Moeda 2 2 3 3 2 5 2" xfId="8981" xr:uid="{00000000-0005-0000-0000-0000FD030000}"/>
    <cellStyle name="Moeda 2 2 3 3 2 6" xfId="4607" xr:uid="{00000000-0005-0000-0000-0000FE030000}"/>
    <cellStyle name="Moeda 2 2 3 3 2 6 2" xfId="11121" xr:uid="{00000000-0005-0000-0000-0000FF030000}"/>
    <cellStyle name="Moeda 2 2 3 3 2 7" xfId="6837" xr:uid="{00000000-0005-0000-0000-000000040000}"/>
    <cellStyle name="Moeda 2 2 3 3 3" xfId="525" xr:uid="{00000000-0005-0000-0000-000001040000}"/>
    <cellStyle name="Moeda 2 2 3 3 3 2" xfId="1049" xr:uid="{00000000-0005-0000-0000-000002040000}"/>
    <cellStyle name="Moeda 2 2 3 3 3 2 2" xfId="2077" xr:uid="{00000000-0005-0000-0000-000003040000}"/>
    <cellStyle name="Moeda 2 2 3 3 3 2 2 2" xfId="4135" xr:uid="{00000000-0005-0000-0000-000004040000}"/>
    <cellStyle name="Moeda 2 2 3 3 3 2 2 2 2" xfId="10651" xr:uid="{00000000-0005-0000-0000-000005040000}"/>
    <cellStyle name="Moeda 2 2 3 3 3 2 2 3" xfId="6365" xr:uid="{00000000-0005-0000-0000-000006040000}"/>
    <cellStyle name="Moeda 2 2 3 3 3 2 2 3 2" xfId="12879" xr:uid="{00000000-0005-0000-0000-000007040000}"/>
    <cellStyle name="Moeda 2 2 3 3 3 2 2 4" xfId="8595" xr:uid="{00000000-0005-0000-0000-000008040000}"/>
    <cellStyle name="Moeda 2 2 3 3 3 2 3" xfId="3107" xr:uid="{00000000-0005-0000-0000-000009040000}"/>
    <cellStyle name="Moeda 2 2 3 3 3 2 3 2" xfId="9623" xr:uid="{00000000-0005-0000-0000-00000A040000}"/>
    <cellStyle name="Moeda 2 2 3 3 3 2 4" xfId="5337" xr:uid="{00000000-0005-0000-0000-00000B040000}"/>
    <cellStyle name="Moeda 2 2 3 3 3 2 4 2" xfId="11851" xr:uid="{00000000-0005-0000-0000-00000C040000}"/>
    <cellStyle name="Moeda 2 2 3 3 3 2 5" xfId="7567" xr:uid="{00000000-0005-0000-0000-00000D040000}"/>
    <cellStyle name="Moeda 2 2 3 3 3 3" xfId="1563" xr:uid="{00000000-0005-0000-0000-00000E040000}"/>
    <cellStyle name="Moeda 2 2 3 3 3 3 2" xfId="3621" xr:uid="{00000000-0005-0000-0000-00000F040000}"/>
    <cellStyle name="Moeda 2 2 3 3 3 3 2 2" xfId="10137" xr:uid="{00000000-0005-0000-0000-000010040000}"/>
    <cellStyle name="Moeda 2 2 3 3 3 3 3" xfId="5851" xr:uid="{00000000-0005-0000-0000-000011040000}"/>
    <cellStyle name="Moeda 2 2 3 3 3 3 3 2" xfId="12365" xr:uid="{00000000-0005-0000-0000-000012040000}"/>
    <cellStyle name="Moeda 2 2 3 3 3 3 4" xfId="8081" xr:uid="{00000000-0005-0000-0000-000013040000}"/>
    <cellStyle name="Moeda 2 2 3 3 3 4" xfId="2593" xr:uid="{00000000-0005-0000-0000-000014040000}"/>
    <cellStyle name="Moeda 2 2 3 3 3 4 2" xfId="9109" xr:uid="{00000000-0005-0000-0000-000015040000}"/>
    <cellStyle name="Moeda 2 2 3 3 3 5" xfId="4821" xr:uid="{00000000-0005-0000-0000-000016040000}"/>
    <cellStyle name="Moeda 2 2 3 3 3 5 2" xfId="11335" xr:uid="{00000000-0005-0000-0000-000017040000}"/>
    <cellStyle name="Moeda 2 2 3 3 3 6" xfId="7051" xr:uid="{00000000-0005-0000-0000-000018040000}"/>
    <cellStyle name="Moeda 2 2 3 3 4" xfId="793" xr:uid="{00000000-0005-0000-0000-000019040000}"/>
    <cellStyle name="Moeda 2 2 3 3 4 2" xfId="1821" xr:uid="{00000000-0005-0000-0000-00001A040000}"/>
    <cellStyle name="Moeda 2 2 3 3 4 2 2" xfId="3879" xr:uid="{00000000-0005-0000-0000-00001B040000}"/>
    <cellStyle name="Moeda 2 2 3 3 4 2 2 2" xfId="10395" xr:uid="{00000000-0005-0000-0000-00001C040000}"/>
    <cellStyle name="Moeda 2 2 3 3 4 2 3" xfId="6109" xr:uid="{00000000-0005-0000-0000-00001D040000}"/>
    <cellStyle name="Moeda 2 2 3 3 4 2 3 2" xfId="12623" xr:uid="{00000000-0005-0000-0000-00001E040000}"/>
    <cellStyle name="Moeda 2 2 3 3 4 2 4" xfId="8339" xr:uid="{00000000-0005-0000-0000-00001F040000}"/>
    <cellStyle name="Moeda 2 2 3 3 4 3" xfId="2851" xr:uid="{00000000-0005-0000-0000-000020040000}"/>
    <cellStyle name="Moeda 2 2 3 3 4 3 2" xfId="9367" xr:uid="{00000000-0005-0000-0000-000021040000}"/>
    <cellStyle name="Moeda 2 2 3 3 4 4" xfId="5081" xr:uid="{00000000-0005-0000-0000-000022040000}"/>
    <cellStyle name="Moeda 2 2 3 3 4 4 2" xfId="11595" xr:uid="{00000000-0005-0000-0000-000023040000}"/>
    <cellStyle name="Moeda 2 2 3 3 4 5" xfId="7311" xr:uid="{00000000-0005-0000-0000-000024040000}"/>
    <cellStyle name="Moeda 2 2 3 3 5" xfId="1307" xr:uid="{00000000-0005-0000-0000-000025040000}"/>
    <cellStyle name="Moeda 2 2 3 3 5 2" xfId="3365" xr:uid="{00000000-0005-0000-0000-000026040000}"/>
    <cellStyle name="Moeda 2 2 3 3 5 2 2" xfId="9881" xr:uid="{00000000-0005-0000-0000-000027040000}"/>
    <cellStyle name="Moeda 2 2 3 3 5 3" xfId="5595" xr:uid="{00000000-0005-0000-0000-000028040000}"/>
    <cellStyle name="Moeda 2 2 3 3 5 3 2" xfId="12109" xr:uid="{00000000-0005-0000-0000-000029040000}"/>
    <cellStyle name="Moeda 2 2 3 3 5 4" xfId="7825" xr:uid="{00000000-0005-0000-0000-00002A040000}"/>
    <cellStyle name="Moeda 2 2 3 3 6" xfId="2337" xr:uid="{00000000-0005-0000-0000-00002B040000}"/>
    <cellStyle name="Moeda 2 2 3 3 6 2" xfId="8853" xr:uid="{00000000-0005-0000-0000-00002C040000}"/>
    <cellStyle name="Moeda 2 2 3 3 7" xfId="4479" xr:uid="{00000000-0005-0000-0000-00002D040000}"/>
    <cellStyle name="Moeda 2 2 3 3 7 2" xfId="10993" xr:uid="{00000000-0005-0000-0000-00002E040000}"/>
    <cellStyle name="Moeda 2 2 3 3 8" xfId="6709" xr:uid="{00000000-0005-0000-0000-00002F040000}"/>
    <cellStyle name="Moeda 2 2 3 4" xfId="246" xr:uid="{00000000-0005-0000-0000-000030040000}"/>
    <cellStyle name="Moeda 2 2 3 4 2" xfId="589" xr:uid="{00000000-0005-0000-0000-000031040000}"/>
    <cellStyle name="Moeda 2 2 3 4 2 2" xfId="1113" xr:uid="{00000000-0005-0000-0000-000032040000}"/>
    <cellStyle name="Moeda 2 2 3 4 2 2 2" xfId="2141" xr:uid="{00000000-0005-0000-0000-000033040000}"/>
    <cellStyle name="Moeda 2 2 3 4 2 2 2 2" xfId="4199" xr:uid="{00000000-0005-0000-0000-000034040000}"/>
    <cellStyle name="Moeda 2 2 3 4 2 2 2 2 2" xfId="10715" xr:uid="{00000000-0005-0000-0000-000035040000}"/>
    <cellStyle name="Moeda 2 2 3 4 2 2 2 3" xfId="6429" xr:uid="{00000000-0005-0000-0000-000036040000}"/>
    <cellStyle name="Moeda 2 2 3 4 2 2 2 3 2" xfId="12943" xr:uid="{00000000-0005-0000-0000-000037040000}"/>
    <cellStyle name="Moeda 2 2 3 4 2 2 2 4" xfId="8659" xr:uid="{00000000-0005-0000-0000-000038040000}"/>
    <cellStyle name="Moeda 2 2 3 4 2 2 3" xfId="3171" xr:uid="{00000000-0005-0000-0000-000039040000}"/>
    <cellStyle name="Moeda 2 2 3 4 2 2 3 2" xfId="9687" xr:uid="{00000000-0005-0000-0000-00003A040000}"/>
    <cellStyle name="Moeda 2 2 3 4 2 2 4" xfId="5401" xr:uid="{00000000-0005-0000-0000-00003B040000}"/>
    <cellStyle name="Moeda 2 2 3 4 2 2 4 2" xfId="11915" xr:uid="{00000000-0005-0000-0000-00003C040000}"/>
    <cellStyle name="Moeda 2 2 3 4 2 2 5" xfId="7631" xr:uid="{00000000-0005-0000-0000-00003D040000}"/>
    <cellStyle name="Moeda 2 2 3 4 2 3" xfId="1627" xr:uid="{00000000-0005-0000-0000-00003E040000}"/>
    <cellStyle name="Moeda 2 2 3 4 2 3 2" xfId="3685" xr:uid="{00000000-0005-0000-0000-00003F040000}"/>
    <cellStyle name="Moeda 2 2 3 4 2 3 2 2" xfId="10201" xr:uid="{00000000-0005-0000-0000-000040040000}"/>
    <cellStyle name="Moeda 2 2 3 4 2 3 3" xfId="5915" xr:uid="{00000000-0005-0000-0000-000041040000}"/>
    <cellStyle name="Moeda 2 2 3 4 2 3 3 2" xfId="12429" xr:uid="{00000000-0005-0000-0000-000042040000}"/>
    <cellStyle name="Moeda 2 2 3 4 2 3 4" xfId="8145" xr:uid="{00000000-0005-0000-0000-000043040000}"/>
    <cellStyle name="Moeda 2 2 3 4 2 4" xfId="2657" xr:uid="{00000000-0005-0000-0000-000044040000}"/>
    <cellStyle name="Moeda 2 2 3 4 2 4 2" xfId="9173" xr:uid="{00000000-0005-0000-0000-000045040000}"/>
    <cellStyle name="Moeda 2 2 3 4 2 5" xfId="4885" xr:uid="{00000000-0005-0000-0000-000046040000}"/>
    <cellStyle name="Moeda 2 2 3 4 2 5 2" xfId="11399" xr:uid="{00000000-0005-0000-0000-000047040000}"/>
    <cellStyle name="Moeda 2 2 3 4 2 6" xfId="7115" xr:uid="{00000000-0005-0000-0000-000048040000}"/>
    <cellStyle name="Moeda 2 2 3 4 3" xfId="857" xr:uid="{00000000-0005-0000-0000-000049040000}"/>
    <cellStyle name="Moeda 2 2 3 4 3 2" xfId="1885" xr:uid="{00000000-0005-0000-0000-00004A040000}"/>
    <cellStyle name="Moeda 2 2 3 4 3 2 2" xfId="3943" xr:uid="{00000000-0005-0000-0000-00004B040000}"/>
    <cellStyle name="Moeda 2 2 3 4 3 2 2 2" xfId="10459" xr:uid="{00000000-0005-0000-0000-00004C040000}"/>
    <cellStyle name="Moeda 2 2 3 4 3 2 3" xfId="6173" xr:uid="{00000000-0005-0000-0000-00004D040000}"/>
    <cellStyle name="Moeda 2 2 3 4 3 2 3 2" xfId="12687" xr:uid="{00000000-0005-0000-0000-00004E040000}"/>
    <cellStyle name="Moeda 2 2 3 4 3 2 4" xfId="8403" xr:uid="{00000000-0005-0000-0000-00004F040000}"/>
    <cellStyle name="Moeda 2 2 3 4 3 3" xfId="2915" xr:uid="{00000000-0005-0000-0000-000050040000}"/>
    <cellStyle name="Moeda 2 2 3 4 3 3 2" xfId="9431" xr:uid="{00000000-0005-0000-0000-000051040000}"/>
    <cellStyle name="Moeda 2 2 3 4 3 4" xfId="5145" xr:uid="{00000000-0005-0000-0000-000052040000}"/>
    <cellStyle name="Moeda 2 2 3 4 3 4 2" xfId="11659" xr:uid="{00000000-0005-0000-0000-000053040000}"/>
    <cellStyle name="Moeda 2 2 3 4 3 5" xfId="7375" xr:uid="{00000000-0005-0000-0000-000054040000}"/>
    <cellStyle name="Moeda 2 2 3 4 4" xfId="1371" xr:uid="{00000000-0005-0000-0000-000055040000}"/>
    <cellStyle name="Moeda 2 2 3 4 4 2" xfId="3429" xr:uid="{00000000-0005-0000-0000-000056040000}"/>
    <cellStyle name="Moeda 2 2 3 4 4 2 2" xfId="9945" xr:uid="{00000000-0005-0000-0000-000057040000}"/>
    <cellStyle name="Moeda 2 2 3 4 4 3" xfId="5659" xr:uid="{00000000-0005-0000-0000-000058040000}"/>
    <cellStyle name="Moeda 2 2 3 4 4 3 2" xfId="12173" xr:uid="{00000000-0005-0000-0000-000059040000}"/>
    <cellStyle name="Moeda 2 2 3 4 4 4" xfId="7889" xr:uid="{00000000-0005-0000-0000-00005A040000}"/>
    <cellStyle name="Moeda 2 2 3 4 5" xfId="2401" xr:uid="{00000000-0005-0000-0000-00005B040000}"/>
    <cellStyle name="Moeda 2 2 3 4 5 2" xfId="8917" xr:uid="{00000000-0005-0000-0000-00005C040000}"/>
    <cellStyle name="Moeda 2 2 3 4 6" xfId="4543" xr:uid="{00000000-0005-0000-0000-00005D040000}"/>
    <cellStyle name="Moeda 2 2 3 4 6 2" xfId="11057" xr:uid="{00000000-0005-0000-0000-00005E040000}"/>
    <cellStyle name="Moeda 2 2 3 4 7" xfId="6773" xr:uid="{00000000-0005-0000-0000-00005F040000}"/>
    <cellStyle name="Moeda 2 2 3 5" xfId="406" xr:uid="{00000000-0005-0000-0000-000060040000}"/>
    <cellStyle name="Moeda 2 2 3 5 2" xfId="985" xr:uid="{00000000-0005-0000-0000-000061040000}"/>
    <cellStyle name="Moeda 2 2 3 5 2 2" xfId="2013" xr:uid="{00000000-0005-0000-0000-000062040000}"/>
    <cellStyle name="Moeda 2 2 3 5 2 2 2" xfId="4071" xr:uid="{00000000-0005-0000-0000-000063040000}"/>
    <cellStyle name="Moeda 2 2 3 5 2 2 2 2" xfId="10587" xr:uid="{00000000-0005-0000-0000-000064040000}"/>
    <cellStyle name="Moeda 2 2 3 5 2 2 3" xfId="6301" xr:uid="{00000000-0005-0000-0000-000065040000}"/>
    <cellStyle name="Moeda 2 2 3 5 2 2 3 2" xfId="12815" xr:uid="{00000000-0005-0000-0000-000066040000}"/>
    <cellStyle name="Moeda 2 2 3 5 2 2 4" xfId="8531" xr:uid="{00000000-0005-0000-0000-000067040000}"/>
    <cellStyle name="Moeda 2 2 3 5 2 3" xfId="3043" xr:uid="{00000000-0005-0000-0000-000068040000}"/>
    <cellStyle name="Moeda 2 2 3 5 2 3 2" xfId="9559" xr:uid="{00000000-0005-0000-0000-000069040000}"/>
    <cellStyle name="Moeda 2 2 3 5 2 4" xfId="5273" xr:uid="{00000000-0005-0000-0000-00006A040000}"/>
    <cellStyle name="Moeda 2 2 3 5 2 4 2" xfId="11787" xr:uid="{00000000-0005-0000-0000-00006B040000}"/>
    <cellStyle name="Moeda 2 2 3 5 2 5" xfId="7503" xr:uid="{00000000-0005-0000-0000-00006C040000}"/>
    <cellStyle name="Moeda 2 2 3 5 3" xfId="1499" xr:uid="{00000000-0005-0000-0000-00006D040000}"/>
    <cellStyle name="Moeda 2 2 3 5 3 2" xfId="3557" xr:uid="{00000000-0005-0000-0000-00006E040000}"/>
    <cellStyle name="Moeda 2 2 3 5 3 2 2" xfId="10073" xr:uid="{00000000-0005-0000-0000-00006F040000}"/>
    <cellStyle name="Moeda 2 2 3 5 3 3" xfId="5787" xr:uid="{00000000-0005-0000-0000-000070040000}"/>
    <cellStyle name="Moeda 2 2 3 5 3 3 2" xfId="12301" xr:uid="{00000000-0005-0000-0000-000071040000}"/>
    <cellStyle name="Moeda 2 2 3 5 3 4" xfId="8017" xr:uid="{00000000-0005-0000-0000-000072040000}"/>
    <cellStyle name="Moeda 2 2 3 5 4" xfId="2529" xr:uid="{00000000-0005-0000-0000-000073040000}"/>
    <cellStyle name="Moeda 2 2 3 5 4 2" xfId="9045" xr:uid="{00000000-0005-0000-0000-000074040000}"/>
    <cellStyle name="Moeda 2 2 3 5 5" xfId="4702" xr:uid="{00000000-0005-0000-0000-000075040000}"/>
    <cellStyle name="Moeda 2 2 3 5 5 2" xfId="11216" xr:uid="{00000000-0005-0000-0000-000076040000}"/>
    <cellStyle name="Moeda 2 2 3 5 6" xfId="6932" xr:uid="{00000000-0005-0000-0000-000077040000}"/>
    <cellStyle name="Moeda 2 2 3 6" xfId="729" xr:uid="{00000000-0005-0000-0000-000078040000}"/>
    <cellStyle name="Moeda 2 2 3 6 2" xfId="1757" xr:uid="{00000000-0005-0000-0000-000079040000}"/>
    <cellStyle name="Moeda 2 2 3 6 2 2" xfId="3815" xr:uid="{00000000-0005-0000-0000-00007A040000}"/>
    <cellStyle name="Moeda 2 2 3 6 2 2 2" xfId="10331" xr:uid="{00000000-0005-0000-0000-00007B040000}"/>
    <cellStyle name="Moeda 2 2 3 6 2 3" xfId="6045" xr:uid="{00000000-0005-0000-0000-00007C040000}"/>
    <cellStyle name="Moeda 2 2 3 6 2 3 2" xfId="12559" xr:uid="{00000000-0005-0000-0000-00007D040000}"/>
    <cellStyle name="Moeda 2 2 3 6 2 4" xfId="8275" xr:uid="{00000000-0005-0000-0000-00007E040000}"/>
    <cellStyle name="Moeda 2 2 3 6 3" xfId="2787" xr:uid="{00000000-0005-0000-0000-00007F040000}"/>
    <cellStyle name="Moeda 2 2 3 6 3 2" xfId="9303" xr:uid="{00000000-0005-0000-0000-000080040000}"/>
    <cellStyle name="Moeda 2 2 3 6 4" xfId="5017" xr:uid="{00000000-0005-0000-0000-000081040000}"/>
    <cellStyle name="Moeda 2 2 3 6 4 2" xfId="11531" xr:uid="{00000000-0005-0000-0000-000082040000}"/>
    <cellStyle name="Moeda 2 2 3 6 5" xfId="7247" xr:uid="{00000000-0005-0000-0000-000083040000}"/>
    <cellStyle name="Moeda 2 2 3 7" xfId="1243" xr:uid="{00000000-0005-0000-0000-000084040000}"/>
    <cellStyle name="Moeda 2 2 3 7 2" xfId="3301" xr:uid="{00000000-0005-0000-0000-000085040000}"/>
    <cellStyle name="Moeda 2 2 3 7 2 2" xfId="9817" xr:uid="{00000000-0005-0000-0000-000086040000}"/>
    <cellStyle name="Moeda 2 2 3 7 3" xfId="5531" xr:uid="{00000000-0005-0000-0000-000087040000}"/>
    <cellStyle name="Moeda 2 2 3 7 3 2" xfId="12045" xr:uid="{00000000-0005-0000-0000-000088040000}"/>
    <cellStyle name="Moeda 2 2 3 7 4" xfId="7761" xr:uid="{00000000-0005-0000-0000-000089040000}"/>
    <cellStyle name="Moeda 2 2 3 8" xfId="2273" xr:uid="{00000000-0005-0000-0000-00008A040000}"/>
    <cellStyle name="Moeda 2 2 3 8 2" xfId="8789" xr:uid="{00000000-0005-0000-0000-00008B040000}"/>
    <cellStyle name="Moeda 2 2 3 9" xfId="4360" xr:uid="{00000000-0005-0000-0000-00008C040000}"/>
    <cellStyle name="Moeda 2 2 3 9 2" xfId="10874" xr:uid="{00000000-0005-0000-0000-00008D040000}"/>
    <cellStyle name="Moeda 2 2 4" xfId="95" xr:uid="{00000000-0005-0000-0000-00008E040000}"/>
    <cellStyle name="Moeda 2 2 4 2" xfId="198" xr:uid="{00000000-0005-0000-0000-00008F040000}"/>
    <cellStyle name="Moeda 2 2 4 2 2" xfId="326" xr:uid="{00000000-0005-0000-0000-000090040000}"/>
    <cellStyle name="Moeda 2 2 4 2 2 2" xfId="669" xr:uid="{00000000-0005-0000-0000-000091040000}"/>
    <cellStyle name="Moeda 2 2 4 2 2 2 2" xfId="1193" xr:uid="{00000000-0005-0000-0000-000092040000}"/>
    <cellStyle name="Moeda 2 2 4 2 2 2 2 2" xfId="2221" xr:uid="{00000000-0005-0000-0000-000093040000}"/>
    <cellStyle name="Moeda 2 2 4 2 2 2 2 2 2" xfId="4279" xr:uid="{00000000-0005-0000-0000-000094040000}"/>
    <cellStyle name="Moeda 2 2 4 2 2 2 2 2 2 2" xfId="10795" xr:uid="{00000000-0005-0000-0000-000095040000}"/>
    <cellStyle name="Moeda 2 2 4 2 2 2 2 2 3" xfId="6509" xr:uid="{00000000-0005-0000-0000-000096040000}"/>
    <cellStyle name="Moeda 2 2 4 2 2 2 2 2 3 2" xfId="13023" xr:uid="{00000000-0005-0000-0000-000097040000}"/>
    <cellStyle name="Moeda 2 2 4 2 2 2 2 2 4" xfId="8739" xr:uid="{00000000-0005-0000-0000-000098040000}"/>
    <cellStyle name="Moeda 2 2 4 2 2 2 2 3" xfId="3251" xr:uid="{00000000-0005-0000-0000-000099040000}"/>
    <cellStyle name="Moeda 2 2 4 2 2 2 2 3 2" xfId="9767" xr:uid="{00000000-0005-0000-0000-00009A040000}"/>
    <cellStyle name="Moeda 2 2 4 2 2 2 2 4" xfId="5481" xr:uid="{00000000-0005-0000-0000-00009B040000}"/>
    <cellStyle name="Moeda 2 2 4 2 2 2 2 4 2" xfId="11995" xr:uid="{00000000-0005-0000-0000-00009C040000}"/>
    <cellStyle name="Moeda 2 2 4 2 2 2 2 5" xfId="7711" xr:uid="{00000000-0005-0000-0000-00009D040000}"/>
    <cellStyle name="Moeda 2 2 4 2 2 2 3" xfId="1707" xr:uid="{00000000-0005-0000-0000-00009E040000}"/>
    <cellStyle name="Moeda 2 2 4 2 2 2 3 2" xfId="3765" xr:uid="{00000000-0005-0000-0000-00009F040000}"/>
    <cellStyle name="Moeda 2 2 4 2 2 2 3 2 2" xfId="10281" xr:uid="{00000000-0005-0000-0000-0000A0040000}"/>
    <cellStyle name="Moeda 2 2 4 2 2 2 3 3" xfId="5995" xr:uid="{00000000-0005-0000-0000-0000A1040000}"/>
    <cellStyle name="Moeda 2 2 4 2 2 2 3 3 2" xfId="12509" xr:uid="{00000000-0005-0000-0000-0000A2040000}"/>
    <cellStyle name="Moeda 2 2 4 2 2 2 3 4" xfId="8225" xr:uid="{00000000-0005-0000-0000-0000A3040000}"/>
    <cellStyle name="Moeda 2 2 4 2 2 2 4" xfId="2737" xr:uid="{00000000-0005-0000-0000-0000A4040000}"/>
    <cellStyle name="Moeda 2 2 4 2 2 2 4 2" xfId="9253" xr:uid="{00000000-0005-0000-0000-0000A5040000}"/>
    <cellStyle name="Moeda 2 2 4 2 2 2 5" xfId="4965" xr:uid="{00000000-0005-0000-0000-0000A6040000}"/>
    <cellStyle name="Moeda 2 2 4 2 2 2 5 2" xfId="11479" xr:uid="{00000000-0005-0000-0000-0000A7040000}"/>
    <cellStyle name="Moeda 2 2 4 2 2 2 6" xfId="7195" xr:uid="{00000000-0005-0000-0000-0000A8040000}"/>
    <cellStyle name="Moeda 2 2 4 2 2 3" xfId="937" xr:uid="{00000000-0005-0000-0000-0000A9040000}"/>
    <cellStyle name="Moeda 2 2 4 2 2 3 2" xfId="1965" xr:uid="{00000000-0005-0000-0000-0000AA040000}"/>
    <cellStyle name="Moeda 2 2 4 2 2 3 2 2" xfId="4023" xr:uid="{00000000-0005-0000-0000-0000AB040000}"/>
    <cellStyle name="Moeda 2 2 4 2 2 3 2 2 2" xfId="10539" xr:uid="{00000000-0005-0000-0000-0000AC040000}"/>
    <cellStyle name="Moeda 2 2 4 2 2 3 2 3" xfId="6253" xr:uid="{00000000-0005-0000-0000-0000AD040000}"/>
    <cellStyle name="Moeda 2 2 4 2 2 3 2 3 2" xfId="12767" xr:uid="{00000000-0005-0000-0000-0000AE040000}"/>
    <cellStyle name="Moeda 2 2 4 2 2 3 2 4" xfId="8483" xr:uid="{00000000-0005-0000-0000-0000AF040000}"/>
    <cellStyle name="Moeda 2 2 4 2 2 3 3" xfId="2995" xr:uid="{00000000-0005-0000-0000-0000B0040000}"/>
    <cellStyle name="Moeda 2 2 4 2 2 3 3 2" xfId="9511" xr:uid="{00000000-0005-0000-0000-0000B1040000}"/>
    <cellStyle name="Moeda 2 2 4 2 2 3 4" xfId="5225" xr:uid="{00000000-0005-0000-0000-0000B2040000}"/>
    <cellStyle name="Moeda 2 2 4 2 2 3 4 2" xfId="11739" xr:uid="{00000000-0005-0000-0000-0000B3040000}"/>
    <cellStyle name="Moeda 2 2 4 2 2 3 5" xfId="7455" xr:uid="{00000000-0005-0000-0000-0000B4040000}"/>
    <cellStyle name="Moeda 2 2 4 2 2 4" xfId="1451" xr:uid="{00000000-0005-0000-0000-0000B5040000}"/>
    <cellStyle name="Moeda 2 2 4 2 2 4 2" xfId="3509" xr:uid="{00000000-0005-0000-0000-0000B6040000}"/>
    <cellStyle name="Moeda 2 2 4 2 2 4 2 2" xfId="10025" xr:uid="{00000000-0005-0000-0000-0000B7040000}"/>
    <cellStyle name="Moeda 2 2 4 2 2 4 3" xfId="5739" xr:uid="{00000000-0005-0000-0000-0000B8040000}"/>
    <cellStyle name="Moeda 2 2 4 2 2 4 3 2" xfId="12253" xr:uid="{00000000-0005-0000-0000-0000B9040000}"/>
    <cellStyle name="Moeda 2 2 4 2 2 4 4" xfId="7969" xr:uid="{00000000-0005-0000-0000-0000BA040000}"/>
    <cellStyle name="Moeda 2 2 4 2 2 5" xfId="2481" xr:uid="{00000000-0005-0000-0000-0000BB040000}"/>
    <cellStyle name="Moeda 2 2 4 2 2 5 2" xfId="8997" xr:uid="{00000000-0005-0000-0000-0000BC040000}"/>
    <cellStyle name="Moeda 2 2 4 2 2 6" xfId="4623" xr:uid="{00000000-0005-0000-0000-0000BD040000}"/>
    <cellStyle name="Moeda 2 2 4 2 2 6 2" xfId="11137" xr:uid="{00000000-0005-0000-0000-0000BE040000}"/>
    <cellStyle name="Moeda 2 2 4 2 2 7" xfId="6853" xr:uid="{00000000-0005-0000-0000-0000BF040000}"/>
    <cellStyle name="Moeda 2 2 4 2 3" xfId="541" xr:uid="{00000000-0005-0000-0000-0000C0040000}"/>
    <cellStyle name="Moeda 2 2 4 2 3 2" xfId="1065" xr:uid="{00000000-0005-0000-0000-0000C1040000}"/>
    <cellStyle name="Moeda 2 2 4 2 3 2 2" xfId="2093" xr:uid="{00000000-0005-0000-0000-0000C2040000}"/>
    <cellStyle name="Moeda 2 2 4 2 3 2 2 2" xfId="4151" xr:uid="{00000000-0005-0000-0000-0000C3040000}"/>
    <cellStyle name="Moeda 2 2 4 2 3 2 2 2 2" xfId="10667" xr:uid="{00000000-0005-0000-0000-0000C4040000}"/>
    <cellStyle name="Moeda 2 2 4 2 3 2 2 3" xfId="6381" xr:uid="{00000000-0005-0000-0000-0000C5040000}"/>
    <cellStyle name="Moeda 2 2 4 2 3 2 2 3 2" xfId="12895" xr:uid="{00000000-0005-0000-0000-0000C6040000}"/>
    <cellStyle name="Moeda 2 2 4 2 3 2 2 4" xfId="8611" xr:uid="{00000000-0005-0000-0000-0000C7040000}"/>
    <cellStyle name="Moeda 2 2 4 2 3 2 3" xfId="3123" xr:uid="{00000000-0005-0000-0000-0000C8040000}"/>
    <cellStyle name="Moeda 2 2 4 2 3 2 3 2" xfId="9639" xr:uid="{00000000-0005-0000-0000-0000C9040000}"/>
    <cellStyle name="Moeda 2 2 4 2 3 2 4" xfId="5353" xr:uid="{00000000-0005-0000-0000-0000CA040000}"/>
    <cellStyle name="Moeda 2 2 4 2 3 2 4 2" xfId="11867" xr:uid="{00000000-0005-0000-0000-0000CB040000}"/>
    <cellStyle name="Moeda 2 2 4 2 3 2 5" xfId="7583" xr:uid="{00000000-0005-0000-0000-0000CC040000}"/>
    <cellStyle name="Moeda 2 2 4 2 3 3" xfId="1579" xr:uid="{00000000-0005-0000-0000-0000CD040000}"/>
    <cellStyle name="Moeda 2 2 4 2 3 3 2" xfId="3637" xr:uid="{00000000-0005-0000-0000-0000CE040000}"/>
    <cellStyle name="Moeda 2 2 4 2 3 3 2 2" xfId="10153" xr:uid="{00000000-0005-0000-0000-0000CF040000}"/>
    <cellStyle name="Moeda 2 2 4 2 3 3 3" xfId="5867" xr:uid="{00000000-0005-0000-0000-0000D0040000}"/>
    <cellStyle name="Moeda 2 2 4 2 3 3 3 2" xfId="12381" xr:uid="{00000000-0005-0000-0000-0000D1040000}"/>
    <cellStyle name="Moeda 2 2 4 2 3 3 4" xfId="8097" xr:uid="{00000000-0005-0000-0000-0000D2040000}"/>
    <cellStyle name="Moeda 2 2 4 2 3 4" xfId="2609" xr:uid="{00000000-0005-0000-0000-0000D3040000}"/>
    <cellStyle name="Moeda 2 2 4 2 3 4 2" xfId="9125" xr:uid="{00000000-0005-0000-0000-0000D4040000}"/>
    <cellStyle name="Moeda 2 2 4 2 3 5" xfId="4837" xr:uid="{00000000-0005-0000-0000-0000D5040000}"/>
    <cellStyle name="Moeda 2 2 4 2 3 5 2" xfId="11351" xr:uid="{00000000-0005-0000-0000-0000D6040000}"/>
    <cellStyle name="Moeda 2 2 4 2 3 6" xfId="7067" xr:uid="{00000000-0005-0000-0000-0000D7040000}"/>
    <cellStyle name="Moeda 2 2 4 2 4" xfId="809" xr:uid="{00000000-0005-0000-0000-0000D8040000}"/>
    <cellStyle name="Moeda 2 2 4 2 4 2" xfId="1837" xr:uid="{00000000-0005-0000-0000-0000D9040000}"/>
    <cellStyle name="Moeda 2 2 4 2 4 2 2" xfId="3895" xr:uid="{00000000-0005-0000-0000-0000DA040000}"/>
    <cellStyle name="Moeda 2 2 4 2 4 2 2 2" xfId="10411" xr:uid="{00000000-0005-0000-0000-0000DB040000}"/>
    <cellStyle name="Moeda 2 2 4 2 4 2 3" xfId="6125" xr:uid="{00000000-0005-0000-0000-0000DC040000}"/>
    <cellStyle name="Moeda 2 2 4 2 4 2 3 2" xfId="12639" xr:uid="{00000000-0005-0000-0000-0000DD040000}"/>
    <cellStyle name="Moeda 2 2 4 2 4 2 4" xfId="8355" xr:uid="{00000000-0005-0000-0000-0000DE040000}"/>
    <cellStyle name="Moeda 2 2 4 2 4 3" xfId="2867" xr:uid="{00000000-0005-0000-0000-0000DF040000}"/>
    <cellStyle name="Moeda 2 2 4 2 4 3 2" xfId="9383" xr:uid="{00000000-0005-0000-0000-0000E0040000}"/>
    <cellStyle name="Moeda 2 2 4 2 4 4" xfId="5097" xr:uid="{00000000-0005-0000-0000-0000E1040000}"/>
    <cellStyle name="Moeda 2 2 4 2 4 4 2" xfId="11611" xr:uid="{00000000-0005-0000-0000-0000E2040000}"/>
    <cellStyle name="Moeda 2 2 4 2 4 5" xfId="7327" xr:uid="{00000000-0005-0000-0000-0000E3040000}"/>
    <cellStyle name="Moeda 2 2 4 2 5" xfId="1323" xr:uid="{00000000-0005-0000-0000-0000E4040000}"/>
    <cellStyle name="Moeda 2 2 4 2 5 2" xfId="3381" xr:uid="{00000000-0005-0000-0000-0000E5040000}"/>
    <cellStyle name="Moeda 2 2 4 2 5 2 2" xfId="9897" xr:uid="{00000000-0005-0000-0000-0000E6040000}"/>
    <cellStyle name="Moeda 2 2 4 2 5 3" xfId="5611" xr:uid="{00000000-0005-0000-0000-0000E7040000}"/>
    <cellStyle name="Moeda 2 2 4 2 5 3 2" xfId="12125" xr:uid="{00000000-0005-0000-0000-0000E8040000}"/>
    <cellStyle name="Moeda 2 2 4 2 5 4" xfId="7841" xr:uid="{00000000-0005-0000-0000-0000E9040000}"/>
    <cellStyle name="Moeda 2 2 4 2 6" xfId="2353" xr:uid="{00000000-0005-0000-0000-0000EA040000}"/>
    <cellStyle name="Moeda 2 2 4 2 6 2" xfId="8869" xr:uid="{00000000-0005-0000-0000-0000EB040000}"/>
    <cellStyle name="Moeda 2 2 4 2 7" xfId="4495" xr:uid="{00000000-0005-0000-0000-0000EC040000}"/>
    <cellStyle name="Moeda 2 2 4 2 7 2" xfId="11009" xr:uid="{00000000-0005-0000-0000-0000ED040000}"/>
    <cellStyle name="Moeda 2 2 4 2 8" xfId="6725" xr:uid="{00000000-0005-0000-0000-0000EE040000}"/>
    <cellStyle name="Moeda 2 2 4 3" xfId="262" xr:uid="{00000000-0005-0000-0000-0000EF040000}"/>
    <cellStyle name="Moeda 2 2 4 3 2" xfId="605" xr:uid="{00000000-0005-0000-0000-0000F0040000}"/>
    <cellStyle name="Moeda 2 2 4 3 2 2" xfId="1129" xr:uid="{00000000-0005-0000-0000-0000F1040000}"/>
    <cellStyle name="Moeda 2 2 4 3 2 2 2" xfId="2157" xr:uid="{00000000-0005-0000-0000-0000F2040000}"/>
    <cellStyle name="Moeda 2 2 4 3 2 2 2 2" xfId="4215" xr:uid="{00000000-0005-0000-0000-0000F3040000}"/>
    <cellStyle name="Moeda 2 2 4 3 2 2 2 2 2" xfId="10731" xr:uid="{00000000-0005-0000-0000-0000F4040000}"/>
    <cellStyle name="Moeda 2 2 4 3 2 2 2 3" xfId="6445" xr:uid="{00000000-0005-0000-0000-0000F5040000}"/>
    <cellStyle name="Moeda 2 2 4 3 2 2 2 3 2" xfId="12959" xr:uid="{00000000-0005-0000-0000-0000F6040000}"/>
    <cellStyle name="Moeda 2 2 4 3 2 2 2 4" xfId="8675" xr:uid="{00000000-0005-0000-0000-0000F7040000}"/>
    <cellStyle name="Moeda 2 2 4 3 2 2 3" xfId="3187" xr:uid="{00000000-0005-0000-0000-0000F8040000}"/>
    <cellStyle name="Moeda 2 2 4 3 2 2 3 2" xfId="9703" xr:uid="{00000000-0005-0000-0000-0000F9040000}"/>
    <cellStyle name="Moeda 2 2 4 3 2 2 4" xfId="5417" xr:uid="{00000000-0005-0000-0000-0000FA040000}"/>
    <cellStyle name="Moeda 2 2 4 3 2 2 4 2" xfId="11931" xr:uid="{00000000-0005-0000-0000-0000FB040000}"/>
    <cellStyle name="Moeda 2 2 4 3 2 2 5" xfId="7647" xr:uid="{00000000-0005-0000-0000-0000FC040000}"/>
    <cellStyle name="Moeda 2 2 4 3 2 3" xfId="1643" xr:uid="{00000000-0005-0000-0000-0000FD040000}"/>
    <cellStyle name="Moeda 2 2 4 3 2 3 2" xfId="3701" xr:uid="{00000000-0005-0000-0000-0000FE040000}"/>
    <cellStyle name="Moeda 2 2 4 3 2 3 2 2" xfId="10217" xr:uid="{00000000-0005-0000-0000-0000FF040000}"/>
    <cellStyle name="Moeda 2 2 4 3 2 3 3" xfId="5931" xr:uid="{00000000-0005-0000-0000-000000050000}"/>
    <cellStyle name="Moeda 2 2 4 3 2 3 3 2" xfId="12445" xr:uid="{00000000-0005-0000-0000-000001050000}"/>
    <cellStyle name="Moeda 2 2 4 3 2 3 4" xfId="8161" xr:uid="{00000000-0005-0000-0000-000002050000}"/>
    <cellStyle name="Moeda 2 2 4 3 2 4" xfId="2673" xr:uid="{00000000-0005-0000-0000-000003050000}"/>
    <cellStyle name="Moeda 2 2 4 3 2 4 2" xfId="9189" xr:uid="{00000000-0005-0000-0000-000004050000}"/>
    <cellStyle name="Moeda 2 2 4 3 2 5" xfId="4901" xr:uid="{00000000-0005-0000-0000-000005050000}"/>
    <cellStyle name="Moeda 2 2 4 3 2 5 2" xfId="11415" xr:uid="{00000000-0005-0000-0000-000006050000}"/>
    <cellStyle name="Moeda 2 2 4 3 2 6" xfId="7131" xr:uid="{00000000-0005-0000-0000-000007050000}"/>
    <cellStyle name="Moeda 2 2 4 3 3" xfId="873" xr:uid="{00000000-0005-0000-0000-000008050000}"/>
    <cellStyle name="Moeda 2 2 4 3 3 2" xfId="1901" xr:uid="{00000000-0005-0000-0000-000009050000}"/>
    <cellStyle name="Moeda 2 2 4 3 3 2 2" xfId="3959" xr:uid="{00000000-0005-0000-0000-00000A050000}"/>
    <cellStyle name="Moeda 2 2 4 3 3 2 2 2" xfId="10475" xr:uid="{00000000-0005-0000-0000-00000B050000}"/>
    <cellStyle name="Moeda 2 2 4 3 3 2 3" xfId="6189" xr:uid="{00000000-0005-0000-0000-00000C050000}"/>
    <cellStyle name="Moeda 2 2 4 3 3 2 3 2" xfId="12703" xr:uid="{00000000-0005-0000-0000-00000D050000}"/>
    <cellStyle name="Moeda 2 2 4 3 3 2 4" xfId="8419" xr:uid="{00000000-0005-0000-0000-00000E050000}"/>
    <cellStyle name="Moeda 2 2 4 3 3 3" xfId="2931" xr:uid="{00000000-0005-0000-0000-00000F050000}"/>
    <cellStyle name="Moeda 2 2 4 3 3 3 2" xfId="9447" xr:uid="{00000000-0005-0000-0000-000010050000}"/>
    <cellStyle name="Moeda 2 2 4 3 3 4" xfId="5161" xr:uid="{00000000-0005-0000-0000-000011050000}"/>
    <cellStyle name="Moeda 2 2 4 3 3 4 2" xfId="11675" xr:uid="{00000000-0005-0000-0000-000012050000}"/>
    <cellStyle name="Moeda 2 2 4 3 3 5" xfId="7391" xr:uid="{00000000-0005-0000-0000-000013050000}"/>
    <cellStyle name="Moeda 2 2 4 3 4" xfId="1387" xr:uid="{00000000-0005-0000-0000-000014050000}"/>
    <cellStyle name="Moeda 2 2 4 3 4 2" xfId="3445" xr:uid="{00000000-0005-0000-0000-000015050000}"/>
    <cellStyle name="Moeda 2 2 4 3 4 2 2" xfId="9961" xr:uid="{00000000-0005-0000-0000-000016050000}"/>
    <cellStyle name="Moeda 2 2 4 3 4 3" xfId="5675" xr:uid="{00000000-0005-0000-0000-000017050000}"/>
    <cellStyle name="Moeda 2 2 4 3 4 3 2" xfId="12189" xr:uid="{00000000-0005-0000-0000-000018050000}"/>
    <cellStyle name="Moeda 2 2 4 3 4 4" xfId="7905" xr:uid="{00000000-0005-0000-0000-000019050000}"/>
    <cellStyle name="Moeda 2 2 4 3 5" xfId="2417" xr:uid="{00000000-0005-0000-0000-00001A050000}"/>
    <cellStyle name="Moeda 2 2 4 3 5 2" xfId="8933" xr:uid="{00000000-0005-0000-0000-00001B050000}"/>
    <cellStyle name="Moeda 2 2 4 3 6" xfId="4559" xr:uid="{00000000-0005-0000-0000-00001C050000}"/>
    <cellStyle name="Moeda 2 2 4 3 6 2" xfId="11073" xr:uid="{00000000-0005-0000-0000-00001D050000}"/>
    <cellStyle name="Moeda 2 2 4 3 7" xfId="6789" xr:uid="{00000000-0005-0000-0000-00001E050000}"/>
    <cellStyle name="Moeda 2 2 4 4" xfId="438" xr:uid="{00000000-0005-0000-0000-00001F050000}"/>
    <cellStyle name="Moeda 2 2 4 4 2" xfId="1001" xr:uid="{00000000-0005-0000-0000-000020050000}"/>
    <cellStyle name="Moeda 2 2 4 4 2 2" xfId="2029" xr:uid="{00000000-0005-0000-0000-000021050000}"/>
    <cellStyle name="Moeda 2 2 4 4 2 2 2" xfId="4087" xr:uid="{00000000-0005-0000-0000-000022050000}"/>
    <cellStyle name="Moeda 2 2 4 4 2 2 2 2" xfId="10603" xr:uid="{00000000-0005-0000-0000-000023050000}"/>
    <cellStyle name="Moeda 2 2 4 4 2 2 3" xfId="6317" xr:uid="{00000000-0005-0000-0000-000024050000}"/>
    <cellStyle name="Moeda 2 2 4 4 2 2 3 2" xfId="12831" xr:uid="{00000000-0005-0000-0000-000025050000}"/>
    <cellStyle name="Moeda 2 2 4 4 2 2 4" xfId="8547" xr:uid="{00000000-0005-0000-0000-000026050000}"/>
    <cellStyle name="Moeda 2 2 4 4 2 3" xfId="3059" xr:uid="{00000000-0005-0000-0000-000027050000}"/>
    <cellStyle name="Moeda 2 2 4 4 2 3 2" xfId="9575" xr:uid="{00000000-0005-0000-0000-000028050000}"/>
    <cellStyle name="Moeda 2 2 4 4 2 4" xfId="5289" xr:uid="{00000000-0005-0000-0000-000029050000}"/>
    <cellStyle name="Moeda 2 2 4 4 2 4 2" xfId="11803" xr:uid="{00000000-0005-0000-0000-00002A050000}"/>
    <cellStyle name="Moeda 2 2 4 4 2 5" xfId="7519" xr:uid="{00000000-0005-0000-0000-00002B050000}"/>
    <cellStyle name="Moeda 2 2 4 4 3" xfId="1515" xr:uid="{00000000-0005-0000-0000-00002C050000}"/>
    <cellStyle name="Moeda 2 2 4 4 3 2" xfId="3573" xr:uid="{00000000-0005-0000-0000-00002D050000}"/>
    <cellStyle name="Moeda 2 2 4 4 3 2 2" xfId="10089" xr:uid="{00000000-0005-0000-0000-00002E050000}"/>
    <cellStyle name="Moeda 2 2 4 4 3 3" xfId="5803" xr:uid="{00000000-0005-0000-0000-00002F050000}"/>
    <cellStyle name="Moeda 2 2 4 4 3 3 2" xfId="12317" xr:uid="{00000000-0005-0000-0000-000030050000}"/>
    <cellStyle name="Moeda 2 2 4 4 3 4" xfId="8033" xr:uid="{00000000-0005-0000-0000-000031050000}"/>
    <cellStyle name="Moeda 2 2 4 4 4" xfId="2545" xr:uid="{00000000-0005-0000-0000-000032050000}"/>
    <cellStyle name="Moeda 2 2 4 4 4 2" xfId="9061" xr:uid="{00000000-0005-0000-0000-000033050000}"/>
    <cellStyle name="Moeda 2 2 4 4 5" xfId="4734" xr:uid="{00000000-0005-0000-0000-000034050000}"/>
    <cellStyle name="Moeda 2 2 4 4 5 2" xfId="11248" xr:uid="{00000000-0005-0000-0000-000035050000}"/>
    <cellStyle name="Moeda 2 2 4 4 6" xfId="6964" xr:uid="{00000000-0005-0000-0000-000036050000}"/>
    <cellStyle name="Moeda 2 2 4 5" xfId="745" xr:uid="{00000000-0005-0000-0000-000037050000}"/>
    <cellStyle name="Moeda 2 2 4 5 2" xfId="1773" xr:uid="{00000000-0005-0000-0000-000038050000}"/>
    <cellStyle name="Moeda 2 2 4 5 2 2" xfId="3831" xr:uid="{00000000-0005-0000-0000-000039050000}"/>
    <cellStyle name="Moeda 2 2 4 5 2 2 2" xfId="10347" xr:uid="{00000000-0005-0000-0000-00003A050000}"/>
    <cellStyle name="Moeda 2 2 4 5 2 3" xfId="6061" xr:uid="{00000000-0005-0000-0000-00003B050000}"/>
    <cellStyle name="Moeda 2 2 4 5 2 3 2" xfId="12575" xr:uid="{00000000-0005-0000-0000-00003C050000}"/>
    <cellStyle name="Moeda 2 2 4 5 2 4" xfId="8291" xr:uid="{00000000-0005-0000-0000-00003D050000}"/>
    <cellStyle name="Moeda 2 2 4 5 3" xfId="2803" xr:uid="{00000000-0005-0000-0000-00003E050000}"/>
    <cellStyle name="Moeda 2 2 4 5 3 2" xfId="9319" xr:uid="{00000000-0005-0000-0000-00003F050000}"/>
    <cellStyle name="Moeda 2 2 4 5 4" xfId="5033" xr:uid="{00000000-0005-0000-0000-000040050000}"/>
    <cellStyle name="Moeda 2 2 4 5 4 2" xfId="11547" xr:uid="{00000000-0005-0000-0000-000041050000}"/>
    <cellStyle name="Moeda 2 2 4 5 5" xfId="7263" xr:uid="{00000000-0005-0000-0000-000042050000}"/>
    <cellStyle name="Moeda 2 2 4 6" xfId="1259" xr:uid="{00000000-0005-0000-0000-000043050000}"/>
    <cellStyle name="Moeda 2 2 4 6 2" xfId="3317" xr:uid="{00000000-0005-0000-0000-000044050000}"/>
    <cellStyle name="Moeda 2 2 4 6 2 2" xfId="9833" xr:uid="{00000000-0005-0000-0000-000045050000}"/>
    <cellStyle name="Moeda 2 2 4 6 3" xfId="5547" xr:uid="{00000000-0005-0000-0000-000046050000}"/>
    <cellStyle name="Moeda 2 2 4 6 3 2" xfId="12061" xr:uid="{00000000-0005-0000-0000-000047050000}"/>
    <cellStyle name="Moeda 2 2 4 6 4" xfId="7777" xr:uid="{00000000-0005-0000-0000-000048050000}"/>
    <cellStyle name="Moeda 2 2 4 7" xfId="2289" xr:uid="{00000000-0005-0000-0000-000049050000}"/>
    <cellStyle name="Moeda 2 2 4 7 2" xfId="8805" xr:uid="{00000000-0005-0000-0000-00004A050000}"/>
    <cellStyle name="Moeda 2 2 4 8" xfId="4392" xr:uid="{00000000-0005-0000-0000-00004B050000}"/>
    <cellStyle name="Moeda 2 2 4 8 2" xfId="10906" xr:uid="{00000000-0005-0000-0000-00004C050000}"/>
    <cellStyle name="Moeda 2 2 4 9" xfId="6622" xr:uid="{00000000-0005-0000-0000-00004D050000}"/>
    <cellStyle name="Moeda 2 2 5" xfId="166" xr:uid="{00000000-0005-0000-0000-00004E050000}"/>
    <cellStyle name="Moeda 2 2 5 2" xfId="294" xr:uid="{00000000-0005-0000-0000-00004F050000}"/>
    <cellStyle name="Moeda 2 2 5 2 2" xfId="637" xr:uid="{00000000-0005-0000-0000-000050050000}"/>
    <cellStyle name="Moeda 2 2 5 2 2 2" xfId="1161" xr:uid="{00000000-0005-0000-0000-000051050000}"/>
    <cellStyle name="Moeda 2 2 5 2 2 2 2" xfId="2189" xr:uid="{00000000-0005-0000-0000-000052050000}"/>
    <cellStyle name="Moeda 2 2 5 2 2 2 2 2" xfId="4247" xr:uid="{00000000-0005-0000-0000-000053050000}"/>
    <cellStyle name="Moeda 2 2 5 2 2 2 2 2 2" xfId="10763" xr:uid="{00000000-0005-0000-0000-000054050000}"/>
    <cellStyle name="Moeda 2 2 5 2 2 2 2 3" xfId="6477" xr:uid="{00000000-0005-0000-0000-000055050000}"/>
    <cellStyle name="Moeda 2 2 5 2 2 2 2 3 2" xfId="12991" xr:uid="{00000000-0005-0000-0000-000056050000}"/>
    <cellStyle name="Moeda 2 2 5 2 2 2 2 4" xfId="8707" xr:uid="{00000000-0005-0000-0000-000057050000}"/>
    <cellStyle name="Moeda 2 2 5 2 2 2 3" xfId="3219" xr:uid="{00000000-0005-0000-0000-000058050000}"/>
    <cellStyle name="Moeda 2 2 5 2 2 2 3 2" xfId="9735" xr:uid="{00000000-0005-0000-0000-000059050000}"/>
    <cellStyle name="Moeda 2 2 5 2 2 2 4" xfId="5449" xr:uid="{00000000-0005-0000-0000-00005A050000}"/>
    <cellStyle name="Moeda 2 2 5 2 2 2 4 2" xfId="11963" xr:uid="{00000000-0005-0000-0000-00005B050000}"/>
    <cellStyle name="Moeda 2 2 5 2 2 2 5" xfId="7679" xr:uid="{00000000-0005-0000-0000-00005C050000}"/>
    <cellStyle name="Moeda 2 2 5 2 2 3" xfId="1675" xr:uid="{00000000-0005-0000-0000-00005D050000}"/>
    <cellStyle name="Moeda 2 2 5 2 2 3 2" xfId="3733" xr:uid="{00000000-0005-0000-0000-00005E050000}"/>
    <cellStyle name="Moeda 2 2 5 2 2 3 2 2" xfId="10249" xr:uid="{00000000-0005-0000-0000-00005F050000}"/>
    <cellStyle name="Moeda 2 2 5 2 2 3 3" xfId="5963" xr:uid="{00000000-0005-0000-0000-000060050000}"/>
    <cellStyle name="Moeda 2 2 5 2 2 3 3 2" xfId="12477" xr:uid="{00000000-0005-0000-0000-000061050000}"/>
    <cellStyle name="Moeda 2 2 5 2 2 3 4" xfId="8193" xr:uid="{00000000-0005-0000-0000-000062050000}"/>
    <cellStyle name="Moeda 2 2 5 2 2 4" xfId="2705" xr:uid="{00000000-0005-0000-0000-000063050000}"/>
    <cellStyle name="Moeda 2 2 5 2 2 4 2" xfId="9221" xr:uid="{00000000-0005-0000-0000-000064050000}"/>
    <cellStyle name="Moeda 2 2 5 2 2 5" xfId="4933" xr:uid="{00000000-0005-0000-0000-000065050000}"/>
    <cellStyle name="Moeda 2 2 5 2 2 5 2" xfId="11447" xr:uid="{00000000-0005-0000-0000-000066050000}"/>
    <cellStyle name="Moeda 2 2 5 2 2 6" xfId="7163" xr:uid="{00000000-0005-0000-0000-000067050000}"/>
    <cellStyle name="Moeda 2 2 5 2 3" xfId="905" xr:uid="{00000000-0005-0000-0000-000068050000}"/>
    <cellStyle name="Moeda 2 2 5 2 3 2" xfId="1933" xr:uid="{00000000-0005-0000-0000-000069050000}"/>
    <cellStyle name="Moeda 2 2 5 2 3 2 2" xfId="3991" xr:uid="{00000000-0005-0000-0000-00006A050000}"/>
    <cellStyle name="Moeda 2 2 5 2 3 2 2 2" xfId="10507" xr:uid="{00000000-0005-0000-0000-00006B050000}"/>
    <cellStyle name="Moeda 2 2 5 2 3 2 3" xfId="6221" xr:uid="{00000000-0005-0000-0000-00006C050000}"/>
    <cellStyle name="Moeda 2 2 5 2 3 2 3 2" xfId="12735" xr:uid="{00000000-0005-0000-0000-00006D050000}"/>
    <cellStyle name="Moeda 2 2 5 2 3 2 4" xfId="8451" xr:uid="{00000000-0005-0000-0000-00006E050000}"/>
    <cellStyle name="Moeda 2 2 5 2 3 3" xfId="2963" xr:uid="{00000000-0005-0000-0000-00006F050000}"/>
    <cellStyle name="Moeda 2 2 5 2 3 3 2" xfId="9479" xr:uid="{00000000-0005-0000-0000-000070050000}"/>
    <cellStyle name="Moeda 2 2 5 2 3 4" xfId="5193" xr:uid="{00000000-0005-0000-0000-000071050000}"/>
    <cellStyle name="Moeda 2 2 5 2 3 4 2" xfId="11707" xr:uid="{00000000-0005-0000-0000-000072050000}"/>
    <cellStyle name="Moeda 2 2 5 2 3 5" xfId="7423" xr:uid="{00000000-0005-0000-0000-000073050000}"/>
    <cellStyle name="Moeda 2 2 5 2 4" xfId="1419" xr:uid="{00000000-0005-0000-0000-000074050000}"/>
    <cellStyle name="Moeda 2 2 5 2 4 2" xfId="3477" xr:uid="{00000000-0005-0000-0000-000075050000}"/>
    <cellStyle name="Moeda 2 2 5 2 4 2 2" xfId="9993" xr:uid="{00000000-0005-0000-0000-000076050000}"/>
    <cellStyle name="Moeda 2 2 5 2 4 3" xfId="5707" xr:uid="{00000000-0005-0000-0000-000077050000}"/>
    <cellStyle name="Moeda 2 2 5 2 4 3 2" xfId="12221" xr:uid="{00000000-0005-0000-0000-000078050000}"/>
    <cellStyle name="Moeda 2 2 5 2 4 4" xfId="7937" xr:uid="{00000000-0005-0000-0000-000079050000}"/>
    <cellStyle name="Moeda 2 2 5 2 5" xfId="2449" xr:uid="{00000000-0005-0000-0000-00007A050000}"/>
    <cellStyle name="Moeda 2 2 5 2 5 2" xfId="8965" xr:uid="{00000000-0005-0000-0000-00007B050000}"/>
    <cellStyle name="Moeda 2 2 5 2 6" xfId="4591" xr:uid="{00000000-0005-0000-0000-00007C050000}"/>
    <cellStyle name="Moeda 2 2 5 2 6 2" xfId="11105" xr:uid="{00000000-0005-0000-0000-00007D050000}"/>
    <cellStyle name="Moeda 2 2 5 2 7" xfId="6821" xr:uid="{00000000-0005-0000-0000-00007E050000}"/>
    <cellStyle name="Moeda 2 2 5 3" xfId="509" xr:uid="{00000000-0005-0000-0000-00007F050000}"/>
    <cellStyle name="Moeda 2 2 5 3 2" xfId="1033" xr:uid="{00000000-0005-0000-0000-000080050000}"/>
    <cellStyle name="Moeda 2 2 5 3 2 2" xfId="2061" xr:uid="{00000000-0005-0000-0000-000081050000}"/>
    <cellStyle name="Moeda 2 2 5 3 2 2 2" xfId="4119" xr:uid="{00000000-0005-0000-0000-000082050000}"/>
    <cellStyle name="Moeda 2 2 5 3 2 2 2 2" xfId="10635" xr:uid="{00000000-0005-0000-0000-000083050000}"/>
    <cellStyle name="Moeda 2 2 5 3 2 2 3" xfId="6349" xr:uid="{00000000-0005-0000-0000-000084050000}"/>
    <cellStyle name="Moeda 2 2 5 3 2 2 3 2" xfId="12863" xr:uid="{00000000-0005-0000-0000-000085050000}"/>
    <cellStyle name="Moeda 2 2 5 3 2 2 4" xfId="8579" xr:uid="{00000000-0005-0000-0000-000086050000}"/>
    <cellStyle name="Moeda 2 2 5 3 2 3" xfId="3091" xr:uid="{00000000-0005-0000-0000-000087050000}"/>
    <cellStyle name="Moeda 2 2 5 3 2 3 2" xfId="9607" xr:uid="{00000000-0005-0000-0000-000088050000}"/>
    <cellStyle name="Moeda 2 2 5 3 2 4" xfId="5321" xr:uid="{00000000-0005-0000-0000-000089050000}"/>
    <cellStyle name="Moeda 2 2 5 3 2 4 2" xfId="11835" xr:uid="{00000000-0005-0000-0000-00008A050000}"/>
    <cellStyle name="Moeda 2 2 5 3 2 5" xfId="7551" xr:uid="{00000000-0005-0000-0000-00008B050000}"/>
    <cellStyle name="Moeda 2 2 5 3 3" xfId="1547" xr:uid="{00000000-0005-0000-0000-00008C050000}"/>
    <cellStyle name="Moeda 2 2 5 3 3 2" xfId="3605" xr:uid="{00000000-0005-0000-0000-00008D050000}"/>
    <cellStyle name="Moeda 2 2 5 3 3 2 2" xfId="10121" xr:uid="{00000000-0005-0000-0000-00008E050000}"/>
    <cellStyle name="Moeda 2 2 5 3 3 3" xfId="5835" xr:uid="{00000000-0005-0000-0000-00008F050000}"/>
    <cellStyle name="Moeda 2 2 5 3 3 3 2" xfId="12349" xr:uid="{00000000-0005-0000-0000-000090050000}"/>
    <cellStyle name="Moeda 2 2 5 3 3 4" xfId="8065" xr:uid="{00000000-0005-0000-0000-000091050000}"/>
    <cellStyle name="Moeda 2 2 5 3 4" xfId="2577" xr:uid="{00000000-0005-0000-0000-000092050000}"/>
    <cellStyle name="Moeda 2 2 5 3 4 2" xfId="9093" xr:uid="{00000000-0005-0000-0000-000093050000}"/>
    <cellStyle name="Moeda 2 2 5 3 5" xfId="4805" xr:uid="{00000000-0005-0000-0000-000094050000}"/>
    <cellStyle name="Moeda 2 2 5 3 5 2" xfId="11319" xr:uid="{00000000-0005-0000-0000-000095050000}"/>
    <cellStyle name="Moeda 2 2 5 3 6" xfId="7035" xr:uid="{00000000-0005-0000-0000-000096050000}"/>
    <cellStyle name="Moeda 2 2 5 4" xfId="777" xr:uid="{00000000-0005-0000-0000-000097050000}"/>
    <cellStyle name="Moeda 2 2 5 4 2" xfId="1805" xr:uid="{00000000-0005-0000-0000-000098050000}"/>
    <cellStyle name="Moeda 2 2 5 4 2 2" xfId="3863" xr:uid="{00000000-0005-0000-0000-000099050000}"/>
    <cellStyle name="Moeda 2 2 5 4 2 2 2" xfId="10379" xr:uid="{00000000-0005-0000-0000-00009A050000}"/>
    <cellStyle name="Moeda 2 2 5 4 2 3" xfId="6093" xr:uid="{00000000-0005-0000-0000-00009B050000}"/>
    <cellStyle name="Moeda 2 2 5 4 2 3 2" xfId="12607" xr:uid="{00000000-0005-0000-0000-00009C050000}"/>
    <cellStyle name="Moeda 2 2 5 4 2 4" xfId="8323" xr:uid="{00000000-0005-0000-0000-00009D050000}"/>
    <cellStyle name="Moeda 2 2 5 4 3" xfId="2835" xr:uid="{00000000-0005-0000-0000-00009E050000}"/>
    <cellStyle name="Moeda 2 2 5 4 3 2" xfId="9351" xr:uid="{00000000-0005-0000-0000-00009F050000}"/>
    <cellStyle name="Moeda 2 2 5 4 4" xfId="5065" xr:uid="{00000000-0005-0000-0000-0000A0050000}"/>
    <cellStyle name="Moeda 2 2 5 4 4 2" xfId="11579" xr:uid="{00000000-0005-0000-0000-0000A1050000}"/>
    <cellStyle name="Moeda 2 2 5 4 5" xfId="7295" xr:uid="{00000000-0005-0000-0000-0000A2050000}"/>
    <cellStyle name="Moeda 2 2 5 5" xfId="1291" xr:uid="{00000000-0005-0000-0000-0000A3050000}"/>
    <cellStyle name="Moeda 2 2 5 5 2" xfId="3349" xr:uid="{00000000-0005-0000-0000-0000A4050000}"/>
    <cellStyle name="Moeda 2 2 5 5 2 2" xfId="9865" xr:uid="{00000000-0005-0000-0000-0000A5050000}"/>
    <cellStyle name="Moeda 2 2 5 5 3" xfId="5579" xr:uid="{00000000-0005-0000-0000-0000A6050000}"/>
    <cellStyle name="Moeda 2 2 5 5 3 2" xfId="12093" xr:uid="{00000000-0005-0000-0000-0000A7050000}"/>
    <cellStyle name="Moeda 2 2 5 5 4" xfId="7809" xr:uid="{00000000-0005-0000-0000-0000A8050000}"/>
    <cellStyle name="Moeda 2 2 5 6" xfId="2321" xr:uid="{00000000-0005-0000-0000-0000A9050000}"/>
    <cellStyle name="Moeda 2 2 5 6 2" xfId="8837" xr:uid="{00000000-0005-0000-0000-0000AA050000}"/>
    <cellStyle name="Moeda 2 2 5 7" xfId="4463" xr:uid="{00000000-0005-0000-0000-0000AB050000}"/>
    <cellStyle name="Moeda 2 2 5 7 2" xfId="10977" xr:uid="{00000000-0005-0000-0000-0000AC050000}"/>
    <cellStyle name="Moeda 2 2 5 8" xfId="6693" xr:uid="{00000000-0005-0000-0000-0000AD050000}"/>
    <cellStyle name="Moeda 2 2 6" xfId="230" xr:uid="{00000000-0005-0000-0000-0000AE050000}"/>
    <cellStyle name="Moeda 2 2 6 2" xfId="573" xr:uid="{00000000-0005-0000-0000-0000AF050000}"/>
    <cellStyle name="Moeda 2 2 6 2 2" xfId="1097" xr:uid="{00000000-0005-0000-0000-0000B0050000}"/>
    <cellStyle name="Moeda 2 2 6 2 2 2" xfId="2125" xr:uid="{00000000-0005-0000-0000-0000B1050000}"/>
    <cellStyle name="Moeda 2 2 6 2 2 2 2" xfId="4183" xr:uid="{00000000-0005-0000-0000-0000B2050000}"/>
    <cellStyle name="Moeda 2 2 6 2 2 2 2 2" xfId="10699" xr:uid="{00000000-0005-0000-0000-0000B3050000}"/>
    <cellStyle name="Moeda 2 2 6 2 2 2 3" xfId="6413" xr:uid="{00000000-0005-0000-0000-0000B4050000}"/>
    <cellStyle name="Moeda 2 2 6 2 2 2 3 2" xfId="12927" xr:uid="{00000000-0005-0000-0000-0000B5050000}"/>
    <cellStyle name="Moeda 2 2 6 2 2 2 4" xfId="8643" xr:uid="{00000000-0005-0000-0000-0000B6050000}"/>
    <cellStyle name="Moeda 2 2 6 2 2 3" xfId="3155" xr:uid="{00000000-0005-0000-0000-0000B7050000}"/>
    <cellStyle name="Moeda 2 2 6 2 2 3 2" xfId="9671" xr:uid="{00000000-0005-0000-0000-0000B8050000}"/>
    <cellStyle name="Moeda 2 2 6 2 2 4" xfId="5385" xr:uid="{00000000-0005-0000-0000-0000B9050000}"/>
    <cellStyle name="Moeda 2 2 6 2 2 4 2" xfId="11899" xr:uid="{00000000-0005-0000-0000-0000BA050000}"/>
    <cellStyle name="Moeda 2 2 6 2 2 5" xfId="7615" xr:uid="{00000000-0005-0000-0000-0000BB050000}"/>
    <cellStyle name="Moeda 2 2 6 2 3" xfId="1611" xr:uid="{00000000-0005-0000-0000-0000BC050000}"/>
    <cellStyle name="Moeda 2 2 6 2 3 2" xfId="3669" xr:uid="{00000000-0005-0000-0000-0000BD050000}"/>
    <cellStyle name="Moeda 2 2 6 2 3 2 2" xfId="10185" xr:uid="{00000000-0005-0000-0000-0000BE050000}"/>
    <cellStyle name="Moeda 2 2 6 2 3 3" xfId="5899" xr:uid="{00000000-0005-0000-0000-0000BF050000}"/>
    <cellStyle name="Moeda 2 2 6 2 3 3 2" xfId="12413" xr:uid="{00000000-0005-0000-0000-0000C0050000}"/>
    <cellStyle name="Moeda 2 2 6 2 3 4" xfId="8129" xr:uid="{00000000-0005-0000-0000-0000C1050000}"/>
    <cellStyle name="Moeda 2 2 6 2 4" xfId="2641" xr:uid="{00000000-0005-0000-0000-0000C2050000}"/>
    <cellStyle name="Moeda 2 2 6 2 4 2" xfId="9157" xr:uid="{00000000-0005-0000-0000-0000C3050000}"/>
    <cellStyle name="Moeda 2 2 6 2 5" xfId="4869" xr:uid="{00000000-0005-0000-0000-0000C4050000}"/>
    <cellStyle name="Moeda 2 2 6 2 5 2" xfId="11383" xr:uid="{00000000-0005-0000-0000-0000C5050000}"/>
    <cellStyle name="Moeda 2 2 6 2 6" xfId="7099" xr:uid="{00000000-0005-0000-0000-0000C6050000}"/>
    <cellStyle name="Moeda 2 2 6 3" xfId="841" xr:uid="{00000000-0005-0000-0000-0000C7050000}"/>
    <cellStyle name="Moeda 2 2 6 3 2" xfId="1869" xr:uid="{00000000-0005-0000-0000-0000C8050000}"/>
    <cellStyle name="Moeda 2 2 6 3 2 2" xfId="3927" xr:uid="{00000000-0005-0000-0000-0000C9050000}"/>
    <cellStyle name="Moeda 2 2 6 3 2 2 2" xfId="10443" xr:uid="{00000000-0005-0000-0000-0000CA050000}"/>
    <cellStyle name="Moeda 2 2 6 3 2 3" xfId="6157" xr:uid="{00000000-0005-0000-0000-0000CB050000}"/>
    <cellStyle name="Moeda 2 2 6 3 2 3 2" xfId="12671" xr:uid="{00000000-0005-0000-0000-0000CC050000}"/>
    <cellStyle name="Moeda 2 2 6 3 2 4" xfId="8387" xr:uid="{00000000-0005-0000-0000-0000CD050000}"/>
    <cellStyle name="Moeda 2 2 6 3 3" xfId="2899" xr:uid="{00000000-0005-0000-0000-0000CE050000}"/>
    <cellStyle name="Moeda 2 2 6 3 3 2" xfId="9415" xr:uid="{00000000-0005-0000-0000-0000CF050000}"/>
    <cellStyle name="Moeda 2 2 6 3 4" xfId="5129" xr:uid="{00000000-0005-0000-0000-0000D0050000}"/>
    <cellStyle name="Moeda 2 2 6 3 4 2" xfId="11643" xr:uid="{00000000-0005-0000-0000-0000D1050000}"/>
    <cellStyle name="Moeda 2 2 6 3 5" xfId="7359" xr:uid="{00000000-0005-0000-0000-0000D2050000}"/>
    <cellStyle name="Moeda 2 2 6 4" xfId="1355" xr:uid="{00000000-0005-0000-0000-0000D3050000}"/>
    <cellStyle name="Moeda 2 2 6 4 2" xfId="3413" xr:uid="{00000000-0005-0000-0000-0000D4050000}"/>
    <cellStyle name="Moeda 2 2 6 4 2 2" xfId="9929" xr:uid="{00000000-0005-0000-0000-0000D5050000}"/>
    <cellStyle name="Moeda 2 2 6 4 3" xfId="5643" xr:uid="{00000000-0005-0000-0000-0000D6050000}"/>
    <cellStyle name="Moeda 2 2 6 4 3 2" xfId="12157" xr:uid="{00000000-0005-0000-0000-0000D7050000}"/>
    <cellStyle name="Moeda 2 2 6 4 4" xfId="7873" xr:uid="{00000000-0005-0000-0000-0000D8050000}"/>
    <cellStyle name="Moeda 2 2 6 5" xfId="2385" xr:uid="{00000000-0005-0000-0000-0000D9050000}"/>
    <cellStyle name="Moeda 2 2 6 5 2" xfId="8901" xr:uid="{00000000-0005-0000-0000-0000DA050000}"/>
    <cellStyle name="Moeda 2 2 6 6" xfId="4527" xr:uid="{00000000-0005-0000-0000-0000DB050000}"/>
    <cellStyle name="Moeda 2 2 6 6 2" xfId="11041" xr:uid="{00000000-0005-0000-0000-0000DC050000}"/>
    <cellStyle name="Moeda 2 2 6 7" xfId="6757" xr:uid="{00000000-0005-0000-0000-0000DD050000}"/>
    <cellStyle name="Moeda 2 2 7" xfId="364" xr:uid="{00000000-0005-0000-0000-0000DE050000}"/>
    <cellStyle name="Moeda 2 2 7 2" xfId="969" xr:uid="{00000000-0005-0000-0000-0000DF050000}"/>
    <cellStyle name="Moeda 2 2 7 2 2" xfId="1997" xr:uid="{00000000-0005-0000-0000-0000E0050000}"/>
    <cellStyle name="Moeda 2 2 7 2 2 2" xfId="4055" xr:uid="{00000000-0005-0000-0000-0000E1050000}"/>
    <cellStyle name="Moeda 2 2 7 2 2 2 2" xfId="10571" xr:uid="{00000000-0005-0000-0000-0000E2050000}"/>
    <cellStyle name="Moeda 2 2 7 2 2 3" xfId="6285" xr:uid="{00000000-0005-0000-0000-0000E3050000}"/>
    <cellStyle name="Moeda 2 2 7 2 2 3 2" xfId="12799" xr:uid="{00000000-0005-0000-0000-0000E4050000}"/>
    <cellStyle name="Moeda 2 2 7 2 2 4" xfId="8515" xr:uid="{00000000-0005-0000-0000-0000E5050000}"/>
    <cellStyle name="Moeda 2 2 7 2 3" xfId="3027" xr:uid="{00000000-0005-0000-0000-0000E6050000}"/>
    <cellStyle name="Moeda 2 2 7 2 3 2" xfId="9543" xr:uid="{00000000-0005-0000-0000-0000E7050000}"/>
    <cellStyle name="Moeda 2 2 7 2 4" xfId="5257" xr:uid="{00000000-0005-0000-0000-0000E8050000}"/>
    <cellStyle name="Moeda 2 2 7 2 4 2" xfId="11771" xr:uid="{00000000-0005-0000-0000-0000E9050000}"/>
    <cellStyle name="Moeda 2 2 7 2 5" xfId="7487" xr:uid="{00000000-0005-0000-0000-0000EA050000}"/>
    <cellStyle name="Moeda 2 2 7 3" xfId="1483" xr:uid="{00000000-0005-0000-0000-0000EB050000}"/>
    <cellStyle name="Moeda 2 2 7 3 2" xfId="3541" xr:uid="{00000000-0005-0000-0000-0000EC050000}"/>
    <cellStyle name="Moeda 2 2 7 3 2 2" xfId="10057" xr:uid="{00000000-0005-0000-0000-0000ED050000}"/>
    <cellStyle name="Moeda 2 2 7 3 3" xfId="5771" xr:uid="{00000000-0005-0000-0000-0000EE050000}"/>
    <cellStyle name="Moeda 2 2 7 3 3 2" xfId="12285" xr:uid="{00000000-0005-0000-0000-0000EF050000}"/>
    <cellStyle name="Moeda 2 2 7 3 4" xfId="8001" xr:uid="{00000000-0005-0000-0000-0000F0050000}"/>
    <cellStyle name="Moeda 2 2 7 4" xfId="2513" xr:uid="{00000000-0005-0000-0000-0000F1050000}"/>
    <cellStyle name="Moeda 2 2 7 4 2" xfId="9029" xr:uid="{00000000-0005-0000-0000-0000F2050000}"/>
    <cellStyle name="Moeda 2 2 7 5" xfId="4660" xr:uid="{00000000-0005-0000-0000-0000F3050000}"/>
    <cellStyle name="Moeda 2 2 7 5 2" xfId="11174" xr:uid="{00000000-0005-0000-0000-0000F4050000}"/>
    <cellStyle name="Moeda 2 2 7 6" xfId="6890" xr:uid="{00000000-0005-0000-0000-0000F5050000}"/>
    <cellStyle name="Moeda 2 2 8" xfId="710" xr:uid="{00000000-0005-0000-0000-0000F6050000}"/>
    <cellStyle name="Moeda 2 2 8 2" xfId="1741" xr:uid="{00000000-0005-0000-0000-0000F7050000}"/>
    <cellStyle name="Moeda 2 2 8 2 2" xfId="3799" xr:uid="{00000000-0005-0000-0000-0000F8050000}"/>
    <cellStyle name="Moeda 2 2 8 2 2 2" xfId="10315" xr:uid="{00000000-0005-0000-0000-0000F9050000}"/>
    <cellStyle name="Moeda 2 2 8 2 3" xfId="6029" xr:uid="{00000000-0005-0000-0000-0000FA050000}"/>
    <cellStyle name="Moeda 2 2 8 2 3 2" xfId="12543" xr:uid="{00000000-0005-0000-0000-0000FB050000}"/>
    <cellStyle name="Moeda 2 2 8 2 4" xfId="8259" xr:uid="{00000000-0005-0000-0000-0000FC050000}"/>
    <cellStyle name="Moeda 2 2 8 3" xfId="2771" xr:uid="{00000000-0005-0000-0000-0000FD050000}"/>
    <cellStyle name="Moeda 2 2 8 3 2" xfId="9287" xr:uid="{00000000-0005-0000-0000-0000FE050000}"/>
    <cellStyle name="Moeda 2 2 8 4" xfId="5001" xr:uid="{00000000-0005-0000-0000-0000FF050000}"/>
    <cellStyle name="Moeda 2 2 8 4 2" xfId="11515" xr:uid="{00000000-0005-0000-0000-000000060000}"/>
    <cellStyle name="Moeda 2 2 8 5" xfId="7231" xr:uid="{00000000-0005-0000-0000-000001060000}"/>
    <cellStyle name="Moeda 2 2 9" xfId="1227" xr:uid="{00000000-0005-0000-0000-000002060000}"/>
    <cellStyle name="Moeda 2 2 9 2" xfId="3285" xr:uid="{00000000-0005-0000-0000-000003060000}"/>
    <cellStyle name="Moeda 2 2 9 2 2" xfId="9801" xr:uid="{00000000-0005-0000-0000-000004060000}"/>
    <cellStyle name="Moeda 2 2 9 3" xfId="5515" xr:uid="{00000000-0005-0000-0000-000005060000}"/>
    <cellStyle name="Moeda 2 2 9 3 2" xfId="12029" xr:uid="{00000000-0005-0000-0000-000006060000}"/>
    <cellStyle name="Moeda 2 2 9 4" xfId="7745" xr:uid="{00000000-0005-0000-0000-000007060000}"/>
    <cellStyle name="Moeda 2 3" xfId="703" xr:uid="{00000000-0005-0000-0000-000008060000}"/>
    <cellStyle name="Moeda 2 3 2" xfId="1738" xr:uid="{00000000-0005-0000-0000-000009060000}"/>
    <cellStyle name="Moeda 2 3 2 2" xfId="3796" xr:uid="{00000000-0005-0000-0000-00000A060000}"/>
    <cellStyle name="Moeda 2 3 2 2 2" xfId="10312" xr:uid="{00000000-0005-0000-0000-00000B060000}"/>
    <cellStyle name="Moeda 2 3 2 3" xfId="6026" xr:uid="{00000000-0005-0000-0000-00000C060000}"/>
    <cellStyle name="Moeda 2 3 2 3 2" xfId="12540" xr:uid="{00000000-0005-0000-0000-00000D060000}"/>
    <cellStyle name="Moeda 2 3 2 4" xfId="8256" xr:uid="{00000000-0005-0000-0000-00000E060000}"/>
    <cellStyle name="Moeda 2 3 3" xfId="2768" xr:uid="{00000000-0005-0000-0000-00000F060000}"/>
    <cellStyle name="Moeda 2 3 3 2" xfId="9284" xr:uid="{00000000-0005-0000-0000-000010060000}"/>
    <cellStyle name="Moeda 2 3 4" xfId="4998" xr:uid="{00000000-0005-0000-0000-000011060000}"/>
    <cellStyle name="Moeda 2 3 4 2" xfId="11512" xr:uid="{00000000-0005-0000-0000-000012060000}"/>
    <cellStyle name="Moeda 2 3 5" xfId="7228" xr:uid="{00000000-0005-0000-0000-000013060000}"/>
    <cellStyle name="Moeda 2 4" xfId="1224" xr:uid="{00000000-0005-0000-0000-000014060000}"/>
    <cellStyle name="Moeda 2 4 2" xfId="3282" xr:uid="{00000000-0005-0000-0000-000015060000}"/>
    <cellStyle name="Moeda 2 4 2 2" xfId="9798" xr:uid="{00000000-0005-0000-0000-000016060000}"/>
    <cellStyle name="Moeda 2 4 3" xfId="5512" xr:uid="{00000000-0005-0000-0000-000017060000}"/>
    <cellStyle name="Moeda 2 4 3 2" xfId="12026" xr:uid="{00000000-0005-0000-0000-000018060000}"/>
    <cellStyle name="Moeda 2 4 4" xfId="7742" xr:uid="{00000000-0005-0000-0000-000019060000}"/>
    <cellStyle name="Moeda 2 5" xfId="2254" xr:uid="{00000000-0005-0000-0000-00001A060000}"/>
    <cellStyle name="Moeda 2 5 2" xfId="8770" xr:uid="{00000000-0005-0000-0000-00001B060000}"/>
    <cellStyle name="Moeda 2 6" xfId="4313" xr:uid="{00000000-0005-0000-0000-00001C060000}"/>
    <cellStyle name="Moeda 2 6 2" xfId="10827" xr:uid="{00000000-0005-0000-0000-00001D060000}"/>
    <cellStyle name="Moeda 2 7" xfId="6543" xr:uid="{00000000-0005-0000-0000-00001E060000}"/>
    <cellStyle name="Normal" xfId="0" builtinId="0"/>
    <cellStyle name="Normal 10" xfId="14" xr:uid="{00000000-0005-0000-0000-000020060000}"/>
    <cellStyle name="Normal 10 10" xfId="6545" xr:uid="{00000000-0005-0000-0000-000021060000}"/>
    <cellStyle name="Normal 10 2" xfId="22" xr:uid="{00000000-0005-0000-0000-000022060000}"/>
    <cellStyle name="Normal 10 2 2" xfId="37" xr:uid="{00000000-0005-0000-0000-000023060000}"/>
    <cellStyle name="Normal 10 2 2 2" xfId="75" xr:uid="{00000000-0005-0000-0000-000024060000}"/>
    <cellStyle name="Normal 10 2 2 2 2" xfId="149" xr:uid="{00000000-0005-0000-0000-000025060000}"/>
    <cellStyle name="Normal 10 2 2 2 2 2" xfId="492" xr:uid="{00000000-0005-0000-0000-000026060000}"/>
    <cellStyle name="Normal 10 2 2 2 2 2 2" xfId="4788" xr:uid="{00000000-0005-0000-0000-000027060000}"/>
    <cellStyle name="Normal 10 2 2 2 2 2 2 2" xfId="11302" xr:uid="{00000000-0005-0000-0000-000028060000}"/>
    <cellStyle name="Normal 10 2 2 2 2 2 3" xfId="7018" xr:uid="{00000000-0005-0000-0000-000029060000}"/>
    <cellStyle name="Normal 10 2 2 2 2 3" xfId="4446" xr:uid="{00000000-0005-0000-0000-00002A060000}"/>
    <cellStyle name="Normal 10 2 2 2 2 3 2" xfId="10960" xr:uid="{00000000-0005-0000-0000-00002B060000}"/>
    <cellStyle name="Normal 10 2 2 2 2 4" xfId="6676" xr:uid="{00000000-0005-0000-0000-00002C060000}"/>
    <cellStyle name="Normal 10 2 2 2 3" xfId="418" xr:uid="{00000000-0005-0000-0000-00002D060000}"/>
    <cellStyle name="Normal 10 2 2 2 3 2" xfId="4714" xr:uid="{00000000-0005-0000-0000-00002E060000}"/>
    <cellStyle name="Normal 10 2 2 2 3 2 2" xfId="11228" xr:uid="{00000000-0005-0000-0000-00002F060000}"/>
    <cellStyle name="Normal 10 2 2 2 3 3" xfId="6944" xr:uid="{00000000-0005-0000-0000-000030060000}"/>
    <cellStyle name="Normal 10 2 2 2 4" xfId="4372" xr:uid="{00000000-0005-0000-0000-000031060000}"/>
    <cellStyle name="Normal 10 2 2 2 4 2" xfId="10886" xr:uid="{00000000-0005-0000-0000-000032060000}"/>
    <cellStyle name="Normal 10 2 2 2 5" xfId="6602" xr:uid="{00000000-0005-0000-0000-000033060000}"/>
    <cellStyle name="Normal 10 2 2 3" xfId="112" xr:uid="{00000000-0005-0000-0000-000034060000}"/>
    <cellStyle name="Normal 10 2 2 3 2" xfId="455" xr:uid="{00000000-0005-0000-0000-000035060000}"/>
    <cellStyle name="Normal 10 2 2 3 2 2" xfId="4751" xr:uid="{00000000-0005-0000-0000-000036060000}"/>
    <cellStyle name="Normal 10 2 2 3 2 2 2" xfId="11265" xr:uid="{00000000-0005-0000-0000-000037060000}"/>
    <cellStyle name="Normal 10 2 2 3 2 3" xfId="6981" xr:uid="{00000000-0005-0000-0000-000038060000}"/>
    <cellStyle name="Normal 10 2 2 3 3" xfId="4409" xr:uid="{00000000-0005-0000-0000-000039060000}"/>
    <cellStyle name="Normal 10 2 2 3 3 2" xfId="10923" xr:uid="{00000000-0005-0000-0000-00003A060000}"/>
    <cellStyle name="Normal 10 2 2 3 4" xfId="6639" xr:uid="{00000000-0005-0000-0000-00003B060000}"/>
    <cellStyle name="Normal 10 2 2 4" xfId="381" xr:uid="{00000000-0005-0000-0000-00003C060000}"/>
    <cellStyle name="Normal 10 2 2 4 2" xfId="4677" xr:uid="{00000000-0005-0000-0000-00003D060000}"/>
    <cellStyle name="Normal 10 2 2 4 2 2" xfId="11191" xr:uid="{00000000-0005-0000-0000-00003E060000}"/>
    <cellStyle name="Normal 10 2 2 4 3" xfId="6907" xr:uid="{00000000-0005-0000-0000-00003F060000}"/>
    <cellStyle name="Normal 10 2 2 5" xfId="4335" xr:uid="{00000000-0005-0000-0000-000040060000}"/>
    <cellStyle name="Normal 10 2 2 5 2" xfId="10849" xr:uid="{00000000-0005-0000-0000-000041060000}"/>
    <cellStyle name="Normal 10 2 2 6" xfId="6565" xr:uid="{00000000-0005-0000-0000-000042060000}"/>
    <cellStyle name="Normal 10 2 3" xfId="54" xr:uid="{00000000-0005-0000-0000-000043060000}"/>
    <cellStyle name="Normal 10 2 3 2" xfId="128" xr:uid="{00000000-0005-0000-0000-000044060000}"/>
    <cellStyle name="Normal 10 2 3 2 2" xfId="471" xr:uid="{00000000-0005-0000-0000-000045060000}"/>
    <cellStyle name="Normal 10 2 3 2 2 2" xfId="4767" xr:uid="{00000000-0005-0000-0000-000046060000}"/>
    <cellStyle name="Normal 10 2 3 2 2 2 2" xfId="11281" xr:uid="{00000000-0005-0000-0000-000047060000}"/>
    <cellStyle name="Normal 10 2 3 2 2 3" xfId="6997" xr:uid="{00000000-0005-0000-0000-000048060000}"/>
    <cellStyle name="Normal 10 2 3 2 3" xfId="4425" xr:uid="{00000000-0005-0000-0000-000049060000}"/>
    <cellStyle name="Normal 10 2 3 2 3 2" xfId="10939" xr:uid="{00000000-0005-0000-0000-00004A060000}"/>
    <cellStyle name="Normal 10 2 3 2 4" xfId="6655" xr:uid="{00000000-0005-0000-0000-00004B060000}"/>
    <cellStyle name="Normal 10 2 3 3" xfId="397" xr:uid="{00000000-0005-0000-0000-00004C060000}"/>
    <cellStyle name="Normal 10 2 3 3 2" xfId="4693" xr:uid="{00000000-0005-0000-0000-00004D060000}"/>
    <cellStyle name="Normal 10 2 3 3 2 2" xfId="11207" xr:uid="{00000000-0005-0000-0000-00004E060000}"/>
    <cellStyle name="Normal 10 2 3 3 3" xfId="6923" xr:uid="{00000000-0005-0000-0000-00004F060000}"/>
    <cellStyle name="Normal 10 2 3 4" xfId="4351" xr:uid="{00000000-0005-0000-0000-000050060000}"/>
    <cellStyle name="Normal 10 2 3 4 2" xfId="10865" xr:uid="{00000000-0005-0000-0000-000051060000}"/>
    <cellStyle name="Normal 10 2 3 5" xfId="6581" xr:uid="{00000000-0005-0000-0000-000052060000}"/>
    <cellStyle name="Normal 10 2 4" xfId="97" xr:uid="{00000000-0005-0000-0000-000053060000}"/>
    <cellStyle name="Normal 10 2 4 2" xfId="440" xr:uid="{00000000-0005-0000-0000-000054060000}"/>
    <cellStyle name="Normal 10 2 4 2 2" xfId="4736" xr:uid="{00000000-0005-0000-0000-000055060000}"/>
    <cellStyle name="Normal 10 2 4 2 2 2" xfId="11250" xr:uid="{00000000-0005-0000-0000-000056060000}"/>
    <cellStyle name="Normal 10 2 4 2 3" xfId="6966" xr:uid="{00000000-0005-0000-0000-000057060000}"/>
    <cellStyle name="Normal 10 2 4 3" xfId="4394" xr:uid="{00000000-0005-0000-0000-000058060000}"/>
    <cellStyle name="Normal 10 2 4 3 2" xfId="10908" xr:uid="{00000000-0005-0000-0000-000059060000}"/>
    <cellStyle name="Normal 10 2 4 4" xfId="6624" xr:uid="{00000000-0005-0000-0000-00005A060000}"/>
    <cellStyle name="Normal 10 2 5" xfId="366" xr:uid="{00000000-0005-0000-0000-00005B060000}"/>
    <cellStyle name="Normal 10 2 5 2" xfId="4662" xr:uid="{00000000-0005-0000-0000-00005C060000}"/>
    <cellStyle name="Normal 10 2 5 2 2" xfId="11176" xr:uid="{00000000-0005-0000-0000-00005D060000}"/>
    <cellStyle name="Normal 10 2 5 3" xfId="6892" xr:uid="{00000000-0005-0000-0000-00005E060000}"/>
    <cellStyle name="Normal 10 2 6" xfId="4320" xr:uid="{00000000-0005-0000-0000-00005F060000}"/>
    <cellStyle name="Normal 10 2 6 2" xfId="10834" xr:uid="{00000000-0005-0000-0000-000060060000}"/>
    <cellStyle name="Normal 10 2 7" xfId="6550" xr:uid="{00000000-0005-0000-0000-000061060000}"/>
    <cellStyle name="Normal 10 3" xfId="25" xr:uid="{00000000-0005-0000-0000-000062060000}"/>
    <cellStyle name="Normal 10 3 2" xfId="40" xr:uid="{00000000-0005-0000-0000-000063060000}"/>
    <cellStyle name="Normal 10 3 2 2" xfId="78" xr:uid="{00000000-0005-0000-0000-000064060000}"/>
    <cellStyle name="Normal 10 3 2 2 2" xfId="152" xr:uid="{00000000-0005-0000-0000-000065060000}"/>
    <cellStyle name="Normal 10 3 2 2 2 2" xfId="495" xr:uid="{00000000-0005-0000-0000-000066060000}"/>
    <cellStyle name="Normal 10 3 2 2 2 2 2" xfId="4791" xr:uid="{00000000-0005-0000-0000-000067060000}"/>
    <cellStyle name="Normal 10 3 2 2 2 2 2 2" xfId="11305" xr:uid="{00000000-0005-0000-0000-000068060000}"/>
    <cellStyle name="Normal 10 3 2 2 2 2 3" xfId="7021" xr:uid="{00000000-0005-0000-0000-000069060000}"/>
    <cellStyle name="Normal 10 3 2 2 2 3" xfId="4449" xr:uid="{00000000-0005-0000-0000-00006A060000}"/>
    <cellStyle name="Normal 10 3 2 2 2 3 2" xfId="10963" xr:uid="{00000000-0005-0000-0000-00006B060000}"/>
    <cellStyle name="Normal 10 3 2 2 2 4" xfId="6679" xr:uid="{00000000-0005-0000-0000-00006C060000}"/>
    <cellStyle name="Normal 10 3 2 2 3" xfId="421" xr:uid="{00000000-0005-0000-0000-00006D060000}"/>
    <cellStyle name="Normal 10 3 2 2 3 2" xfId="4717" xr:uid="{00000000-0005-0000-0000-00006E060000}"/>
    <cellStyle name="Normal 10 3 2 2 3 2 2" xfId="11231" xr:uid="{00000000-0005-0000-0000-00006F060000}"/>
    <cellStyle name="Normal 10 3 2 2 3 3" xfId="6947" xr:uid="{00000000-0005-0000-0000-000070060000}"/>
    <cellStyle name="Normal 10 3 2 2 4" xfId="4375" xr:uid="{00000000-0005-0000-0000-000071060000}"/>
    <cellStyle name="Normal 10 3 2 2 4 2" xfId="10889" xr:uid="{00000000-0005-0000-0000-000072060000}"/>
    <cellStyle name="Normal 10 3 2 2 5" xfId="6605" xr:uid="{00000000-0005-0000-0000-000073060000}"/>
    <cellStyle name="Normal 10 3 2 3" xfId="115" xr:uid="{00000000-0005-0000-0000-000074060000}"/>
    <cellStyle name="Normal 10 3 2 3 2" xfId="458" xr:uid="{00000000-0005-0000-0000-000075060000}"/>
    <cellStyle name="Normal 10 3 2 3 2 2" xfId="4754" xr:uid="{00000000-0005-0000-0000-000076060000}"/>
    <cellStyle name="Normal 10 3 2 3 2 2 2" xfId="11268" xr:uid="{00000000-0005-0000-0000-000077060000}"/>
    <cellStyle name="Normal 10 3 2 3 2 3" xfId="6984" xr:uid="{00000000-0005-0000-0000-000078060000}"/>
    <cellStyle name="Normal 10 3 2 3 3" xfId="4412" xr:uid="{00000000-0005-0000-0000-000079060000}"/>
    <cellStyle name="Normal 10 3 2 3 3 2" xfId="10926" xr:uid="{00000000-0005-0000-0000-00007A060000}"/>
    <cellStyle name="Normal 10 3 2 3 4" xfId="6642" xr:uid="{00000000-0005-0000-0000-00007B060000}"/>
    <cellStyle name="Normal 10 3 2 4" xfId="384" xr:uid="{00000000-0005-0000-0000-00007C060000}"/>
    <cellStyle name="Normal 10 3 2 4 2" xfId="4680" xr:uid="{00000000-0005-0000-0000-00007D060000}"/>
    <cellStyle name="Normal 10 3 2 4 2 2" xfId="11194" xr:uid="{00000000-0005-0000-0000-00007E060000}"/>
    <cellStyle name="Normal 10 3 2 4 3" xfId="6910" xr:uid="{00000000-0005-0000-0000-00007F060000}"/>
    <cellStyle name="Normal 10 3 2 5" xfId="4338" xr:uid="{00000000-0005-0000-0000-000080060000}"/>
    <cellStyle name="Normal 10 3 2 5 2" xfId="10852" xr:uid="{00000000-0005-0000-0000-000081060000}"/>
    <cellStyle name="Normal 10 3 2 6" xfId="6568" xr:uid="{00000000-0005-0000-0000-000082060000}"/>
    <cellStyle name="Normal 10 3 3" xfId="57" xr:uid="{00000000-0005-0000-0000-000083060000}"/>
    <cellStyle name="Normal 10 3 3 2" xfId="131" xr:uid="{00000000-0005-0000-0000-000084060000}"/>
    <cellStyle name="Normal 10 3 3 2 2" xfId="474" xr:uid="{00000000-0005-0000-0000-000085060000}"/>
    <cellStyle name="Normal 10 3 3 2 2 2" xfId="4770" xr:uid="{00000000-0005-0000-0000-000086060000}"/>
    <cellStyle name="Normal 10 3 3 2 2 2 2" xfId="11284" xr:uid="{00000000-0005-0000-0000-000087060000}"/>
    <cellStyle name="Normal 10 3 3 2 2 3" xfId="7000" xr:uid="{00000000-0005-0000-0000-000088060000}"/>
    <cellStyle name="Normal 10 3 3 2 3" xfId="4428" xr:uid="{00000000-0005-0000-0000-000089060000}"/>
    <cellStyle name="Normal 10 3 3 2 3 2" xfId="10942" xr:uid="{00000000-0005-0000-0000-00008A060000}"/>
    <cellStyle name="Normal 10 3 3 2 4" xfId="6658" xr:uid="{00000000-0005-0000-0000-00008B060000}"/>
    <cellStyle name="Normal 10 3 3 3" xfId="400" xr:uid="{00000000-0005-0000-0000-00008C060000}"/>
    <cellStyle name="Normal 10 3 3 3 2" xfId="4696" xr:uid="{00000000-0005-0000-0000-00008D060000}"/>
    <cellStyle name="Normal 10 3 3 3 2 2" xfId="11210" xr:uid="{00000000-0005-0000-0000-00008E060000}"/>
    <cellStyle name="Normal 10 3 3 3 3" xfId="6926" xr:uid="{00000000-0005-0000-0000-00008F060000}"/>
    <cellStyle name="Normal 10 3 3 4" xfId="4354" xr:uid="{00000000-0005-0000-0000-000090060000}"/>
    <cellStyle name="Normal 10 3 3 4 2" xfId="10868" xr:uid="{00000000-0005-0000-0000-000091060000}"/>
    <cellStyle name="Normal 10 3 3 5" xfId="6584" xr:uid="{00000000-0005-0000-0000-000092060000}"/>
    <cellStyle name="Normal 10 3 4" xfId="100" xr:uid="{00000000-0005-0000-0000-000093060000}"/>
    <cellStyle name="Normal 10 3 4 2" xfId="443" xr:uid="{00000000-0005-0000-0000-000094060000}"/>
    <cellStyle name="Normal 10 3 4 2 2" xfId="4739" xr:uid="{00000000-0005-0000-0000-000095060000}"/>
    <cellStyle name="Normal 10 3 4 2 2 2" xfId="11253" xr:uid="{00000000-0005-0000-0000-000096060000}"/>
    <cellStyle name="Normal 10 3 4 2 3" xfId="6969" xr:uid="{00000000-0005-0000-0000-000097060000}"/>
    <cellStyle name="Normal 10 3 4 3" xfId="4397" xr:uid="{00000000-0005-0000-0000-000098060000}"/>
    <cellStyle name="Normal 10 3 4 3 2" xfId="10911" xr:uid="{00000000-0005-0000-0000-000099060000}"/>
    <cellStyle name="Normal 10 3 4 4" xfId="6627" xr:uid="{00000000-0005-0000-0000-00009A060000}"/>
    <cellStyle name="Normal 10 3 5" xfId="369" xr:uid="{00000000-0005-0000-0000-00009B060000}"/>
    <cellStyle name="Normal 10 3 5 2" xfId="4665" xr:uid="{00000000-0005-0000-0000-00009C060000}"/>
    <cellStyle name="Normal 10 3 5 2 2" xfId="11179" xr:uid="{00000000-0005-0000-0000-00009D060000}"/>
    <cellStyle name="Normal 10 3 5 3" xfId="6895" xr:uid="{00000000-0005-0000-0000-00009E060000}"/>
    <cellStyle name="Normal 10 3 6" xfId="4323" xr:uid="{00000000-0005-0000-0000-00009F060000}"/>
    <cellStyle name="Normal 10 3 6 2" xfId="10837" xr:uid="{00000000-0005-0000-0000-0000A0060000}"/>
    <cellStyle name="Normal 10 3 7" xfId="6553" xr:uid="{00000000-0005-0000-0000-0000A1060000}"/>
    <cellStyle name="Normal 10 4" xfId="28" xr:uid="{00000000-0005-0000-0000-0000A2060000}"/>
    <cellStyle name="Normal 10 4 2" xfId="43" xr:uid="{00000000-0005-0000-0000-0000A3060000}"/>
    <cellStyle name="Normal 10 4 2 2" xfId="81" xr:uid="{00000000-0005-0000-0000-0000A4060000}"/>
    <cellStyle name="Normal 10 4 2 2 2" xfId="155" xr:uid="{00000000-0005-0000-0000-0000A5060000}"/>
    <cellStyle name="Normal 10 4 2 2 2 2" xfId="498" xr:uid="{00000000-0005-0000-0000-0000A6060000}"/>
    <cellStyle name="Normal 10 4 2 2 2 2 2" xfId="4794" xr:uid="{00000000-0005-0000-0000-0000A7060000}"/>
    <cellStyle name="Normal 10 4 2 2 2 2 2 2" xfId="11308" xr:uid="{00000000-0005-0000-0000-0000A8060000}"/>
    <cellStyle name="Normal 10 4 2 2 2 2 3" xfId="7024" xr:uid="{00000000-0005-0000-0000-0000A9060000}"/>
    <cellStyle name="Normal 10 4 2 2 2 3" xfId="4452" xr:uid="{00000000-0005-0000-0000-0000AA060000}"/>
    <cellStyle name="Normal 10 4 2 2 2 3 2" xfId="10966" xr:uid="{00000000-0005-0000-0000-0000AB060000}"/>
    <cellStyle name="Normal 10 4 2 2 2 4" xfId="6682" xr:uid="{00000000-0005-0000-0000-0000AC060000}"/>
    <cellStyle name="Normal 10 4 2 2 3" xfId="424" xr:uid="{00000000-0005-0000-0000-0000AD060000}"/>
    <cellStyle name="Normal 10 4 2 2 3 2" xfId="4720" xr:uid="{00000000-0005-0000-0000-0000AE060000}"/>
    <cellStyle name="Normal 10 4 2 2 3 2 2" xfId="11234" xr:uid="{00000000-0005-0000-0000-0000AF060000}"/>
    <cellStyle name="Normal 10 4 2 2 3 3" xfId="6950" xr:uid="{00000000-0005-0000-0000-0000B0060000}"/>
    <cellStyle name="Normal 10 4 2 2 4" xfId="4378" xr:uid="{00000000-0005-0000-0000-0000B1060000}"/>
    <cellStyle name="Normal 10 4 2 2 4 2" xfId="10892" xr:uid="{00000000-0005-0000-0000-0000B2060000}"/>
    <cellStyle name="Normal 10 4 2 2 5" xfId="6608" xr:uid="{00000000-0005-0000-0000-0000B3060000}"/>
    <cellStyle name="Normal 10 4 2 3" xfId="118" xr:uid="{00000000-0005-0000-0000-0000B4060000}"/>
    <cellStyle name="Normal 10 4 2 3 2" xfId="461" xr:uid="{00000000-0005-0000-0000-0000B5060000}"/>
    <cellStyle name="Normal 10 4 2 3 2 2" xfId="4757" xr:uid="{00000000-0005-0000-0000-0000B6060000}"/>
    <cellStyle name="Normal 10 4 2 3 2 2 2" xfId="11271" xr:uid="{00000000-0005-0000-0000-0000B7060000}"/>
    <cellStyle name="Normal 10 4 2 3 2 3" xfId="6987" xr:uid="{00000000-0005-0000-0000-0000B8060000}"/>
    <cellStyle name="Normal 10 4 2 3 3" xfId="4415" xr:uid="{00000000-0005-0000-0000-0000B9060000}"/>
    <cellStyle name="Normal 10 4 2 3 3 2" xfId="10929" xr:uid="{00000000-0005-0000-0000-0000BA060000}"/>
    <cellStyle name="Normal 10 4 2 3 4" xfId="6645" xr:uid="{00000000-0005-0000-0000-0000BB060000}"/>
    <cellStyle name="Normal 10 4 2 4" xfId="387" xr:uid="{00000000-0005-0000-0000-0000BC060000}"/>
    <cellStyle name="Normal 10 4 2 4 2" xfId="4683" xr:uid="{00000000-0005-0000-0000-0000BD060000}"/>
    <cellStyle name="Normal 10 4 2 4 2 2" xfId="11197" xr:uid="{00000000-0005-0000-0000-0000BE060000}"/>
    <cellStyle name="Normal 10 4 2 4 3" xfId="6913" xr:uid="{00000000-0005-0000-0000-0000BF060000}"/>
    <cellStyle name="Normal 10 4 2 5" xfId="4341" xr:uid="{00000000-0005-0000-0000-0000C0060000}"/>
    <cellStyle name="Normal 10 4 2 5 2" xfId="10855" xr:uid="{00000000-0005-0000-0000-0000C1060000}"/>
    <cellStyle name="Normal 10 4 2 6" xfId="6571" xr:uid="{00000000-0005-0000-0000-0000C2060000}"/>
    <cellStyle name="Normal 10 4 3" xfId="60" xr:uid="{00000000-0005-0000-0000-0000C3060000}"/>
    <cellStyle name="Normal 10 4 3 2" xfId="134" xr:uid="{00000000-0005-0000-0000-0000C4060000}"/>
    <cellStyle name="Normal 10 4 3 2 2" xfId="477" xr:uid="{00000000-0005-0000-0000-0000C5060000}"/>
    <cellStyle name="Normal 10 4 3 2 2 2" xfId="4773" xr:uid="{00000000-0005-0000-0000-0000C6060000}"/>
    <cellStyle name="Normal 10 4 3 2 2 2 2" xfId="11287" xr:uid="{00000000-0005-0000-0000-0000C7060000}"/>
    <cellStyle name="Normal 10 4 3 2 2 3" xfId="7003" xr:uid="{00000000-0005-0000-0000-0000C8060000}"/>
    <cellStyle name="Normal 10 4 3 2 3" xfId="4431" xr:uid="{00000000-0005-0000-0000-0000C9060000}"/>
    <cellStyle name="Normal 10 4 3 2 3 2" xfId="10945" xr:uid="{00000000-0005-0000-0000-0000CA060000}"/>
    <cellStyle name="Normal 10 4 3 2 4" xfId="6661" xr:uid="{00000000-0005-0000-0000-0000CB060000}"/>
    <cellStyle name="Normal 10 4 3 3" xfId="403" xr:uid="{00000000-0005-0000-0000-0000CC060000}"/>
    <cellStyle name="Normal 10 4 3 3 2" xfId="4699" xr:uid="{00000000-0005-0000-0000-0000CD060000}"/>
    <cellStyle name="Normal 10 4 3 3 2 2" xfId="11213" xr:uid="{00000000-0005-0000-0000-0000CE060000}"/>
    <cellStyle name="Normal 10 4 3 3 3" xfId="6929" xr:uid="{00000000-0005-0000-0000-0000CF060000}"/>
    <cellStyle name="Normal 10 4 3 4" xfId="4357" xr:uid="{00000000-0005-0000-0000-0000D0060000}"/>
    <cellStyle name="Normal 10 4 3 4 2" xfId="10871" xr:uid="{00000000-0005-0000-0000-0000D1060000}"/>
    <cellStyle name="Normal 10 4 3 5" xfId="6587" xr:uid="{00000000-0005-0000-0000-0000D2060000}"/>
    <cellStyle name="Normal 10 4 4" xfId="103" xr:uid="{00000000-0005-0000-0000-0000D3060000}"/>
    <cellStyle name="Normal 10 4 4 2" xfId="446" xr:uid="{00000000-0005-0000-0000-0000D4060000}"/>
    <cellStyle name="Normal 10 4 4 2 2" xfId="4742" xr:uid="{00000000-0005-0000-0000-0000D5060000}"/>
    <cellStyle name="Normal 10 4 4 2 2 2" xfId="11256" xr:uid="{00000000-0005-0000-0000-0000D6060000}"/>
    <cellStyle name="Normal 10 4 4 2 3" xfId="6972" xr:uid="{00000000-0005-0000-0000-0000D7060000}"/>
    <cellStyle name="Normal 10 4 4 3" xfId="4400" xr:uid="{00000000-0005-0000-0000-0000D8060000}"/>
    <cellStyle name="Normal 10 4 4 3 2" xfId="10914" xr:uid="{00000000-0005-0000-0000-0000D9060000}"/>
    <cellStyle name="Normal 10 4 4 4" xfId="6630" xr:uid="{00000000-0005-0000-0000-0000DA060000}"/>
    <cellStyle name="Normal 10 4 5" xfId="372" xr:uid="{00000000-0005-0000-0000-0000DB060000}"/>
    <cellStyle name="Normal 10 4 5 2" xfId="4668" xr:uid="{00000000-0005-0000-0000-0000DC060000}"/>
    <cellStyle name="Normal 10 4 5 2 2" xfId="11182" xr:uid="{00000000-0005-0000-0000-0000DD060000}"/>
    <cellStyle name="Normal 10 4 5 3" xfId="6898" xr:uid="{00000000-0005-0000-0000-0000DE060000}"/>
    <cellStyle name="Normal 10 4 6" xfId="4326" xr:uid="{00000000-0005-0000-0000-0000DF060000}"/>
    <cellStyle name="Normal 10 4 6 2" xfId="10840" xr:uid="{00000000-0005-0000-0000-0000E0060000}"/>
    <cellStyle name="Normal 10 4 7" xfId="6556" xr:uid="{00000000-0005-0000-0000-0000E1060000}"/>
    <cellStyle name="Normal 10 5" xfId="32" xr:uid="{00000000-0005-0000-0000-0000E2060000}"/>
    <cellStyle name="Normal 10 5 2" xfId="70" xr:uid="{00000000-0005-0000-0000-0000E3060000}"/>
    <cellStyle name="Normal 10 5 2 2" xfId="144" xr:uid="{00000000-0005-0000-0000-0000E4060000}"/>
    <cellStyle name="Normal 10 5 2 2 2" xfId="487" xr:uid="{00000000-0005-0000-0000-0000E5060000}"/>
    <cellStyle name="Normal 10 5 2 2 2 2" xfId="4783" xr:uid="{00000000-0005-0000-0000-0000E6060000}"/>
    <cellStyle name="Normal 10 5 2 2 2 2 2" xfId="11297" xr:uid="{00000000-0005-0000-0000-0000E7060000}"/>
    <cellStyle name="Normal 10 5 2 2 2 3" xfId="7013" xr:uid="{00000000-0005-0000-0000-0000E8060000}"/>
    <cellStyle name="Normal 10 5 2 2 3" xfId="4441" xr:uid="{00000000-0005-0000-0000-0000E9060000}"/>
    <cellStyle name="Normal 10 5 2 2 3 2" xfId="10955" xr:uid="{00000000-0005-0000-0000-0000EA060000}"/>
    <cellStyle name="Normal 10 5 2 2 4" xfId="6671" xr:uid="{00000000-0005-0000-0000-0000EB060000}"/>
    <cellStyle name="Normal 10 5 2 3" xfId="413" xr:uid="{00000000-0005-0000-0000-0000EC060000}"/>
    <cellStyle name="Normal 10 5 2 3 2" xfId="4709" xr:uid="{00000000-0005-0000-0000-0000ED060000}"/>
    <cellStyle name="Normal 10 5 2 3 2 2" xfId="11223" xr:uid="{00000000-0005-0000-0000-0000EE060000}"/>
    <cellStyle name="Normal 10 5 2 3 3" xfId="6939" xr:uid="{00000000-0005-0000-0000-0000EF060000}"/>
    <cellStyle name="Normal 10 5 2 4" xfId="4367" xr:uid="{00000000-0005-0000-0000-0000F0060000}"/>
    <cellStyle name="Normal 10 5 2 4 2" xfId="10881" xr:uid="{00000000-0005-0000-0000-0000F1060000}"/>
    <cellStyle name="Normal 10 5 2 5" xfId="6597" xr:uid="{00000000-0005-0000-0000-0000F2060000}"/>
    <cellStyle name="Normal 10 5 3" xfId="107" xr:uid="{00000000-0005-0000-0000-0000F3060000}"/>
    <cellStyle name="Normal 10 5 3 2" xfId="450" xr:uid="{00000000-0005-0000-0000-0000F4060000}"/>
    <cellStyle name="Normal 10 5 3 2 2" xfId="4746" xr:uid="{00000000-0005-0000-0000-0000F5060000}"/>
    <cellStyle name="Normal 10 5 3 2 2 2" xfId="11260" xr:uid="{00000000-0005-0000-0000-0000F6060000}"/>
    <cellStyle name="Normal 10 5 3 2 3" xfId="6976" xr:uid="{00000000-0005-0000-0000-0000F7060000}"/>
    <cellStyle name="Normal 10 5 3 3" xfId="4404" xr:uid="{00000000-0005-0000-0000-0000F8060000}"/>
    <cellStyle name="Normal 10 5 3 3 2" xfId="10918" xr:uid="{00000000-0005-0000-0000-0000F9060000}"/>
    <cellStyle name="Normal 10 5 3 4" xfId="6634" xr:uid="{00000000-0005-0000-0000-0000FA060000}"/>
    <cellStyle name="Normal 10 5 4" xfId="376" xr:uid="{00000000-0005-0000-0000-0000FB060000}"/>
    <cellStyle name="Normal 10 5 4 2" xfId="4672" xr:uid="{00000000-0005-0000-0000-0000FC060000}"/>
    <cellStyle name="Normal 10 5 4 2 2" xfId="11186" xr:uid="{00000000-0005-0000-0000-0000FD060000}"/>
    <cellStyle name="Normal 10 5 4 3" xfId="6902" xr:uid="{00000000-0005-0000-0000-0000FE060000}"/>
    <cellStyle name="Normal 10 5 5" xfId="4330" xr:uid="{00000000-0005-0000-0000-0000FF060000}"/>
    <cellStyle name="Normal 10 5 5 2" xfId="10844" xr:uid="{00000000-0005-0000-0000-000000070000}"/>
    <cellStyle name="Normal 10 5 6" xfId="6560" xr:uid="{00000000-0005-0000-0000-000001070000}"/>
    <cellStyle name="Normal 10 6" xfId="51" xr:uid="{00000000-0005-0000-0000-000002070000}"/>
    <cellStyle name="Normal 10 6 2" xfId="125" xr:uid="{00000000-0005-0000-0000-000003070000}"/>
    <cellStyle name="Normal 10 6 2 2" xfId="468" xr:uid="{00000000-0005-0000-0000-000004070000}"/>
    <cellStyle name="Normal 10 6 2 2 2" xfId="4764" xr:uid="{00000000-0005-0000-0000-000005070000}"/>
    <cellStyle name="Normal 10 6 2 2 2 2" xfId="11278" xr:uid="{00000000-0005-0000-0000-000006070000}"/>
    <cellStyle name="Normal 10 6 2 2 3" xfId="6994" xr:uid="{00000000-0005-0000-0000-000007070000}"/>
    <cellStyle name="Normal 10 6 2 3" xfId="4422" xr:uid="{00000000-0005-0000-0000-000008070000}"/>
    <cellStyle name="Normal 10 6 2 3 2" xfId="10936" xr:uid="{00000000-0005-0000-0000-000009070000}"/>
    <cellStyle name="Normal 10 6 2 4" xfId="6652" xr:uid="{00000000-0005-0000-0000-00000A070000}"/>
    <cellStyle name="Normal 10 6 3" xfId="394" xr:uid="{00000000-0005-0000-0000-00000B070000}"/>
    <cellStyle name="Normal 10 6 3 2" xfId="4690" xr:uid="{00000000-0005-0000-0000-00000C070000}"/>
    <cellStyle name="Normal 10 6 3 2 2" xfId="11204" xr:uid="{00000000-0005-0000-0000-00000D070000}"/>
    <cellStyle name="Normal 10 6 3 3" xfId="6920" xr:uid="{00000000-0005-0000-0000-00000E070000}"/>
    <cellStyle name="Normal 10 6 4" xfId="4348" xr:uid="{00000000-0005-0000-0000-00000F070000}"/>
    <cellStyle name="Normal 10 6 4 2" xfId="10862" xr:uid="{00000000-0005-0000-0000-000010070000}"/>
    <cellStyle name="Normal 10 6 5" xfId="6578" xr:uid="{00000000-0005-0000-0000-000011070000}"/>
    <cellStyle name="Normal 10 7" xfId="92" xr:uid="{00000000-0005-0000-0000-000012070000}"/>
    <cellStyle name="Normal 10 7 2" xfId="435" xr:uid="{00000000-0005-0000-0000-000013070000}"/>
    <cellStyle name="Normal 10 7 2 2" xfId="4731" xr:uid="{00000000-0005-0000-0000-000014070000}"/>
    <cellStyle name="Normal 10 7 2 2 2" xfId="11245" xr:uid="{00000000-0005-0000-0000-000015070000}"/>
    <cellStyle name="Normal 10 7 2 3" xfId="6961" xr:uid="{00000000-0005-0000-0000-000016070000}"/>
    <cellStyle name="Normal 10 7 3" xfId="4389" xr:uid="{00000000-0005-0000-0000-000017070000}"/>
    <cellStyle name="Normal 10 7 3 2" xfId="10903" xr:uid="{00000000-0005-0000-0000-000018070000}"/>
    <cellStyle name="Normal 10 7 4" xfId="6619" xr:uid="{00000000-0005-0000-0000-000019070000}"/>
    <cellStyle name="Normal 10 8" xfId="361" xr:uid="{00000000-0005-0000-0000-00001A070000}"/>
    <cellStyle name="Normal 10 8 2" xfId="4657" xr:uid="{00000000-0005-0000-0000-00001B070000}"/>
    <cellStyle name="Normal 10 8 2 2" xfId="11171" xr:uid="{00000000-0005-0000-0000-00001C070000}"/>
    <cellStyle name="Normal 10 8 3" xfId="6887" xr:uid="{00000000-0005-0000-0000-00001D070000}"/>
    <cellStyle name="Normal 10 9" xfId="4315" xr:uid="{00000000-0005-0000-0000-00001E070000}"/>
    <cellStyle name="Normal 10 9 2" xfId="10829" xr:uid="{00000000-0005-0000-0000-00001F070000}"/>
    <cellStyle name="Normal 11" xfId="30" xr:uid="{00000000-0005-0000-0000-000020070000}"/>
    <cellStyle name="Normal 11 2" xfId="45" xr:uid="{00000000-0005-0000-0000-000021070000}"/>
    <cellStyle name="Normal 11 2 2" xfId="83" xr:uid="{00000000-0005-0000-0000-000022070000}"/>
    <cellStyle name="Normal 11 2 2 2" xfId="157" xr:uid="{00000000-0005-0000-0000-000023070000}"/>
    <cellStyle name="Normal 11 2 2 2 2" xfId="500" xr:uid="{00000000-0005-0000-0000-000024070000}"/>
    <cellStyle name="Normal 11 2 2 2 2 2" xfId="4796" xr:uid="{00000000-0005-0000-0000-000025070000}"/>
    <cellStyle name="Normal 11 2 2 2 2 2 2" xfId="11310" xr:uid="{00000000-0005-0000-0000-000026070000}"/>
    <cellStyle name="Normal 11 2 2 2 2 3" xfId="7026" xr:uid="{00000000-0005-0000-0000-000027070000}"/>
    <cellStyle name="Normal 11 2 2 2 3" xfId="4454" xr:uid="{00000000-0005-0000-0000-000028070000}"/>
    <cellStyle name="Normal 11 2 2 2 3 2" xfId="10968" xr:uid="{00000000-0005-0000-0000-000029070000}"/>
    <cellStyle name="Normal 11 2 2 2 4" xfId="6684" xr:uid="{00000000-0005-0000-0000-00002A070000}"/>
    <cellStyle name="Normal 11 2 2 3" xfId="426" xr:uid="{00000000-0005-0000-0000-00002B070000}"/>
    <cellStyle name="Normal 11 2 2 3 2" xfId="4722" xr:uid="{00000000-0005-0000-0000-00002C070000}"/>
    <cellStyle name="Normal 11 2 2 3 2 2" xfId="11236" xr:uid="{00000000-0005-0000-0000-00002D070000}"/>
    <cellStyle name="Normal 11 2 2 3 3" xfId="6952" xr:uid="{00000000-0005-0000-0000-00002E070000}"/>
    <cellStyle name="Normal 11 2 2 4" xfId="4380" xr:uid="{00000000-0005-0000-0000-00002F070000}"/>
    <cellStyle name="Normal 11 2 2 4 2" xfId="10894" xr:uid="{00000000-0005-0000-0000-000030070000}"/>
    <cellStyle name="Normal 11 2 2 5" xfId="6610" xr:uid="{00000000-0005-0000-0000-000031070000}"/>
    <cellStyle name="Normal 11 2 3" xfId="120" xr:uid="{00000000-0005-0000-0000-000032070000}"/>
    <cellStyle name="Normal 11 2 3 2" xfId="463" xr:uid="{00000000-0005-0000-0000-000033070000}"/>
    <cellStyle name="Normal 11 2 3 2 2" xfId="4759" xr:uid="{00000000-0005-0000-0000-000034070000}"/>
    <cellStyle name="Normal 11 2 3 2 2 2" xfId="11273" xr:uid="{00000000-0005-0000-0000-000035070000}"/>
    <cellStyle name="Normal 11 2 3 2 3" xfId="6989" xr:uid="{00000000-0005-0000-0000-000036070000}"/>
    <cellStyle name="Normal 11 2 3 3" xfId="4417" xr:uid="{00000000-0005-0000-0000-000037070000}"/>
    <cellStyle name="Normal 11 2 3 3 2" xfId="10931" xr:uid="{00000000-0005-0000-0000-000038070000}"/>
    <cellStyle name="Normal 11 2 3 4" xfId="6647" xr:uid="{00000000-0005-0000-0000-000039070000}"/>
    <cellStyle name="Normal 11 2 4" xfId="389" xr:uid="{00000000-0005-0000-0000-00003A070000}"/>
    <cellStyle name="Normal 11 2 4 2" xfId="4685" xr:uid="{00000000-0005-0000-0000-00003B070000}"/>
    <cellStyle name="Normal 11 2 4 2 2" xfId="11199" xr:uid="{00000000-0005-0000-0000-00003C070000}"/>
    <cellStyle name="Normal 11 2 4 3" xfId="6915" xr:uid="{00000000-0005-0000-0000-00003D070000}"/>
    <cellStyle name="Normal 11 2 5" xfId="4343" xr:uid="{00000000-0005-0000-0000-00003E070000}"/>
    <cellStyle name="Normal 11 2 5 2" xfId="10857" xr:uid="{00000000-0005-0000-0000-00003F070000}"/>
    <cellStyle name="Normal 11 2 6" xfId="6573" xr:uid="{00000000-0005-0000-0000-000040070000}"/>
    <cellStyle name="Normal 11 3" xfId="47" xr:uid="{00000000-0005-0000-0000-000041070000}"/>
    <cellStyle name="Normal 11 3 2" xfId="48" xr:uid="{00000000-0005-0000-0000-000042070000}"/>
    <cellStyle name="Normal 11 3 2 2" xfId="86" xr:uid="{00000000-0005-0000-0000-000043070000}"/>
    <cellStyle name="Normal 11 3 2 2 2" xfId="160" xr:uid="{00000000-0005-0000-0000-000044070000}"/>
    <cellStyle name="Normal 11 3 2 2 2 2" xfId="503" xr:uid="{00000000-0005-0000-0000-000045070000}"/>
    <cellStyle name="Normal 11 3 2 2 2 2 2" xfId="4799" xr:uid="{00000000-0005-0000-0000-000046070000}"/>
    <cellStyle name="Normal 11 3 2 2 2 2 2 2" xfId="11313" xr:uid="{00000000-0005-0000-0000-000047070000}"/>
    <cellStyle name="Normal 11 3 2 2 2 2 3" xfId="7029" xr:uid="{00000000-0005-0000-0000-000048070000}"/>
    <cellStyle name="Normal 11 3 2 2 2 3" xfId="4457" xr:uid="{00000000-0005-0000-0000-000049070000}"/>
    <cellStyle name="Normal 11 3 2 2 2 3 2" xfId="10971" xr:uid="{00000000-0005-0000-0000-00004A070000}"/>
    <cellStyle name="Normal 11 3 2 2 2 4" xfId="6687" xr:uid="{00000000-0005-0000-0000-00004B070000}"/>
    <cellStyle name="Normal 11 3 2 2 3" xfId="429" xr:uid="{00000000-0005-0000-0000-00004C070000}"/>
    <cellStyle name="Normal 11 3 2 2 3 2" xfId="4725" xr:uid="{00000000-0005-0000-0000-00004D070000}"/>
    <cellStyle name="Normal 11 3 2 2 3 2 2" xfId="11239" xr:uid="{00000000-0005-0000-0000-00004E070000}"/>
    <cellStyle name="Normal 11 3 2 2 3 3" xfId="6955" xr:uid="{00000000-0005-0000-0000-00004F070000}"/>
    <cellStyle name="Normal 11 3 2 2 4" xfId="4383" xr:uid="{00000000-0005-0000-0000-000050070000}"/>
    <cellStyle name="Normal 11 3 2 2 4 2" xfId="10897" xr:uid="{00000000-0005-0000-0000-000051070000}"/>
    <cellStyle name="Normal 11 3 2 2 5" xfId="6613" xr:uid="{00000000-0005-0000-0000-000052070000}"/>
    <cellStyle name="Normal 11 3 2 3" xfId="123" xr:uid="{00000000-0005-0000-0000-000053070000}"/>
    <cellStyle name="Normal 11 3 2 3 2" xfId="466" xr:uid="{00000000-0005-0000-0000-000054070000}"/>
    <cellStyle name="Normal 11 3 2 3 2 2" xfId="4762" xr:uid="{00000000-0005-0000-0000-000055070000}"/>
    <cellStyle name="Normal 11 3 2 3 2 2 2" xfId="11276" xr:uid="{00000000-0005-0000-0000-000056070000}"/>
    <cellStyle name="Normal 11 3 2 3 2 3" xfId="6992" xr:uid="{00000000-0005-0000-0000-000057070000}"/>
    <cellStyle name="Normal 11 3 2 3 3" xfId="4420" xr:uid="{00000000-0005-0000-0000-000058070000}"/>
    <cellStyle name="Normal 11 3 2 3 3 2" xfId="10934" xr:uid="{00000000-0005-0000-0000-000059070000}"/>
    <cellStyle name="Normal 11 3 2 3 4" xfId="6650" xr:uid="{00000000-0005-0000-0000-00005A070000}"/>
    <cellStyle name="Normal 11 3 2 4" xfId="358" xr:uid="{00000000-0005-0000-0000-00005B070000}"/>
    <cellStyle name="Normal 11 3 2 4 2" xfId="359" xr:uid="{00000000-0005-0000-0000-00005C070000}"/>
    <cellStyle name="Normal 11 3 2 4 2 2" xfId="701" xr:uid="{00000000-0005-0000-0000-00005D070000}"/>
    <cellStyle name="Normal 11 3 2 4 2 2 2" xfId="4997" xr:uid="{00000000-0005-0000-0000-00005E070000}"/>
    <cellStyle name="Normal 11 3 2 4 2 2 2 2" xfId="11511" xr:uid="{00000000-0005-0000-0000-00005F070000}"/>
    <cellStyle name="Normal 11 3 2 4 2 2 3" xfId="7227" xr:uid="{00000000-0005-0000-0000-000060070000}"/>
    <cellStyle name="Normal 11 3 2 4 2 3" xfId="4655" xr:uid="{00000000-0005-0000-0000-000061070000}"/>
    <cellStyle name="Normal 11 3 2 4 2 3 2" xfId="11169" xr:uid="{00000000-0005-0000-0000-000062070000}"/>
    <cellStyle name="Normal 11 3 2 4 2 4" xfId="6885" xr:uid="{00000000-0005-0000-0000-000063070000}"/>
    <cellStyle name="Normal 11 3 2 4 3" xfId="700" xr:uid="{00000000-0005-0000-0000-000064070000}"/>
    <cellStyle name="Normal 11 3 2 4 3 2" xfId="4996" xr:uid="{00000000-0005-0000-0000-000065070000}"/>
    <cellStyle name="Normal 11 3 2 4 3 2 2" xfId="11510" xr:uid="{00000000-0005-0000-0000-000066070000}"/>
    <cellStyle name="Normal 11 3 2 4 3 3" xfId="7226" xr:uid="{00000000-0005-0000-0000-000067070000}"/>
    <cellStyle name="Normal 11 3 2 4 4" xfId="4654" xr:uid="{00000000-0005-0000-0000-000068070000}"/>
    <cellStyle name="Normal 11 3 2 4 4 2" xfId="11168" xr:uid="{00000000-0005-0000-0000-000069070000}"/>
    <cellStyle name="Normal 11 3 2 4 5" xfId="6884" xr:uid="{00000000-0005-0000-0000-00006A070000}"/>
    <cellStyle name="Normal 11 3 2 5" xfId="392" xr:uid="{00000000-0005-0000-0000-00006B070000}"/>
    <cellStyle name="Normal 11 3 2 5 2" xfId="4688" xr:uid="{00000000-0005-0000-0000-00006C070000}"/>
    <cellStyle name="Normal 11 3 2 5 2 2" xfId="11202" xr:uid="{00000000-0005-0000-0000-00006D070000}"/>
    <cellStyle name="Normal 11 3 2 5 3" xfId="6918" xr:uid="{00000000-0005-0000-0000-00006E070000}"/>
    <cellStyle name="Normal 11 3 2 6" xfId="4346" xr:uid="{00000000-0005-0000-0000-00006F070000}"/>
    <cellStyle name="Normal 11 3 2 6 2" xfId="10860" xr:uid="{00000000-0005-0000-0000-000070070000}"/>
    <cellStyle name="Normal 11 3 2 7" xfId="6576" xr:uid="{00000000-0005-0000-0000-000071070000}"/>
    <cellStyle name="Normal 11 3 3" xfId="85" xr:uid="{00000000-0005-0000-0000-000072070000}"/>
    <cellStyle name="Normal 11 3 3 2" xfId="159" xr:uid="{00000000-0005-0000-0000-000073070000}"/>
    <cellStyle name="Normal 11 3 3 2 2" xfId="502" xr:uid="{00000000-0005-0000-0000-000074070000}"/>
    <cellStyle name="Normal 11 3 3 2 2 2" xfId="4798" xr:uid="{00000000-0005-0000-0000-000075070000}"/>
    <cellStyle name="Normal 11 3 3 2 2 2 2" xfId="11312" xr:uid="{00000000-0005-0000-0000-000076070000}"/>
    <cellStyle name="Normal 11 3 3 2 2 3" xfId="7028" xr:uid="{00000000-0005-0000-0000-000077070000}"/>
    <cellStyle name="Normal 11 3 3 2 3" xfId="4456" xr:uid="{00000000-0005-0000-0000-000078070000}"/>
    <cellStyle name="Normal 11 3 3 2 3 2" xfId="10970" xr:uid="{00000000-0005-0000-0000-000079070000}"/>
    <cellStyle name="Normal 11 3 3 2 4" xfId="6686" xr:uid="{00000000-0005-0000-0000-00007A070000}"/>
    <cellStyle name="Normal 11 3 3 3" xfId="428" xr:uid="{00000000-0005-0000-0000-00007B070000}"/>
    <cellStyle name="Normal 11 3 3 3 2" xfId="4724" xr:uid="{00000000-0005-0000-0000-00007C070000}"/>
    <cellStyle name="Normal 11 3 3 3 2 2" xfId="11238" xr:uid="{00000000-0005-0000-0000-00007D070000}"/>
    <cellStyle name="Normal 11 3 3 3 3" xfId="6954" xr:uid="{00000000-0005-0000-0000-00007E070000}"/>
    <cellStyle name="Normal 11 3 3 4" xfId="4382" xr:uid="{00000000-0005-0000-0000-00007F070000}"/>
    <cellStyle name="Normal 11 3 3 4 2" xfId="10896" xr:uid="{00000000-0005-0000-0000-000080070000}"/>
    <cellStyle name="Normal 11 3 3 5" xfId="6612" xr:uid="{00000000-0005-0000-0000-000081070000}"/>
    <cellStyle name="Normal 11 3 4" xfId="122" xr:uid="{00000000-0005-0000-0000-000082070000}"/>
    <cellStyle name="Normal 11 3 4 2" xfId="465" xr:uid="{00000000-0005-0000-0000-000083070000}"/>
    <cellStyle name="Normal 11 3 4 2 2" xfId="4761" xr:uid="{00000000-0005-0000-0000-000084070000}"/>
    <cellStyle name="Normal 11 3 4 2 2 2" xfId="11275" xr:uid="{00000000-0005-0000-0000-000085070000}"/>
    <cellStyle name="Normal 11 3 4 2 3" xfId="6991" xr:uid="{00000000-0005-0000-0000-000086070000}"/>
    <cellStyle name="Normal 11 3 4 3" xfId="4419" xr:uid="{00000000-0005-0000-0000-000087070000}"/>
    <cellStyle name="Normal 11 3 4 3 2" xfId="10933" xr:uid="{00000000-0005-0000-0000-000088070000}"/>
    <cellStyle name="Normal 11 3 4 4" xfId="6649" xr:uid="{00000000-0005-0000-0000-000089070000}"/>
    <cellStyle name="Normal 11 3 5" xfId="391" xr:uid="{00000000-0005-0000-0000-00008A070000}"/>
    <cellStyle name="Normal 11 3 5 2" xfId="4687" xr:uid="{00000000-0005-0000-0000-00008B070000}"/>
    <cellStyle name="Normal 11 3 5 2 2" xfId="11201" xr:uid="{00000000-0005-0000-0000-00008C070000}"/>
    <cellStyle name="Normal 11 3 5 3" xfId="6917" xr:uid="{00000000-0005-0000-0000-00008D070000}"/>
    <cellStyle name="Normal 11 3 6" xfId="4345" xr:uid="{00000000-0005-0000-0000-00008E070000}"/>
    <cellStyle name="Normal 11 3 6 2" xfId="10859" xr:uid="{00000000-0005-0000-0000-00008F070000}"/>
    <cellStyle name="Normal 11 3 7" xfId="6575" xr:uid="{00000000-0005-0000-0000-000090070000}"/>
    <cellStyle name="Normal 11 4" xfId="68" xr:uid="{00000000-0005-0000-0000-000091070000}"/>
    <cellStyle name="Normal 11 4 2" xfId="142" xr:uid="{00000000-0005-0000-0000-000092070000}"/>
    <cellStyle name="Normal 11 4 2 2" xfId="485" xr:uid="{00000000-0005-0000-0000-000093070000}"/>
    <cellStyle name="Normal 11 4 2 2 2" xfId="4781" xr:uid="{00000000-0005-0000-0000-000094070000}"/>
    <cellStyle name="Normal 11 4 2 2 2 2" xfId="11295" xr:uid="{00000000-0005-0000-0000-000095070000}"/>
    <cellStyle name="Normal 11 4 2 2 3" xfId="7011" xr:uid="{00000000-0005-0000-0000-000096070000}"/>
    <cellStyle name="Normal 11 4 2 3" xfId="4439" xr:uid="{00000000-0005-0000-0000-000097070000}"/>
    <cellStyle name="Normal 11 4 2 3 2" xfId="10953" xr:uid="{00000000-0005-0000-0000-000098070000}"/>
    <cellStyle name="Normal 11 4 2 4" xfId="6669" xr:uid="{00000000-0005-0000-0000-000099070000}"/>
    <cellStyle name="Normal 11 4 3" xfId="411" xr:uid="{00000000-0005-0000-0000-00009A070000}"/>
    <cellStyle name="Normal 11 4 3 2" xfId="4707" xr:uid="{00000000-0005-0000-0000-00009B070000}"/>
    <cellStyle name="Normal 11 4 3 2 2" xfId="11221" xr:uid="{00000000-0005-0000-0000-00009C070000}"/>
    <cellStyle name="Normal 11 4 3 3" xfId="6937" xr:uid="{00000000-0005-0000-0000-00009D070000}"/>
    <cellStyle name="Normal 11 4 4" xfId="4365" xr:uid="{00000000-0005-0000-0000-00009E070000}"/>
    <cellStyle name="Normal 11 4 4 2" xfId="10879" xr:uid="{00000000-0005-0000-0000-00009F070000}"/>
    <cellStyle name="Normal 11 4 5" xfId="6595" xr:uid="{00000000-0005-0000-0000-0000A0070000}"/>
    <cellStyle name="Normal 11 5" xfId="105" xr:uid="{00000000-0005-0000-0000-0000A1070000}"/>
    <cellStyle name="Normal 11 5 2" xfId="448" xr:uid="{00000000-0005-0000-0000-0000A2070000}"/>
    <cellStyle name="Normal 11 5 2 2" xfId="4744" xr:uid="{00000000-0005-0000-0000-0000A3070000}"/>
    <cellStyle name="Normal 11 5 2 2 2" xfId="11258" xr:uid="{00000000-0005-0000-0000-0000A4070000}"/>
    <cellStyle name="Normal 11 5 2 3" xfId="6974" xr:uid="{00000000-0005-0000-0000-0000A5070000}"/>
    <cellStyle name="Normal 11 5 3" xfId="4402" xr:uid="{00000000-0005-0000-0000-0000A6070000}"/>
    <cellStyle name="Normal 11 5 3 2" xfId="10916" xr:uid="{00000000-0005-0000-0000-0000A7070000}"/>
    <cellStyle name="Normal 11 5 4" xfId="6632" xr:uid="{00000000-0005-0000-0000-0000A8070000}"/>
    <cellStyle name="Normal 11 6" xfId="374" xr:uid="{00000000-0005-0000-0000-0000A9070000}"/>
    <cellStyle name="Normal 11 6 2" xfId="4670" xr:uid="{00000000-0005-0000-0000-0000AA070000}"/>
    <cellStyle name="Normal 11 6 2 2" xfId="11184" xr:uid="{00000000-0005-0000-0000-0000AB070000}"/>
    <cellStyle name="Normal 11 6 3" xfId="6900" xr:uid="{00000000-0005-0000-0000-0000AC070000}"/>
    <cellStyle name="Normal 11 7" xfId="4328" xr:uid="{00000000-0005-0000-0000-0000AD070000}"/>
    <cellStyle name="Normal 11 7 2" xfId="10842" xr:uid="{00000000-0005-0000-0000-0000AE070000}"/>
    <cellStyle name="Normal 11 8" xfId="6558" xr:uid="{00000000-0005-0000-0000-0000AF070000}"/>
    <cellStyle name="Normal 12" xfId="46" xr:uid="{00000000-0005-0000-0000-0000B0070000}"/>
    <cellStyle name="Normal 12 2" xfId="84" xr:uid="{00000000-0005-0000-0000-0000B1070000}"/>
    <cellStyle name="Normal 12 2 2" xfId="158" xr:uid="{00000000-0005-0000-0000-0000B2070000}"/>
    <cellStyle name="Normal 12 2 2 2" xfId="501" xr:uid="{00000000-0005-0000-0000-0000B3070000}"/>
    <cellStyle name="Normal 12 2 2 2 2" xfId="4797" xr:uid="{00000000-0005-0000-0000-0000B4070000}"/>
    <cellStyle name="Normal 12 2 2 2 2 2" xfId="11311" xr:uid="{00000000-0005-0000-0000-0000B5070000}"/>
    <cellStyle name="Normal 12 2 2 2 3" xfId="7027" xr:uid="{00000000-0005-0000-0000-0000B6070000}"/>
    <cellStyle name="Normal 12 2 2 3" xfId="4455" xr:uid="{00000000-0005-0000-0000-0000B7070000}"/>
    <cellStyle name="Normal 12 2 2 3 2" xfId="10969" xr:uid="{00000000-0005-0000-0000-0000B8070000}"/>
    <cellStyle name="Normal 12 2 2 4" xfId="6685" xr:uid="{00000000-0005-0000-0000-0000B9070000}"/>
    <cellStyle name="Normal 12 2 3" xfId="427" xr:uid="{00000000-0005-0000-0000-0000BA070000}"/>
    <cellStyle name="Normal 12 2 3 2" xfId="4723" xr:uid="{00000000-0005-0000-0000-0000BB070000}"/>
    <cellStyle name="Normal 12 2 3 2 2" xfId="11237" xr:uid="{00000000-0005-0000-0000-0000BC070000}"/>
    <cellStyle name="Normal 12 2 3 3" xfId="6953" xr:uid="{00000000-0005-0000-0000-0000BD070000}"/>
    <cellStyle name="Normal 12 2 4" xfId="4381" xr:uid="{00000000-0005-0000-0000-0000BE070000}"/>
    <cellStyle name="Normal 12 2 4 2" xfId="10895" xr:uid="{00000000-0005-0000-0000-0000BF070000}"/>
    <cellStyle name="Normal 12 2 5" xfId="6611" xr:uid="{00000000-0005-0000-0000-0000C0070000}"/>
    <cellStyle name="Normal 12 3" xfId="121" xr:uid="{00000000-0005-0000-0000-0000C1070000}"/>
    <cellStyle name="Normal 12 3 2" xfId="464" xr:uid="{00000000-0005-0000-0000-0000C2070000}"/>
    <cellStyle name="Normal 12 3 2 2" xfId="4760" xr:uid="{00000000-0005-0000-0000-0000C3070000}"/>
    <cellStyle name="Normal 12 3 2 2 2" xfId="11274" xr:uid="{00000000-0005-0000-0000-0000C4070000}"/>
    <cellStyle name="Normal 12 3 2 3" xfId="6990" xr:uid="{00000000-0005-0000-0000-0000C5070000}"/>
    <cellStyle name="Normal 12 3 3" xfId="4418" xr:uid="{00000000-0005-0000-0000-0000C6070000}"/>
    <cellStyle name="Normal 12 3 3 2" xfId="10932" xr:uid="{00000000-0005-0000-0000-0000C7070000}"/>
    <cellStyle name="Normal 12 3 4" xfId="6648" xr:uid="{00000000-0005-0000-0000-0000C8070000}"/>
    <cellStyle name="Normal 12 4" xfId="390" xr:uid="{00000000-0005-0000-0000-0000C9070000}"/>
    <cellStyle name="Normal 12 4 2" xfId="4686" xr:uid="{00000000-0005-0000-0000-0000CA070000}"/>
    <cellStyle name="Normal 12 4 2 2" xfId="11200" xr:uid="{00000000-0005-0000-0000-0000CB070000}"/>
    <cellStyle name="Normal 12 4 3" xfId="6916" xr:uid="{00000000-0005-0000-0000-0000CC070000}"/>
    <cellStyle name="Normal 12 5" xfId="4344" xr:uid="{00000000-0005-0000-0000-0000CD070000}"/>
    <cellStyle name="Normal 12 5 2" xfId="10858" xr:uid="{00000000-0005-0000-0000-0000CE070000}"/>
    <cellStyle name="Normal 12 6" xfId="6574" xr:uid="{00000000-0005-0000-0000-0000CF070000}"/>
    <cellStyle name="Normal 13" xfId="1" xr:uid="{00000000-0005-0000-0000-0000D0070000}"/>
    <cellStyle name="Normal 14" xfId="702" xr:uid="{00000000-0005-0000-0000-0000D1070000}"/>
    <cellStyle name="Normal 15" xfId="2253" xr:uid="{00000000-0005-0000-0000-0000D2070000}"/>
    <cellStyle name="Normal 15 2" xfId="13068" xr:uid="{AAB9A3AE-401B-474A-85EA-8B32001238DD}"/>
    <cellStyle name="Normal 16" xfId="4311" xr:uid="{00000000-0005-0000-0000-0000D3070000}"/>
    <cellStyle name="Normal 17" xfId="6540" xr:uid="{00000000-0005-0000-0000-0000D4070000}"/>
    <cellStyle name="Normal 17 2" xfId="13056" xr:uid="{00000000-0005-0000-0000-0000D5070000}"/>
    <cellStyle name="Normal 18" xfId="6541" xr:uid="{00000000-0005-0000-0000-0000D6070000}"/>
    <cellStyle name="Normal 19" xfId="13060" xr:uid="{991EC890-5ADD-470E-9A4C-761F03CAE115}"/>
    <cellStyle name="Normal 19 2" xfId="13066" xr:uid="{6A7BED48-BF28-4A52-9CFE-D49F48849C9A}"/>
    <cellStyle name="Normal 19 3" xfId="13069" xr:uid="{E0903F01-9F12-4823-B765-6520F723727E}"/>
    <cellStyle name="Normal 19 3 2" xfId="13070" xr:uid="{8ED15A03-01BB-478F-ADD5-7A516C7B26D6}"/>
    <cellStyle name="Normal 2" xfId="2" xr:uid="{00000000-0005-0000-0000-0000D7070000}"/>
    <cellStyle name="Normal 20" xfId="13061" xr:uid="{1EF27BDC-0B28-4F88-AEE1-7295D594F3DD}"/>
    <cellStyle name="Normal 21" xfId="13063" xr:uid="{C9838C2A-56B1-44BA-9AE8-0396EB0BDDDF}"/>
    <cellStyle name="Normal 22" xfId="13064" xr:uid="{1ACE4459-86C9-45FB-9F50-BD23F57207AE}"/>
    <cellStyle name="Normal 3" xfId="5" xr:uid="{00000000-0005-0000-0000-0000D8070000}"/>
    <cellStyle name="Normal 3 10" xfId="6542" xr:uid="{00000000-0005-0000-0000-0000D9070000}"/>
    <cellStyle name="Normal 3 2" xfId="16" xr:uid="{00000000-0005-0000-0000-0000DA070000}"/>
    <cellStyle name="Normal 3 2 2" xfId="34" xr:uid="{00000000-0005-0000-0000-0000DB070000}"/>
    <cellStyle name="Normal 3 2 2 2" xfId="72" xr:uid="{00000000-0005-0000-0000-0000DC070000}"/>
    <cellStyle name="Normal 3 2 2 2 2" xfId="146" xr:uid="{00000000-0005-0000-0000-0000DD070000}"/>
    <cellStyle name="Normal 3 2 2 2 2 2" xfId="489" xr:uid="{00000000-0005-0000-0000-0000DE070000}"/>
    <cellStyle name="Normal 3 2 2 2 2 2 2" xfId="4785" xr:uid="{00000000-0005-0000-0000-0000DF070000}"/>
    <cellStyle name="Normal 3 2 2 2 2 2 2 2" xfId="11299" xr:uid="{00000000-0005-0000-0000-0000E0070000}"/>
    <cellStyle name="Normal 3 2 2 2 2 2 3" xfId="7015" xr:uid="{00000000-0005-0000-0000-0000E1070000}"/>
    <cellStyle name="Normal 3 2 2 2 2 3" xfId="4443" xr:uid="{00000000-0005-0000-0000-0000E2070000}"/>
    <cellStyle name="Normal 3 2 2 2 2 3 2" xfId="10957" xr:uid="{00000000-0005-0000-0000-0000E3070000}"/>
    <cellStyle name="Normal 3 2 2 2 2 4" xfId="6673" xr:uid="{00000000-0005-0000-0000-0000E4070000}"/>
    <cellStyle name="Normal 3 2 2 2 3" xfId="415" xr:uid="{00000000-0005-0000-0000-0000E5070000}"/>
    <cellStyle name="Normal 3 2 2 2 3 2" xfId="4711" xr:uid="{00000000-0005-0000-0000-0000E6070000}"/>
    <cellStyle name="Normal 3 2 2 2 3 2 2" xfId="11225" xr:uid="{00000000-0005-0000-0000-0000E7070000}"/>
    <cellStyle name="Normal 3 2 2 2 3 3" xfId="6941" xr:uid="{00000000-0005-0000-0000-0000E8070000}"/>
    <cellStyle name="Normal 3 2 2 2 4" xfId="4369" xr:uid="{00000000-0005-0000-0000-0000E9070000}"/>
    <cellStyle name="Normal 3 2 2 2 4 2" xfId="10883" xr:uid="{00000000-0005-0000-0000-0000EA070000}"/>
    <cellStyle name="Normal 3 2 2 2 5" xfId="6599" xr:uid="{00000000-0005-0000-0000-0000EB070000}"/>
    <cellStyle name="Normal 3 2 2 3" xfId="109" xr:uid="{00000000-0005-0000-0000-0000EC070000}"/>
    <cellStyle name="Normal 3 2 2 3 2" xfId="452" xr:uid="{00000000-0005-0000-0000-0000ED070000}"/>
    <cellStyle name="Normal 3 2 2 3 2 2" xfId="4748" xr:uid="{00000000-0005-0000-0000-0000EE070000}"/>
    <cellStyle name="Normal 3 2 2 3 2 2 2" xfId="11262" xr:uid="{00000000-0005-0000-0000-0000EF070000}"/>
    <cellStyle name="Normal 3 2 2 3 2 3" xfId="6978" xr:uid="{00000000-0005-0000-0000-0000F0070000}"/>
    <cellStyle name="Normal 3 2 2 3 3" xfId="4406" xr:uid="{00000000-0005-0000-0000-0000F1070000}"/>
    <cellStyle name="Normal 3 2 2 3 3 2" xfId="10920" xr:uid="{00000000-0005-0000-0000-0000F2070000}"/>
    <cellStyle name="Normal 3 2 2 3 4" xfId="6636" xr:uid="{00000000-0005-0000-0000-0000F3070000}"/>
    <cellStyle name="Normal 3 2 2 4" xfId="378" xr:uid="{00000000-0005-0000-0000-0000F4070000}"/>
    <cellStyle name="Normal 3 2 2 4 2" xfId="4674" xr:uid="{00000000-0005-0000-0000-0000F5070000}"/>
    <cellStyle name="Normal 3 2 2 4 2 2" xfId="11188" xr:uid="{00000000-0005-0000-0000-0000F6070000}"/>
    <cellStyle name="Normal 3 2 2 4 3" xfId="6904" xr:uid="{00000000-0005-0000-0000-0000F7070000}"/>
    <cellStyle name="Normal 3 2 2 5" xfId="4332" xr:uid="{00000000-0005-0000-0000-0000F8070000}"/>
    <cellStyle name="Normal 3 2 2 5 2" xfId="10846" xr:uid="{00000000-0005-0000-0000-0000F9070000}"/>
    <cellStyle name="Normal 3 2 2 6" xfId="6562" xr:uid="{00000000-0005-0000-0000-0000FA070000}"/>
    <cellStyle name="Normal 3 2 3" xfId="53" xr:uid="{00000000-0005-0000-0000-0000FB070000}"/>
    <cellStyle name="Normal 3 2 3 2" xfId="127" xr:uid="{00000000-0005-0000-0000-0000FC070000}"/>
    <cellStyle name="Normal 3 2 3 2 2" xfId="470" xr:uid="{00000000-0005-0000-0000-0000FD070000}"/>
    <cellStyle name="Normal 3 2 3 2 2 2" xfId="4766" xr:uid="{00000000-0005-0000-0000-0000FE070000}"/>
    <cellStyle name="Normal 3 2 3 2 2 2 2" xfId="11280" xr:uid="{00000000-0005-0000-0000-0000FF070000}"/>
    <cellStyle name="Normal 3 2 3 2 2 3" xfId="6996" xr:uid="{00000000-0005-0000-0000-000000080000}"/>
    <cellStyle name="Normal 3 2 3 2 3" xfId="4424" xr:uid="{00000000-0005-0000-0000-000001080000}"/>
    <cellStyle name="Normal 3 2 3 2 3 2" xfId="10938" xr:uid="{00000000-0005-0000-0000-000002080000}"/>
    <cellStyle name="Normal 3 2 3 2 4" xfId="6654" xr:uid="{00000000-0005-0000-0000-000003080000}"/>
    <cellStyle name="Normal 3 2 3 3" xfId="396" xr:uid="{00000000-0005-0000-0000-000004080000}"/>
    <cellStyle name="Normal 3 2 3 3 2" xfId="4692" xr:uid="{00000000-0005-0000-0000-000005080000}"/>
    <cellStyle name="Normal 3 2 3 3 2 2" xfId="11206" xr:uid="{00000000-0005-0000-0000-000006080000}"/>
    <cellStyle name="Normal 3 2 3 3 3" xfId="6922" xr:uid="{00000000-0005-0000-0000-000007080000}"/>
    <cellStyle name="Normal 3 2 3 4" xfId="4350" xr:uid="{00000000-0005-0000-0000-000008080000}"/>
    <cellStyle name="Normal 3 2 3 4 2" xfId="10864" xr:uid="{00000000-0005-0000-0000-000009080000}"/>
    <cellStyle name="Normal 3 2 3 5" xfId="6580" xr:uid="{00000000-0005-0000-0000-00000A080000}"/>
    <cellStyle name="Normal 3 2 4" xfId="94" xr:uid="{00000000-0005-0000-0000-00000B080000}"/>
    <cellStyle name="Normal 3 2 4 2" xfId="437" xr:uid="{00000000-0005-0000-0000-00000C080000}"/>
    <cellStyle name="Normal 3 2 4 2 2" xfId="4733" xr:uid="{00000000-0005-0000-0000-00000D080000}"/>
    <cellStyle name="Normal 3 2 4 2 2 2" xfId="11247" xr:uid="{00000000-0005-0000-0000-00000E080000}"/>
    <cellStyle name="Normal 3 2 4 2 3" xfId="6963" xr:uid="{00000000-0005-0000-0000-00000F080000}"/>
    <cellStyle name="Normal 3 2 4 3" xfId="4391" xr:uid="{00000000-0005-0000-0000-000010080000}"/>
    <cellStyle name="Normal 3 2 4 3 2" xfId="10905" xr:uid="{00000000-0005-0000-0000-000011080000}"/>
    <cellStyle name="Normal 3 2 4 4" xfId="6621" xr:uid="{00000000-0005-0000-0000-000012080000}"/>
    <cellStyle name="Normal 3 2 5" xfId="363" xr:uid="{00000000-0005-0000-0000-000013080000}"/>
    <cellStyle name="Normal 3 2 5 2" xfId="4659" xr:uid="{00000000-0005-0000-0000-000014080000}"/>
    <cellStyle name="Normal 3 2 5 2 2" xfId="11173" xr:uid="{00000000-0005-0000-0000-000015080000}"/>
    <cellStyle name="Normal 3 2 5 3" xfId="6889" xr:uid="{00000000-0005-0000-0000-000016080000}"/>
    <cellStyle name="Normal 3 2 6" xfId="4317" xr:uid="{00000000-0005-0000-0000-000017080000}"/>
    <cellStyle name="Normal 3 2 6 2" xfId="10831" xr:uid="{00000000-0005-0000-0000-000018080000}"/>
    <cellStyle name="Normal 3 2 7" xfId="6547" xr:uid="{00000000-0005-0000-0000-000019080000}"/>
    <cellStyle name="Normal 3 3" xfId="24" xr:uid="{00000000-0005-0000-0000-00001A080000}"/>
    <cellStyle name="Normal 3 3 2" xfId="39" xr:uid="{00000000-0005-0000-0000-00001B080000}"/>
    <cellStyle name="Normal 3 3 2 2" xfId="77" xr:uid="{00000000-0005-0000-0000-00001C080000}"/>
    <cellStyle name="Normal 3 3 2 2 2" xfId="151" xr:uid="{00000000-0005-0000-0000-00001D080000}"/>
    <cellStyle name="Normal 3 3 2 2 2 2" xfId="494" xr:uid="{00000000-0005-0000-0000-00001E080000}"/>
    <cellStyle name="Normal 3 3 2 2 2 2 2" xfId="4790" xr:uid="{00000000-0005-0000-0000-00001F080000}"/>
    <cellStyle name="Normal 3 3 2 2 2 2 2 2" xfId="11304" xr:uid="{00000000-0005-0000-0000-000020080000}"/>
    <cellStyle name="Normal 3 3 2 2 2 2 3" xfId="7020" xr:uid="{00000000-0005-0000-0000-000021080000}"/>
    <cellStyle name="Normal 3 3 2 2 2 3" xfId="4448" xr:uid="{00000000-0005-0000-0000-000022080000}"/>
    <cellStyle name="Normal 3 3 2 2 2 3 2" xfId="10962" xr:uid="{00000000-0005-0000-0000-000023080000}"/>
    <cellStyle name="Normal 3 3 2 2 2 4" xfId="6678" xr:uid="{00000000-0005-0000-0000-000024080000}"/>
    <cellStyle name="Normal 3 3 2 2 3" xfId="420" xr:uid="{00000000-0005-0000-0000-000025080000}"/>
    <cellStyle name="Normal 3 3 2 2 3 2" xfId="4716" xr:uid="{00000000-0005-0000-0000-000026080000}"/>
    <cellStyle name="Normal 3 3 2 2 3 2 2" xfId="11230" xr:uid="{00000000-0005-0000-0000-000027080000}"/>
    <cellStyle name="Normal 3 3 2 2 3 3" xfId="6946" xr:uid="{00000000-0005-0000-0000-000028080000}"/>
    <cellStyle name="Normal 3 3 2 2 4" xfId="4374" xr:uid="{00000000-0005-0000-0000-000029080000}"/>
    <cellStyle name="Normal 3 3 2 2 4 2" xfId="10888" xr:uid="{00000000-0005-0000-0000-00002A080000}"/>
    <cellStyle name="Normal 3 3 2 2 5" xfId="6604" xr:uid="{00000000-0005-0000-0000-00002B080000}"/>
    <cellStyle name="Normal 3 3 2 3" xfId="114" xr:uid="{00000000-0005-0000-0000-00002C080000}"/>
    <cellStyle name="Normal 3 3 2 3 2" xfId="457" xr:uid="{00000000-0005-0000-0000-00002D080000}"/>
    <cellStyle name="Normal 3 3 2 3 2 2" xfId="4753" xr:uid="{00000000-0005-0000-0000-00002E080000}"/>
    <cellStyle name="Normal 3 3 2 3 2 2 2" xfId="11267" xr:uid="{00000000-0005-0000-0000-00002F080000}"/>
    <cellStyle name="Normal 3 3 2 3 2 3" xfId="6983" xr:uid="{00000000-0005-0000-0000-000030080000}"/>
    <cellStyle name="Normal 3 3 2 3 3" xfId="4411" xr:uid="{00000000-0005-0000-0000-000031080000}"/>
    <cellStyle name="Normal 3 3 2 3 3 2" xfId="10925" xr:uid="{00000000-0005-0000-0000-000032080000}"/>
    <cellStyle name="Normal 3 3 2 3 4" xfId="6641" xr:uid="{00000000-0005-0000-0000-000033080000}"/>
    <cellStyle name="Normal 3 3 2 4" xfId="383" xr:uid="{00000000-0005-0000-0000-000034080000}"/>
    <cellStyle name="Normal 3 3 2 4 2" xfId="4679" xr:uid="{00000000-0005-0000-0000-000035080000}"/>
    <cellStyle name="Normal 3 3 2 4 2 2" xfId="11193" xr:uid="{00000000-0005-0000-0000-000036080000}"/>
    <cellStyle name="Normal 3 3 2 4 3" xfId="6909" xr:uid="{00000000-0005-0000-0000-000037080000}"/>
    <cellStyle name="Normal 3 3 2 5" xfId="4337" xr:uid="{00000000-0005-0000-0000-000038080000}"/>
    <cellStyle name="Normal 3 3 2 5 2" xfId="10851" xr:uid="{00000000-0005-0000-0000-000039080000}"/>
    <cellStyle name="Normal 3 3 2 6" xfId="6567" xr:uid="{00000000-0005-0000-0000-00003A080000}"/>
    <cellStyle name="Normal 3 3 3" xfId="56" xr:uid="{00000000-0005-0000-0000-00003B080000}"/>
    <cellStyle name="Normal 3 3 3 2" xfId="130" xr:uid="{00000000-0005-0000-0000-00003C080000}"/>
    <cellStyle name="Normal 3 3 3 2 2" xfId="473" xr:uid="{00000000-0005-0000-0000-00003D080000}"/>
    <cellStyle name="Normal 3 3 3 2 2 2" xfId="4769" xr:uid="{00000000-0005-0000-0000-00003E080000}"/>
    <cellStyle name="Normal 3 3 3 2 2 2 2" xfId="11283" xr:uid="{00000000-0005-0000-0000-00003F080000}"/>
    <cellStyle name="Normal 3 3 3 2 2 3" xfId="6999" xr:uid="{00000000-0005-0000-0000-000040080000}"/>
    <cellStyle name="Normal 3 3 3 2 3" xfId="4427" xr:uid="{00000000-0005-0000-0000-000041080000}"/>
    <cellStyle name="Normal 3 3 3 2 3 2" xfId="10941" xr:uid="{00000000-0005-0000-0000-000042080000}"/>
    <cellStyle name="Normal 3 3 3 2 4" xfId="6657" xr:uid="{00000000-0005-0000-0000-000043080000}"/>
    <cellStyle name="Normal 3 3 3 3" xfId="399" xr:uid="{00000000-0005-0000-0000-000044080000}"/>
    <cellStyle name="Normal 3 3 3 3 2" xfId="4695" xr:uid="{00000000-0005-0000-0000-000045080000}"/>
    <cellStyle name="Normal 3 3 3 3 2 2" xfId="11209" xr:uid="{00000000-0005-0000-0000-000046080000}"/>
    <cellStyle name="Normal 3 3 3 3 3" xfId="6925" xr:uid="{00000000-0005-0000-0000-000047080000}"/>
    <cellStyle name="Normal 3 3 3 4" xfId="4353" xr:uid="{00000000-0005-0000-0000-000048080000}"/>
    <cellStyle name="Normal 3 3 3 4 2" xfId="10867" xr:uid="{00000000-0005-0000-0000-000049080000}"/>
    <cellStyle name="Normal 3 3 3 5" xfId="6583" xr:uid="{00000000-0005-0000-0000-00004A080000}"/>
    <cellStyle name="Normal 3 3 4" xfId="99" xr:uid="{00000000-0005-0000-0000-00004B080000}"/>
    <cellStyle name="Normal 3 3 4 2" xfId="442" xr:uid="{00000000-0005-0000-0000-00004C080000}"/>
    <cellStyle name="Normal 3 3 4 2 2" xfId="4738" xr:uid="{00000000-0005-0000-0000-00004D080000}"/>
    <cellStyle name="Normal 3 3 4 2 2 2" xfId="11252" xr:uid="{00000000-0005-0000-0000-00004E080000}"/>
    <cellStyle name="Normal 3 3 4 2 3" xfId="6968" xr:uid="{00000000-0005-0000-0000-00004F080000}"/>
    <cellStyle name="Normal 3 3 4 3" xfId="4396" xr:uid="{00000000-0005-0000-0000-000050080000}"/>
    <cellStyle name="Normal 3 3 4 3 2" xfId="10910" xr:uid="{00000000-0005-0000-0000-000051080000}"/>
    <cellStyle name="Normal 3 3 4 4" xfId="6626" xr:uid="{00000000-0005-0000-0000-000052080000}"/>
    <cellStyle name="Normal 3 3 5" xfId="368" xr:uid="{00000000-0005-0000-0000-000053080000}"/>
    <cellStyle name="Normal 3 3 5 2" xfId="4664" xr:uid="{00000000-0005-0000-0000-000054080000}"/>
    <cellStyle name="Normal 3 3 5 2 2" xfId="11178" xr:uid="{00000000-0005-0000-0000-000055080000}"/>
    <cellStyle name="Normal 3 3 5 3" xfId="6894" xr:uid="{00000000-0005-0000-0000-000056080000}"/>
    <cellStyle name="Normal 3 3 6" xfId="4322" xr:uid="{00000000-0005-0000-0000-000057080000}"/>
    <cellStyle name="Normal 3 3 6 2" xfId="10836" xr:uid="{00000000-0005-0000-0000-000058080000}"/>
    <cellStyle name="Normal 3 3 7" xfId="6552" xr:uid="{00000000-0005-0000-0000-000059080000}"/>
    <cellStyle name="Normal 3 4" xfId="27" xr:uid="{00000000-0005-0000-0000-00005A080000}"/>
    <cellStyle name="Normal 3 4 2" xfId="42" xr:uid="{00000000-0005-0000-0000-00005B080000}"/>
    <cellStyle name="Normal 3 4 2 2" xfId="80" xr:uid="{00000000-0005-0000-0000-00005C080000}"/>
    <cellStyle name="Normal 3 4 2 2 2" xfId="154" xr:uid="{00000000-0005-0000-0000-00005D080000}"/>
    <cellStyle name="Normal 3 4 2 2 2 2" xfId="497" xr:uid="{00000000-0005-0000-0000-00005E080000}"/>
    <cellStyle name="Normal 3 4 2 2 2 2 2" xfId="4793" xr:uid="{00000000-0005-0000-0000-00005F080000}"/>
    <cellStyle name="Normal 3 4 2 2 2 2 2 2" xfId="11307" xr:uid="{00000000-0005-0000-0000-000060080000}"/>
    <cellStyle name="Normal 3 4 2 2 2 2 3" xfId="7023" xr:uid="{00000000-0005-0000-0000-000061080000}"/>
    <cellStyle name="Normal 3 4 2 2 2 3" xfId="4451" xr:uid="{00000000-0005-0000-0000-000062080000}"/>
    <cellStyle name="Normal 3 4 2 2 2 3 2" xfId="10965" xr:uid="{00000000-0005-0000-0000-000063080000}"/>
    <cellStyle name="Normal 3 4 2 2 2 4" xfId="6681" xr:uid="{00000000-0005-0000-0000-000064080000}"/>
    <cellStyle name="Normal 3 4 2 2 3" xfId="423" xr:uid="{00000000-0005-0000-0000-000065080000}"/>
    <cellStyle name="Normal 3 4 2 2 3 2" xfId="4719" xr:uid="{00000000-0005-0000-0000-000066080000}"/>
    <cellStyle name="Normal 3 4 2 2 3 2 2" xfId="11233" xr:uid="{00000000-0005-0000-0000-000067080000}"/>
    <cellStyle name="Normal 3 4 2 2 3 3" xfId="6949" xr:uid="{00000000-0005-0000-0000-000068080000}"/>
    <cellStyle name="Normal 3 4 2 2 4" xfId="4377" xr:uid="{00000000-0005-0000-0000-000069080000}"/>
    <cellStyle name="Normal 3 4 2 2 4 2" xfId="10891" xr:uid="{00000000-0005-0000-0000-00006A080000}"/>
    <cellStyle name="Normal 3 4 2 2 5" xfId="6607" xr:uid="{00000000-0005-0000-0000-00006B080000}"/>
    <cellStyle name="Normal 3 4 2 3" xfId="117" xr:uid="{00000000-0005-0000-0000-00006C080000}"/>
    <cellStyle name="Normal 3 4 2 3 2" xfId="460" xr:uid="{00000000-0005-0000-0000-00006D080000}"/>
    <cellStyle name="Normal 3 4 2 3 2 2" xfId="4756" xr:uid="{00000000-0005-0000-0000-00006E080000}"/>
    <cellStyle name="Normal 3 4 2 3 2 2 2" xfId="11270" xr:uid="{00000000-0005-0000-0000-00006F080000}"/>
    <cellStyle name="Normal 3 4 2 3 2 3" xfId="6986" xr:uid="{00000000-0005-0000-0000-000070080000}"/>
    <cellStyle name="Normal 3 4 2 3 3" xfId="4414" xr:uid="{00000000-0005-0000-0000-000071080000}"/>
    <cellStyle name="Normal 3 4 2 3 3 2" xfId="10928" xr:uid="{00000000-0005-0000-0000-000072080000}"/>
    <cellStyle name="Normal 3 4 2 3 4" xfId="6644" xr:uid="{00000000-0005-0000-0000-000073080000}"/>
    <cellStyle name="Normal 3 4 2 4" xfId="386" xr:uid="{00000000-0005-0000-0000-000074080000}"/>
    <cellStyle name="Normal 3 4 2 4 2" xfId="4682" xr:uid="{00000000-0005-0000-0000-000075080000}"/>
    <cellStyle name="Normal 3 4 2 4 2 2" xfId="11196" xr:uid="{00000000-0005-0000-0000-000076080000}"/>
    <cellStyle name="Normal 3 4 2 4 3" xfId="6912" xr:uid="{00000000-0005-0000-0000-000077080000}"/>
    <cellStyle name="Normal 3 4 2 5" xfId="4340" xr:uid="{00000000-0005-0000-0000-000078080000}"/>
    <cellStyle name="Normal 3 4 2 5 2" xfId="10854" xr:uid="{00000000-0005-0000-0000-000079080000}"/>
    <cellStyle name="Normal 3 4 2 6" xfId="6570" xr:uid="{00000000-0005-0000-0000-00007A080000}"/>
    <cellStyle name="Normal 3 4 3" xfId="59" xr:uid="{00000000-0005-0000-0000-00007B080000}"/>
    <cellStyle name="Normal 3 4 3 2" xfId="133" xr:uid="{00000000-0005-0000-0000-00007C080000}"/>
    <cellStyle name="Normal 3 4 3 2 2" xfId="476" xr:uid="{00000000-0005-0000-0000-00007D080000}"/>
    <cellStyle name="Normal 3 4 3 2 2 2" xfId="4772" xr:uid="{00000000-0005-0000-0000-00007E080000}"/>
    <cellStyle name="Normal 3 4 3 2 2 2 2" xfId="11286" xr:uid="{00000000-0005-0000-0000-00007F080000}"/>
    <cellStyle name="Normal 3 4 3 2 2 3" xfId="7002" xr:uid="{00000000-0005-0000-0000-000080080000}"/>
    <cellStyle name="Normal 3 4 3 2 3" xfId="4430" xr:uid="{00000000-0005-0000-0000-000081080000}"/>
    <cellStyle name="Normal 3 4 3 2 3 2" xfId="10944" xr:uid="{00000000-0005-0000-0000-000082080000}"/>
    <cellStyle name="Normal 3 4 3 2 4" xfId="6660" xr:uid="{00000000-0005-0000-0000-000083080000}"/>
    <cellStyle name="Normal 3 4 3 3" xfId="402" xr:uid="{00000000-0005-0000-0000-000084080000}"/>
    <cellStyle name="Normal 3 4 3 3 2" xfId="4698" xr:uid="{00000000-0005-0000-0000-000085080000}"/>
    <cellStyle name="Normal 3 4 3 3 2 2" xfId="11212" xr:uid="{00000000-0005-0000-0000-000086080000}"/>
    <cellStyle name="Normal 3 4 3 3 3" xfId="6928" xr:uid="{00000000-0005-0000-0000-000087080000}"/>
    <cellStyle name="Normal 3 4 3 4" xfId="4356" xr:uid="{00000000-0005-0000-0000-000088080000}"/>
    <cellStyle name="Normal 3 4 3 4 2" xfId="10870" xr:uid="{00000000-0005-0000-0000-000089080000}"/>
    <cellStyle name="Normal 3 4 3 5" xfId="6586" xr:uid="{00000000-0005-0000-0000-00008A080000}"/>
    <cellStyle name="Normal 3 4 4" xfId="102" xr:uid="{00000000-0005-0000-0000-00008B080000}"/>
    <cellStyle name="Normal 3 4 4 2" xfId="445" xr:uid="{00000000-0005-0000-0000-00008C080000}"/>
    <cellStyle name="Normal 3 4 4 2 2" xfId="4741" xr:uid="{00000000-0005-0000-0000-00008D080000}"/>
    <cellStyle name="Normal 3 4 4 2 2 2" xfId="11255" xr:uid="{00000000-0005-0000-0000-00008E080000}"/>
    <cellStyle name="Normal 3 4 4 2 3" xfId="6971" xr:uid="{00000000-0005-0000-0000-00008F080000}"/>
    <cellStyle name="Normal 3 4 4 3" xfId="4399" xr:uid="{00000000-0005-0000-0000-000090080000}"/>
    <cellStyle name="Normal 3 4 4 3 2" xfId="10913" xr:uid="{00000000-0005-0000-0000-000091080000}"/>
    <cellStyle name="Normal 3 4 4 4" xfId="6629" xr:uid="{00000000-0005-0000-0000-000092080000}"/>
    <cellStyle name="Normal 3 4 5" xfId="371" xr:uid="{00000000-0005-0000-0000-000093080000}"/>
    <cellStyle name="Normal 3 4 5 2" xfId="4667" xr:uid="{00000000-0005-0000-0000-000094080000}"/>
    <cellStyle name="Normal 3 4 5 2 2" xfId="11181" xr:uid="{00000000-0005-0000-0000-000095080000}"/>
    <cellStyle name="Normal 3 4 5 3" xfId="6897" xr:uid="{00000000-0005-0000-0000-000096080000}"/>
    <cellStyle name="Normal 3 4 6" xfId="4325" xr:uid="{00000000-0005-0000-0000-000097080000}"/>
    <cellStyle name="Normal 3 4 6 2" xfId="10839" xr:uid="{00000000-0005-0000-0000-000098080000}"/>
    <cellStyle name="Normal 3 4 7" xfId="6555" xr:uid="{00000000-0005-0000-0000-000099080000}"/>
    <cellStyle name="Normal 3 5" xfId="31" xr:uid="{00000000-0005-0000-0000-00009A080000}"/>
    <cellStyle name="Normal 3 5 2" xfId="69" xr:uid="{00000000-0005-0000-0000-00009B080000}"/>
    <cellStyle name="Normal 3 5 2 2" xfId="143" xr:uid="{00000000-0005-0000-0000-00009C080000}"/>
    <cellStyle name="Normal 3 5 2 2 2" xfId="486" xr:uid="{00000000-0005-0000-0000-00009D080000}"/>
    <cellStyle name="Normal 3 5 2 2 2 2" xfId="4782" xr:uid="{00000000-0005-0000-0000-00009E080000}"/>
    <cellStyle name="Normal 3 5 2 2 2 2 2" xfId="11296" xr:uid="{00000000-0005-0000-0000-00009F080000}"/>
    <cellStyle name="Normal 3 5 2 2 2 3" xfId="7012" xr:uid="{00000000-0005-0000-0000-0000A0080000}"/>
    <cellStyle name="Normal 3 5 2 2 3" xfId="4440" xr:uid="{00000000-0005-0000-0000-0000A1080000}"/>
    <cellStyle name="Normal 3 5 2 2 3 2" xfId="10954" xr:uid="{00000000-0005-0000-0000-0000A2080000}"/>
    <cellStyle name="Normal 3 5 2 2 4" xfId="6670" xr:uid="{00000000-0005-0000-0000-0000A3080000}"/>
    <cellStyle name="Normal 3 5 2 3" xfId="412" xr:uid="{00000000-0005-0000-0000-0000A4080000}"/>
    <cellStyle name="Normal 3 5 2 3 2" xfId="4708" xr:uid="{00000000-0005-0000-0000-0000A5080000}"/>
    <cellStyle name="Normal 3 5 2 3 2 2" xfId="11222" xr:uid="{00000000-0005-0000-0000-0000A6080000}"/>
    <cellStyle name="Normal 3 5 2 3 3" xfId="6938" xr:uid="{00000000-0005-0000-0000-0000A7080000}"/>
    <cellStyle name="Normal 3 5 2 4" xfId="4366" xr:uid="{00000000-0005-0000-0000-0000A8080000}"/>
    <cellStyle name="Normal 3 5 2 4 2" xfId="10880" xr:uid="{00000000-0005-0000-0000-0000A9080000}"/>
    <cellStyle name="Normal 3 5 2 5" xfId="6596" xr:uid="{00000000-0005-0000-0000-0000AA080000}"/>
    <cellStyle name="Normal 3 5 3" xfId="106" xr:uid="{00000000-0005-0000-0000-0000AB080000}"/>
    <cellStyle name="Normal 3 5 3 2" xfId="449" xr:uid="{00000000-0005-0000-0000-0000AC080000}"/>
    <cellStyle name="Normal 3 5 3 2 2" xfId="4745" xr:uid="{00000000-0005-0000-0000-0000AD080000}"/>
    <cellStyle name="Normal 3 5 3 2 2 2" xfId="11259" xr:uid="{00000000-0005-0000-0000-0000AE080000}"/>
    <cellStyle name="Normal 3 5 3 2 3" xfId="6975" xr:uid="{00000000-0005-0000-0000-0000AF080000}"/>
    <cellStyle name="Normal 3 5 3 3" xfId="4403" xr:uid="{00000000-0005-0000-0000-0000B0080000}"/>
    <cellStyle name="Normal 3 5 3 3 2" xfId="10917" xr:uid="{00000000-0005-0000-0000-0000B1080000}"/>
    <cellStyle name="Normal 3 5 3 4" xfId="6633" xr:uid="{00000000-0005-0000-0000-0000B2080000}"/>
    <cellStyle name="Normal 3 5 4" xfId="375" xr:uid="{00000000-0005-0000-0000-0000B3080000}"/>
    <cellStyle name="Normal 3 5 4 2" xfId="4671" xr:uid="{00000000-0005-0000-0000-0000B4080000}"/>
    <cellStyle name="Normal 3 5 4 2 2" xfId="11185" xr:uid="{00000000-0005-0000-0000-0000B5080000}"/>
    <cellStyle name="Normal 3 5 4 3" xfId="6901" xr:uid="{00000000-0005-0000-0000-0000B6080000}"/>
    <cellStyle name="Normal 3 5 5" xfId="4329" xr:uid="{00000000-0005-0000-0000-0000B7080000}"/>
    <cellStyle name="Normal 3 5 5 2" xfId="10843" xr:uid="{00000000-0005-0000-0000-0000B8080000}"/>
    <cellStyle name="Normal 3 5 6" xfId="6559" xr:uid="{00000000-0005-0000-0000-0000B9080000}"/>
    <cellStyle name="Normal 3 6" xfId="50" xr:uid="{00000000-0005-0000-0000-0000BA080000}"/>
    <cellStyle name="Normal 3 6 2" xfId="124" xr:uid="{00000000-0005-0000-0000-0000BB080000}"/>
    <cellStyle name="Normal 3 6 2 2" xfId="467" xr:uid="{00000000-0005-0000-0000-0000BC080000}"/>
    <cellStyle name="Normal 3 6 2 2 2" xfId="4763" xr:uid="{00000000-0005-0000-0000-0000BD080000}"/>
    <cellStyle name="Normal 3 6 2 2 2 2" xfId="11277" xr:uid="{00000000-0005-0000-0000-0000BE080000}"/>
    <cellStyle name="Normal 3 6 2 2 3" xfId="6993" xr:uid="{00000000-0005-0000-0000-0000BF080000}"/>
    <cellStyle name="Normal 3 6 2 3" xfId="4421" xr:uid="{00000000-0005-0000-0000-0000C0080000}"/>
    <cellStyle name="Normal 3 6 2 3 2" xfId="10935" xr:uid="{00000000-0005-0000-0000-0000C1080000}"/>
    <cellStyle name="Normal 3 6 2 4" xfId="6651" xr:uid="{00000000-0005-0000-0000-0000C2080000}"/>
    <cellStyle name="Normal 3 6 3" xfId="393" xr:uid="{00000000-0005-0000-0000-0000C3080000}"/>
    <cellStyle name="Normal 3 6 3 2" xfId="4689" xr:uid="{00000000-0005-0000-0000-0000C4080000}"/>
    <cellStyle name="Normal 3 6 3 2 2" xfId="11203" xr:uid="{00000000-0005-0000-0000-0000C5080000}"/>
    <cellStyle name="Normal 3 6 3 3" xfId="6919" xr:uid="{00000000-0005-0000-0000-0000C6080000}"/>
    <cellStyle name="Normal 3 6 4" xfId="4347" xr:uid="{00000000-0005-0000-0000-0000C7080000}"/>
    <cellStyle name="Normal 3 6 4 2" xfId="10861" xr:uid="{00000000-0005-0000-0000-0000C8080000}"/>
    <cellStyle name="Normal 3 6 5" xfId="6577" xr:uid="{00000000-0005-0000-0000-0000C9080000}"/>
    <cellStyle name="Normal 3 7" xfId="91" xr:uid="{00000000-0005-0000-0000-0000CA080000}"/>
    <cellStyle name="Normal 3 7 2" xfId="434" xr:uid="{00000000-0005-0000-0000-0000CB080000}"/>
    <cellStyle name="Normal 3 7 2 2" xfId="4730" xr:uid="{00000000-0005-0000-0000-0000CC080000}"/>
    <cellStyle name="Normal 3 7 2 2 2" xfId="11244" xr:uid="{00000000-0005-0000-0000-0000CD080000}"/>
    <cellStyle name="Normal 3 7 2 3" xfId="6960" xr:uid="{00000000-0005-0000-0000-0000CE080000}"/>
    <cellStyle name="Normal 3 7 3" xfId="4388" xr:uid="{00000000-0005-0000-0000-0000CF080000}"/>
    <cellStyle name="Normal 3 7 3 2" xfId="10902" xr:uid="{00000000-0005-0000-0000-0000D0080000}"/>
    <cellStyle name="Normal 3 7 4" xfId="6618" xr:uid="{00000000-0005-0000-0000-0000D1080000}"/>
    <cellStyle name="Normal 3 8" xfId="360" xr:uid="{00000000-0005-0000-0000-0000D2080000}"/>
    <cellStyle name="Normal 3 8 2" xfId="4656" xr:uid="{00000000-0005-0000-0000-0000D3080000}"/>
    <cellStyle name="Normal 3 8 2 2" xfId="11170" xr:uid="{00000000-0005-0000-0000-0000D4080000}"/>
    <cellStyle name="Normal 3 8 3" xfId="6886" xr:uid="{00000000-0005-0000-0000-0000D5080000}"/>
    <cellStyle name="Normal 3 9" xfId="4312" xr:uid="{00000000-0005-0000-0000-0000D6080000}"/>
    <cellStyle name="Normal 3 9 2" xfId="10826" xr:uid="{00000000-0005-0000-0000-0000D7080000}"/>
    <cellStyle name="Normal 4" xfId="4" xr:uid="{00000000-0005-0000-0000-0000D8080000}"/>
    <cellStyle name="Normal 5" xfId="9" xr:uid="{00000000-0005-0000-0000-0000D9080000}"/>
    <cellStyle name="Normal 6" xfId="8" xr:uid="{00000000-0005-0000-0000-0000DA080000}"/>
    <cellStyle name="Normal 6 2" xfId="19" xr:uid="{00000000-0005-0000-0000-0000DB080000}"/>
    <cellStyle name="Normal 6 2 2" xfId="712" xr:uid="{00000000-0005-0000-0000-0000DC080000}"/>
    <cellStyle name="Normal 6 3" xfId="705" xr:uid="{00000000-0005-0000-0000-0000DD080000}"/>
    <cellStyle name="Normal 7" xfId="11" xr:uid="{00000000-0005-0000-0000-0000DE080000}"/>
    <cellStyle name="Normal 7 2" xfId="20" xr:uid="{00000000-0005-0000-0000-0000DF080000}"/>
    <cellStyle name="Normal 7 2 2" xfId="713" xr:uid="{00000000-0005-0000-0000-0000E0080000}"/>
    <cellStyle name="Normal 7 3" xfId="706" xr:uid="{00000000-0005-0000-0000-0000E1080000}"/>
    <cellStyle name="Normal 8" xfId="12" xr:uid="{00000000-0005-0000-0000-0000E2080000}"/>
    <cellStyle name="Normal 8 2" xfId="21" xr:uid="{00000000-0005-0000-0000-0000E3080000}"/>
    <cellStyle name="Normal 8 2 2" xfId="714" xr:uid="{00000000-0005-0000-0000-0000E4080000}"/>
    <cellStyle name="Normal 8 3" xfId="707" xr:uid="{00000000-0005-0000-0000-0000E5080000}"/>
    <cellStyle name="Normal 9" xfId="13" xr:uid="{00000000-0005-0000-0000-0000E6080000}"/>
    <cellStyle name="Normal 9 2" xfId="708" xr:uid="{00000000-0005-0000-0000-0000E7080000}"/>
    <cellStyle name="Normal_NOVO DOCUMENTOSIF" xfId="13067" xr:uid="{6B148CD9-78E0-4E34-ABC8-8156CA1495C6}"/>
    <cellStyle name="Nota 2" xfId="357" xr:uid="{00000000-0005-0000-0000-0000E8080000}"/>
    <cellStyle name="Porcentagem" xfId="13065" builtinId="5"/>
    <cellStyle name="Porcentagem 2" xfId="49" xr:uid="{00000000-0005-0000-0000-0000EA080000}"/>
    <cellStyle name="Porcentagem 3" xfId="2252" xr:uid="{00000000-0005-0000-0000-0000EB080000}"/>
    <cellStyle name="Porcentagem 4" xfId="13057" xr:uid="{00000000-0005-0000-0000-0000EC080000}"/>
    <cellStyle name="Ruim 2" xfId="13058" xr:uid="{00000000-0005-0000-0000-0000ED080000}"/>
    <cellStyle name="Separador de milhares 2" xfId="7" xr:uid="{00000000-0005-0000-0000-0000EE080000}"/>
    <cellStyle name="Separador de milhares 2 2" xfId="18" xr:uid="{00000000-0005-0000-0000-0000EF080000}"/>
    <cellStyle name="Separador de milhares 2 2 10" xfId="2258" xr:uid="{00000000-0005-0000-0000-0000F0080000}"/>
    <cellStyle name="Separador de milhares 2 2 10 2" xfId="8774" xr:uid="{00000000-0005-0000-0000-0000F1080000}"/>
    <cellStyle name="Separador de milhares 2 2 11" xfId="4319" xr:uid="{00000000-0005-0000-0000-0000F2080000}"/>
    <cellStyle name="Separador de milhares 2 2 11 2" xfId="10833" xr:uid="{00000000-0005-0000-0000-0000F3080000}"/>
    <cellStyle name="Separador de milhares 2 2 12" xfId="6549" xr:uid="{00000000-0005-0000-0000-0000F4080000}"/>
    <cellStyle name="Separador de milhares 2 2 2" xfId="36" xr:uid="{00000000-0005-0000-0000-0000F5080000}"/>
    <cellStyle name="Separador de milhares 2 2 2 10" xfId="4334" xr:uid="{00000000-0005-0000-0000-0000F6080000}"/>
    <cellStyle name="Separador de milhares 2 2 2 10 2" xfId="10848" xr:uid="{00000000-0005-0000-0000-0000F7080000}"/>
    <cellStyle name="Separador de milhares 2 2 2 11" xfId="6564" xr:uid="{00000000-0005-0000-0000-0000F8080000}"/>
    <cellStyle name="Separador de milhares 2 2 2 2" xfId="74" xr:uid="{00000000-0005-0000-0000-0000F9080000}"/>
    <cellStyle name="Separador de milhares 2 2 2 2 10" xfId="6601" xr:uid="{00000000-0005-0000-0000-0000FA080000}"/>
    <cellStyle name="Separador de milhares 2 2 2 2 2" xfId="148" xr:uid="{00000000-0005-0000-0000-0000FB080000}"/>
    <cellStyle name="Separador de milhares 2 2 2 2 2 2" xfId="221" xr:uid="{00000000-0005-0000-0000-0000FC080000}"/>
    <cellStyle name="Separador de milhares 2 2 2 2 2 2 2" xfId="349" xr:uid="{00000000-0005-0000-0000-0000FD080000}"/>
    <cellStyle name="Separador de milhares 2 2 2 2 2 2 2 2" xfId="692" xr:uid="{00000000-0005-0000-0000-0000FE080000}"/>
    <cellStyle name="Separador de milhares 2 2 2 2 2 2 2 2 2" xfId="1216" xr:uid="{00000000-0005-0000-0000-0000FF080000}"/>
    <cellStyle name="Separador de milhares 2 2 2 2 2 2 2 2 2 2" xfId="2244" xr:uid="{00000000-0005-0000-0000-000000090000}"/>
    <cellStyle name="Separador de milhares 2 2 2 2 2 2 2 2 2 2 2" xfId="4302" xr:uid="{00000000-0005-0000-0000-000001090000}"/>
    <cellStyle name="Separador de milhares 2 2 2 2 2 2 2 2 2 2 2 2" xfId="10818" xr:uid="{00000000-0005-0000-0000-000002090000}"/>
    <cellStyle name="Separador de milhares 2 2 2 2 2 2 2 2 2 2 3" xfId="6532" xr:uid="{00000000-0005-0000-0000-000003090000}"/>
    <cellStyle name="Separador de milhares 2 2 2 2 2 2 2 2 2 2 3 2" xfId="13046" xr:uid="{00000000-0005-0000-0000-000004090000}"/>
    <cellStyle name="Separador de milhares 2 2 2 2 2 2 2 2 2 2 4" xfId="8762" xr:uid="{00000000-0005-0000-0000-000005090000}"/>
    <cellStyle name="Separador de milhares 2 2 2 2 2 2 2 2 2 3" xfId="3274" xr:uid="{00000000-0005-0000-0000-000006090000}"/>
    <cellStyle name="Separador de milhares 2 2 2 2 2 2 2 2 2 3 2" xfId="9790" xr:uid="{00000000-0005-0000-0000-000007090000}"/>
    <cellStyle name="Separador de milhares 2 2 2 2 2 2 2 2 2 4" xfId="5504" xr:uid="{00000000-0005-0000-0000-000008090000}"/>
    <cellStyle name="Separador de milhares 2 2 2 2 2 2 2 2 2 4 2" xfId="12018" xr:uid="{00000000-0005-0000-0000-000009090000}"/>
    <cellStyle name="Separador de milhares 2 2 2 2 2 2 2 2 2 5" xfId="7734" xr:uid="{00000000-0005-0000-0000-00000A090000}"/>
    <cellStyle name="Separador de milhares 2 2 2 2 2 2 2 2 3" xfId="1730" xr:uid="{00000000-0005-0000-0000-00000B090000}"/>
    <cellStyle name="Separador de milhares 2 2 2 2 2 2 2 2 3 2" xfId="3788" xr:uid="{00000000-0005-0000-0000-00000C090000}"/>
    <cellStyle name="Separador de milhares 2 2 2 2 2 2 2 2 3 2 2" xfId="10304" xr:uid="{00000000-0005-0000-0000-00000D090000}"/>
    <cellStyle name="Separador de milhares 2 2 2 2 2 2 2 2 3 3" xfId="6018" xr:uid="{00000000-0005-0000-0000-00000E090000}"/>
    <cellStyle name="Separador de milhares 2 2 2 2 2 2 2 2 3 3 2" xfId="12532" xr:uid="{00000000-0005-0000-0000-00000F090000}"/>
    <cellStyle name="Separador de milhares 2 2 2 2 2 2 2 2 3 4" xfId="8248" xr:uid="{00000000-0005-0000-0000-000010090000}"/>
    <cellStyle name="Separador de milhares 2 2 2 2 2 2 2 2 4" xfId="2760" xr:uid="{00000000-0005-0000-0000-000011090000}"/>
    <cellStyle name="Separador de milhares 2 2 2 2 2 2 2 2 4 2" xfId="9276" xr:uid="{00000000-0005-0000-0000-000012090000}"/>
    <cellStyle name="Separador de milhares 2 2 2 2 2 2 2 2 5" xfId="4988" xr:uid="{00000000-0005-0000-0000-000013090000}"/>
    <cellStyle name="Separador de milhares 2 2 2 2 2 2 2 2 5 2" xfId="11502" xr:uid="{00000000-0005-0000-0000-000014090000}"/>
    <cellStyle name="Separador de milhares 2 2 2 2 2 2 2 2 6" xfId="7218" xr:uid="{00000000-0005-0000-0000-000015090000}"/>
    <cellStyle name="Separador de milhares 2 2 2 2 2 2 2 3" xfId="960" xr:uid="{00000000-0005-0000-0000-000016090000}"/>
    <cellStyle name="Separador de milhares 2 2 2 2 2 2 2 3 2" xfId="1988" xr:uid="{00000000-0005-0000-0000-000017090000}"/>
    <cellStyle name="Separador de milhares 2 2 2 2 2 2 2 3 2 2" xfId="4046" xr:uid="{00000000-0005-0000-0000-000018090000}"/>
    <cellStyle name="Separador de milhares 2 2 2 2 2 2 2 3 2 2 2" xfId="10562" xr:uid="{00000000-0005-0000-0000-000019090000}"/>
    <cellStyle name="Separador de milhares 2 2 2 2 2 2 2 3 2 3" xfId="6276" xr:uid="{00000000-0005-0000-0000-00001A090000}"/>
    <cellStyle name="Separador de milhares 2 2 2 2 2 2 2 3 2 3 2" xfId="12790" xr:uid="{00000000-0005-0000-0000-00001B090000}"/>
    <cellStyle name="Separador de milhares 2 2 2 2 2 2 2 3 2 4" xfId="8506" xr:uid="{00000000-0005-0000-0000-00001C090000}"/>
    <cellStyle name="Separador de milhares 2 2 2 2 2 2 2 3 3" xfId="3018" xr:uid="{00000000-0005-0000-0000-00001D090000}"/>
    <cellStyle name="Separador de milhares 2 2 2 2 2 2 2 3 3 2" xfId="9534" xr:uid="{00000000-0005-0000-0000-00001E090000}"/>
    <cellStyle name="Separador de milhares 2 2 2 2 2 2 2 3 4" xfId="5248" xr:uid="{00000000-0005-0000-0000-00001F090000}"/>
    <cellStyle name="Separador de milhares 2 2 2 2 2 2 2 3 4 2" xfId="11762" xr:uid="{00000000-0005-0000-0000-000020090000}"/>
    <cellStyle name="Separador de milhares 2 2 2 2 2 2 2 3 5" xfId="7478" xr:uid="{00000000-0005-0000-0000-000021090000}"/>
    <cellStyle name="Separador de milhares 2 2 2 2 2 2 2 4" xfId="1474" xr:uid="{00000000-0005-0000-0000-000022090000}"/>
    <cellStyle name="Separador de milhares 2 2 2 2 2 2 2 4 2" xfId="3532" xr:uid="{00000000-0005-0000-0000-000023090000}"/>
    <cellStyle name="Separador de milhares 2 2 2 2 2 2 2 4 2 2" xfId="10048" xr:uid="{00000000-0005-0000-0000-000024090000}"/>
    <cellStyle name="Separador de milhares 2 2 2 2 2 2 2 4 3" xfId="5762" xr:uid="{00000000-0005-0000-0000-000025090000}"/>
    <cellStyle name="Separador de milhares 2 2 2 2 2 2 2 4 3 2" xfId="12276" xr:uid="{00000000-0005-0000-0000-000026090000}"/>
    <cellStyle name="Separador de milhares 2 2 2 2 2 2 2 4 4" xfId="7992" xr:uid="{00000000-0005-0000-0000-000027090000}"/>
    <cellStyle name="Separador de milhares 2 2 2 2 2 2 2 5" xfId="2504" xr:uid="{00000000-0005-0000-0000-000028090000}"/>
    <cellStyle name="Separador de milhares 2 2 2 2 2 2 2 5 2" xfId="9020" xr:uid="{00000000-0005-0000-0000-000029090000}"/>
    <cellStyle name="Separador de milhares 2 2 2 2 2 2 2 6" xfId="4646" xr:uid="{00000000-0005-0000-0000-00002A090000}"/>
    <cellStyle name="Separador de milhares 2 2 2 2 2 2 2 6 2" xfId="11160" xr:uid="{00000000-0005-0000-0000-00002B090000}"/>
    <cellStyle name="Separador de milhares 2 2 2 2 2 2 2 7" xfId="6876" xr:uid="{00000000-0005-0000-0000-00002C090000}"/>
    <cellStyle name="Separador de milhares 2 2 2 2 2 2 3" xfId="564" xr:uid="{00000000-0005-0000-0000-00002D090000}"/>
    <cellStyle name="Separador de milhares 2 2 2 2 2 2 3 2" xfId="1088" xr:uid="{00000000-0005-0000-0000-00002E090000}"/>
    <cellStyle name="Separador de milhares 2 2 2 2 2 2 3 2 2" xfId="2116" xr:uid="{00000000-0005-0000-0000-00002F090000}"/>
    <cellStyle name="Separador de milhares 2 2 2 2 2 2 3 2 2 2" xfId="4174" xr:uid="{00000000-0005-0000-0000-000030090000}"/>
    <cellStyle name="Separador de milhares 2 2 2 2 2 2 3 2 2 2 2" xfId="10690" xr:uid="{00000000-0005-0000-0000-000031090000}"/>
    <cellStyle name="Separador de milhares 2 2 2 2 2 2 3 2 2 3" xfId="6404" xr:uid="{00000000-0005-0000-0000-000032090000}"/>
    <cellStyle name="Separador de milhares 2 2 2 2 2 2 3 2 2 3 2" xfId="12918" xr:uid="{00000000-0005-0000-0000-000033090000}"/>
    <cellStyle name="Separador de milhares 2 2 2 2 2 2 3 2 2 4" xfId="8634" xr:uid="{00000000-0005-0000-0000-000034090000}"/>
    <cellStyle name="Separador de milhares 2 2 2 2 2 2 3 2 3" xfId="3146" xr:uid="{00000000-0005-0000-0000-000035090000}"/>
    <cellStyle name="Separador de milhares 2 2 2 2 2 2 3 2 3 2" xfId="9662" xr:uid="{00000000-0005-0000-0000-000036090000}"/>
    <cellStyle name="Separador de milhares 2 2 2 2 2 2 3 2 4" xfId="5376" xr:uid="{00000000-0005-0000-0000-000037090000}"/>
    <cellStyle name="Separador de milhares 2 2 2 2 2 2 3 2 4 2" xfId="11890" xr:uid="{00000000-0005-0000-0000-000038090000}"/>
    <cellStyle name="Separador de milhares 2 2 2 2 2 2 3 2 5" xfId="7606" xr:uid="{00000000-0005-0000-0000-000039090000}"/>
    <cellStyle name="Separador de milhares 2 2 2 2 2 2 3 3" xfId="1602" xr:uid="{00000000-0005-0000-0000-00003A090000}"/>
    <cellStyle name="Separador de milhares 2 2 2 2 2 2 3 3 2" xfId="3660" xr:uid="{00000000-0005-0000-0000-00003B090000}"/>
    <cellStyle name="Separador de milhares 2 2 2 2 2 2 3 3 2 2" xfId="10176" xr:uid="{00000000-0005-0000-0000-00003C090000}"/>
    <cellStyle name="Separador de milhares 2 2 2 2 2 2 3 3 3" xfId="5890" xr:uid="{00000000-0005-0000-0000-00003D090000}"/>
    <cellStyle name="Separador de milhares 2 2 2 2 2 2 3 3 3 2" xfId="12404" xr:uid="{00000000-0005-0000-0000-00003E090000}"/>
    <cellStyle name="Separador de milhares 2 2 2 2 2 2 3 3 4" xfId="8120" xr:uid="{00000000-0005-0000-0000-00003F090000}"/>
    <cellStyle name="Separador de milhares 2 2 2 2 2 2 3 4" xfId="2632" xr:uid="{00000000-0005-0000-0000-000040090000}"/>
    <cellStyle name="Separador de milhares 2 2 2 2 2 2 3 4 2" xfId="9148" xr:uid="{00000000-0005-0000-0000-000041090000}"/>
    <cellStyle name="Separador de milhares 2 2 2 2 2 2 3 5" xfId="4860" xr:uid="{00000000-0005-0000-0000-000042090000}"/>
    <cellStyle name="Separador de milhares 2 2 2 2 2 2 3 5 2" xfId="11374" xr:uid="{00000000-0005-0000-0000-000043090000}"/>
    <cellStyle name="Separador de milhares 2 2 2 2 2 2 3 6" xfId="7090" xr:uid="{00000000-0005-0000-0000-000044090000}"/>
    <cellStyle name="Separador de milhares 2 2 2 2 2 2 4" xfId="832" xr:uid="{00000000-0005-0000-0000-000045090000}"/>
    <cellStyle name="Separador de milhares 2 2 2 2 2 2 4 2" xfId="1860" xr:uid="{00000000-0005-0000-0000-000046090000}"/>
    <cellStyle name="Separador de milhares 2 2 2 2 2 2 4 2 2" xfId="3918" xr:uid="{00000000-0005-0000-0000-000047090000}"/>
    <cellStyle name="Separador de milhares 2 2 2 2 2 2 4 2 2 2" xfId="10434" xr:uid="{00000000-0005-0000-0000-000048090000}"/>
    <cellStyle name="Separador de milhares 2 2 2 2 2 2 4 2 3" xfId="6148" xr:uid="{00000000-0005-0000-0000-000049090000}"/>
    <cellStyle name="Separador de milhares 2 2 2 2 2 2 4 2 3 2" xfId="12662" xr:uid="{00000000-0005-0000-0000-00004A090000}"/>
    <cellStyle name="Separador de milhares 2 2 2 2 2 2 4 2 4" xfId="8378" xr:uid="{00000000-0005-0000-0000-00004B090000}"/>
    <cellStyle name="Separador de milhares 2 2 2 2 2 2 4 3" xfId="2890" xr:uid="{00000000-0005-0000-0000-00004C090000}"/>
    <cellStyle name="Separador de milhares 2 2 2 2 2 2 4 3 2" xfId="9406" xr:uid="{00000000-0005-0000-0000-00004D090000}"/>
    <cellStyle name="Separador de milhares 2 2 2 2 2 2 4 4" xfId="5120" xr:uid="{00000000-0005-0000-0000-00004E090000}"/>
    <cellStyle name="Separador de milhares 2 2 2 2 2 2 4 4 2" xfId="11634" xr:uid="{00000000-0005-0000-0000-00004F090000}"/>
    <cellStyle name="Separador de milhares 2 2 2 2 2 2 4 5" xfId="7350" xr:uid="{00000000-0005-0000-0000-000050090000}"/>
    <cellStyle name="Separador de milhares 2 2 2 2 2 2 5" xfId="1346" xr:uid="{00000000-0005-0000-0000-000051090000}"/>
    <cellStyle name="Separador de milhares 2 2 2 2 2 2 5 2" xfId="3404" xr:uid="{00000000-0005-0000-0000-000052090000}"/>
    <cellStyle name="Separador de milhares 2 2 2 2 2 2 5 2 2" xfId="9920" xr:uid="{00000000-0005-0000-0000-000053090000}"/>
    <cellStyle name="Separador de milhares 2 2 2 2 2 2 5 3" xfId="5634" xr:uid="{00000000-0005-0000-0000-000054090000}"/>
    <cellStyle name="Separador de milhares 2 2 2 2 2 2 5 3 2" xfId="12148" xr:uid="{00000000-0005-0000-0000-000055090000}"/>
    <cellStyle name="Separador de milhares 2 2 2 2 2 2 5 4" xfId="7864" xr:uid="{00000000-0005-0000-0000-000056090000}"/>
    <cellStyle name="Separador de milhares 2 2 2 2 2 2 6" xfId="2376" xr:uid="{00000000-0005-0000-0000-000057090000}"/>
    <cellStyle name="Separador de milhares 2 2 2 2 2 2 6 2" xfId="8892" xr:uid="{00000000-0005-0000-0000-000058090000}"/>
    <cellStyle name="Separador de milhares 2 2 2 2 2 2 7" xfId="4518" xr:uid="{00000000-0005-0000-0000-000059090000}"/>
    <cellStyle name="Separador de milhares 2 2 2 2 2 2 7 2" xfId="11032" xr:uid="{00000000-0005-0000-0000-00005A090000}"/>
    <cellStyle name="Separador de milhares 2 2 2 2 2 2 8" xfId="6748" xr:uid="{00000000-0005-0000-0000-00005B090000}"/>
    <cellStyle name="Separador de milhares 2 2 2 2 2 3" xfId="285" xr:uid="{00000000-0005-0000-0000-00005C090000}"/>
    <cellStyle name="Separador de milhares 2 2 2 2 2 3 2" xfId="628" xr:uid="{00000000-0005-0000-0000-00005D090000}"/>
    <cellStyle name="Separador de milhares 2 2 2 2 2 3 2 2" xfId="1152" xr:uid="{00000000-0005-0000-0000-00005E090000}"/>
    <cellStyle name="Separador de milhares 2 2 2 2 2 3 2 2 2" xfId="2180" xr:uid="{00000000-0005-0000-0000-00005F090000}"/>
    <cellStyle name="Separador de milhares 2 2 2 2 2 3 2 2 2 2" xfId="4238" xr:uid="{00000000-0005-0000-0000-000060090000}"/>
    <cellStyle name="Separador de milhares 2 2 2 2 2 3 2 2 2 2 2" xfId="10754" xr:uid="{00000000-0005-0000-0000-000061090000}"/>
    <cellStyle name="Separador de milhares 2 2 2 2 2 3 2 2 2 3" xfId="6468" xr:uid="{00000000-0005-0000-0000-000062090000}"/>
    <cellStyle name="Separador de milhares 2 2 2 2 2 3 2 2 2 3 2" xfId="12982" xr:uid="{00000000-0005-0000-0000-000063090000}"/>
    <cellStyle name="Separador de milhares 2 2 2 2 2 3 2 2 2 4" xfId="8698" xr:uid="{00000000-0005-0000-0000-000064090000}"/>
    <cellStyle name="Separador de milhares 2 2 2 2 2 3 2 2 3" xfId="3210" xr:uid="{00000000-0005-0000-0000-000065090000}"/>
    <cellStyle name="Separador de milhares 2 2 2 2 2 3 2 2 3 2" xfId="9726" xr:uid="{00000000-0005-0000-0000-000066090000}"/>
    <cellStyle name="Separador de milhares 2 2 2 2 2 3 2 2 4" xfId="5440" xr:uid="{00000000-0005-0000-0000-000067090000}"/>
    <cellStyle name="Separador de milhares 2 2 2 2 2 3 2 2 4 2" xfId="11954" xr:uid="{00000000-0005-0000-0000-000068090000}"/>
    <cellStyle name="Separador de milhares 2 2 2 2 2 3 2 2 5" xfId="7670" xr:uid="{00000000-0005-0000-0000-000069090000}"/>
    <cellStyle name="Separador de milhares 2 2 2 2 2 3 2 3" xfId="1666" xr:uid="{00000000-0005-0000-0000-00006A090000}"/>
    <cellStyle name="Separador de milhares 2 2 2 2 2 3 2 3 2" xfId="3724" xr:uid="{00000000-0005-0000-0000-00006B090000}"/>
    <cellStyle name="Separador de milhares 2 2 2 2 2 3 2 3 2 2" xfId="10240" xr:uid="{00000000-0005-0000-0000-00006C090000}"/>
    <cellStyle name="Separador de milhares 2 2 2 2 2 3 2 3 3" xfId="5954" xr:uid="{00000000-0005-0000-0000-00006D090000}"/>
    <cellStyle name="Separador de milhares 2 2 2 2 2 3 2 3 3 2" xfId="12468" xr:uid="{00000000-0005-0000-0000-00006E090000}"/>
    <cellStyle name="Separador de milhares 2 2 2 2 2 3 2 3 4" xfId="8184" xr:uid="{00000000-0005-0000-0000-00006F090000}"/>
    <cellStyle name="Separador de milhares 2 2 2 2 2 3 2 4" xfId="2696" xr:uid="{00000000-0005-0000-0000-000070090000}"/>
    <cellStyle name="Separador de milhares 2 2 2 2 2 3 2 4 2" xfId="9212" xr:uid="{00000000-0005-0000-0000-000071090000}"/>
    <cellStyle name="Separador de milhares 2 2 2 2 2 3 2 5" xfId="4924" xr:uid="{00000000-0005-0000-0000-000072090000}"/>
    <cellStyle name="Separador de milhares 2 2 2 2 2 3 2 5 2" xfId="11438" xr:uid="{00000000-0005-0000-0000-000073090000}"/>
    <cellStyle name="Separador de milhares 2 2 2 2 2 3 2 6" xfId="7154" xr:uid="{00000000-0005-0000-0000-000074090000}"/>
    <cellStyle name="Separador de milhares 2 2 2 2 2 3 3" xfId="896" xr:uid="{00000000-0005-0000-0000-000075090000}"/>
    <cellStyle name="Separador de milhares 2 2 2 2 2 3 3 2" xfId="1924" xr:uid="{00000000-0005-0000-0000-000076090000}"/>
    <cellStyle name="Separador de milhares 2 2 2 2 2 3 3 2 2" xfId="3982" xr:uid="{00000000-0005-0000-0000-000077090000}"/>
    <cellStyle name="Separador de milhares 2 2 2 2 2 3 3 2 2 2" xfId="10498" xr:uid="{00000000-0005-0000-0000-000078090000}"/>
    <cellStyle name="Separador de milhares 2 2 2 2 2 3 3 2 3" xfId="6212" xr:uid="{00000000-0005-0000-0000-000079090000}"/>
    <cellStyle name="Separador de milhares 2 2 2 2 2 3 3 2 3 2" xfId="12726" xr:uid="{00000000-0005-0000-0000-00007A090000}"/>
    <cellStyle name="Separador de milhares 2 2 2 2 2 3 3 2 4" xfId="8442" xr:uid="{00000000-0005-0000-0000-00007B090000}"/>
    <cellStyle name="Separador de milhares 2 2 2 2 2 3 3 3" xfId="2954" xr:uid="{00000000-0005-0000-0000-00007C090000}"/>
    <cellStyle name="Separador de milhares 2 2 2 2 2 3 3 3 2" xfId="9470" xr:uid="{00000000-0005-0000-0000-00007D090000}"/>
    <cellStyle name="Separador de milhares 2 2 2 2 2 3 3 4" xfId="5184" xr:uid="{00000000-0005-0000-0000-00007E090000}"/>
    <cellStyle name="Separador de milhares 2 2 2 2 2 3 3 4 2" xfId="11698" xr:uid="{00000000-0005-0000-0000-00007F090000}"/>
    <cellStyle name="Separador de milhares 2 2 2 2 2 3 3 5" xfId="7414" xr:uid="{00000000-0005-0000-0000-000080090000}"/>
    <cellStyle name="Separador de milhares 2 2 2 2 2 3 4" xfId="1410" xr:uid="{00000000-0005-0000-0000-000081090000}"/>
    <cellStyle name="Separador de milhares 2 2 2 2 2 3 4 2" xfId="3468" xr:uid="{00000000-0005-0000-0000-000082090000}"/>
    <cellStyle name="Separador de milhares 2 2 2 2 2 3 4 2 2" xfId="9984" xr:uid="{00000000-0005-0000-0000-000083090000}"/>
    <cellStyle name="Separador de milhares 2 2 2 2 2 3 4 3" xfId="5698" xr:uid="{00000000-0005-0000-0000-000084090000}"/>
    <cellStyle name="Separador de milhares 2 2 2 2 2 3 4 3 2" xfId="12212" xr:uid="{00000000-0005-0000-0000-000085090000}"/>
    <cellStyle name="Separador de milhares 2 2 2 2 2 3 4 4" xfId="7928" xr:uid="{00000000-0005-0000-0000-000086090000}"/>
    <cellStyle name="Separador de milhares 2 2 2 2 2 3 5" xfId="2440" xr:uid="{00000000-0005-0000-0000-000087090000}"/>
    <cellStyle name="Separador de milhares 2 2 2 2 2 3 5 2" xfId="8956" xr:uid="{00000000-0005-0000-0000-000088090000}"/>
    <cellStyle name="Separador de milhares 2 2 2 2 2 3 6" xfId="4582" xr:uid="{00000000-0005-0000-0000-000089090000}"/>
    <cellStyle name="Separador de milhares 2 2 2 2 2 3 6 2" xfId="11096" xr:uid="{00000000-0005-0000-0000-00008A090000}"/>
    <cellStyle name="Separador de milhares 2 2 2 2 2 3 7" xfId="6812" xr:uid="{00000000-0005-0000-0000-00008B090000}"/>
    <cellStyle name="Separador de milhares 2 2 2 2 2 4" xfId="491" xr:uid="{00000000-0005-0000-0000-00008C090000}"/>
    <cellStyle name="Separador de milhares 2 2 2 2 2 4 2" xfId="1024" xr:uid="{00000000-0005-0000-0000-00008D090000}"/>
    <cellStyle name="Separador de milhares 2 2 2 2 2 4 2 2" xfId="2052" xr:uid="{00000000-0005-0000-0000-00008E090000}"/>
    <cellStyle name="Separador de milhares 2 2 2 2 2 4 2 2 2" xfId="4110" xr:uid="{00000000-0005-0000-0000-00008F090000}"/>
    <cellStyle name="Separador de milhares 2 2 2 2 2 4 2 2 2 2" xfId="10626" xr:uid="{00000000-0005-0000-0000-000090090000}"/>
    <cellStyle name="Separador de milhares 2 2 2 2 2 4 2 2 3" xfId="6340" xr:uid="{00000000-0005-0000-0000-000091090000}"/>
    <cellStyle name="Separador de milhares 2 2 2 2 2 4 2 2 3 2" xfId="12854" xr:uid="{00000000-0005-0000-0000-000092090000}"/>
    <cellStyle name="Separador de milhares 2 2 2 2 2 4 2 2 4" xfId="8570" xr:uid="{00000000-0005-0000-0000-000093090000}"/>
    <cellStyle name="Separador de milhares 2 2 2 2 2 4 2 3" xfId="3082" xr:uid="{00000000-0005-0000-0000-000094090000}"/>
    <cellStyle name="Separador de milhares 2 2 2 2 2 4 2 3 2" xfId="9598" xr:uid="{00000000-0005-0000-0000-000095090000}"/>
    <cellStyle name="Separador de milhares 2 2 2 2 2 4 2 4" xfId="5312" xr:uid="{00000000-0005-0000-0000-000096090000}"/>
    <cellStyle name="Separador de milhares 2 2 2 2 2 4 2 4 2" xfId="11826" xr:uid="{00000000-0005-0000-0000-000097090000}"/>
    <cellStyle name="Separador de milhares 2 2 2 2 2 4 2 5" xfId="7542" xr:uid="{00000000-0005-0000-0000-000098090000}"/>
    <cellStyle name="Separador de milhares 2 2 2 2 2 4 3" xfId="1538" xr:uid="{00000000-0005-0000-0000-000099090000}"/>
    <cellStyle name="Separador de milhares 2 2 2 2 2 4 3 2" xfId="3596" xr:uid="{00000000-0005-0000-0000-00009A090000}"/>
    <cellStyle name="Separador de milhares 2 2 2 2 2 4 3 2 2" xfId="10112" xr:uid="{00000000-0005-0000-0000-00009B090000}"/>
    <cellStyle name="Separador de milhares 2 2 2 2 2 4 3 3" xfId="5826" xr:uid="{00000000-0005-0000-0000-00009C090000}"/>
    <cellStyle name="Separador de milhares 2 2 2 2 2 4 3 3 2" xfId="12340" xr:uid="{00000000-0005-0000-0000-00009D090000}"/>
    <cellStyle name="Separador de milhares 2 2 2 2 2 4 3 4" xfId="8056" xr:uid="{00000000-0005-0000-0000-00009E090000}"/>
    <cellStyle name="Separador de milhares 2 2 2 2 2 4 4" xfId="2568" xr:uid="{00000000-0005-0000-0000-00009F090000}"/>
    <cellStyle name="Separador de milhares 2 2 2 2 2 4 4 2" xfId="9084" xr:uid="{00000000-0005-0000-0000-0000A0090000}"/>
    <cellStyle name="Separador de milhares 2 2 2 2 2 4 5" xfId="4787" xr:uid="{00000000-0005-0000-0000-0000A1090000}"/>
    <cellStyle name="Separador de milhares 2 2 2 2 2 4 5 2" xfId="11301" xr:uid="{00000000-0005-0000-0000-0000A2090000}"/>
    <cellStyle name="Separador de milhares 2 2 2 2 2 4 6" xfId="7017" xr:uid="{00000000-0005-0000-0000-0000A3090000}"/>
    <cellStyle name="Separador de milhares 2 2 2 2 2 5" xfId="768" xr:uid="{00000000-0005-0000-0000-0000A4090000}"/>
    <cellStyle name="Separador de milhares 2 2 2 2 2 5 2" xfId="1796" xr:uid="{00000000-0005-0000-0000-0000A5090000}"/>
    <cellStyle name="Separador de milhares 2 2 2 2 2 5 2 2" xfId="3854" xr:uid="{00000000-0005-0000-0000-0000A6090000}"/>
    <cellStyle name="Separador de milhares 2 2 2 2 2 5 2 2 2" xfId="10370" xr:uid="{00000000-0005-0000-0000-0000A7090000}"/>
    <cellStyle name="Separador de milhares 2 2 2 2 2 5 2 3" xfId="6084" xr:uid="{00000000-0005-0000-0000-0000A8090000}"/>
    <cellStyle name="Separador de milhares 2 2 2 2 2 5 2 3 2" xfId="12598" xr:uid="{00000000-0005-0000-0000-0000A9090000}"/>
    <cellStyle name="Separador de milhares 2 2 2 2 2 5 2 4" xfId="8314" xr:uid="{00000000-0005-0000-0000-0000AA090000}"/>
    <cellStyle name="Separador de milhares 2 2 2 2 2 5 3" xfId="2826" xr:uid="{00000000-0005-0000-0000-0000AB090000}"/>
    <cellStyle name="Separador de milhares 2 2 2 2 2 5 3 2" xfId="9342" xr:uid="{00000000-0005-0000-0000-0000AC090000}"/>
    <cellStyle name="Separador de milhares 2 2 2 2 2 5 4" xfId="5056" xr:uid="{00000000-0005-0000-0000-0000AD090000}"/>
    <cellStyle name="Separador de milhares 2 2 2 2 2 5 4 2" xfId="11570" xr:uid="{00000000-0005-0000-0000-0000AE090000}"/>
    <cellStyle name="Separador de milhares 2 2 2 2 2 5 5" xfId="7286" xr:uid="{00000000-0005-0000-0000-0000AF090000}"/>
    <cellStyle name="Separador de milhares 2 2 2 2 2 6" xfId="1282" xr:uid="{00000000-0005-0000-0000-0000B0090000}"/>
    <cellStyle name="Separador de milhares 2 2 2 2 2 6 2" xfId="3340" xr:uid="{00000000-0005-0000-0000-0000B1090000}"/>
    <cellStyle name="Separador de milhares 2 2 2 2 2 6 2 2" xfId="9856" xr:uid="{00000000-0005-0000-0000-0000B2090000}"/>
    <cellStyle name="Separador de milhares 2 2 2 2 2 6 3" xfId="5570" xr:uid="{00000000-0005-0000-0000-0000B3090000}"/>
    <cellStyle name="Separador de milhares 2 2 2 2 2 6 3 2" xfId="12084" xr:uid="{00000000-0005-0000-0000-0000B4090000}"/>
    <cellStyle name="Separador de milhares 2 2 2 2 2 6 4" xfId="7800" xr:uid="{00000000-0005-0000-0000-0000B5090000}"/>
    <cellStyle name="Separador de milhares 2 2 2 2 2 7" xfId="2312" xr:uid="{00000000-0005-0000-0000-0000B6090000}"/>
    <cellStyle name="Separador de milhares 2 2 2 2 2 7 2" xfId="8828" xr:uid="{00000000-0005-0000-0000-0000B7090000}"/>
    <cellStyle name="Separador de milhares 2 2 2 2 2 8" xfId="4445" xr:uid="{00000000-0005-0000-0000-0000B8090000}"/>
    <cellStyle name="Separador de milhares 2 2 2 2 2 8 2" xfId="10959" xr:uid="{00000000-0005-0000-0000-0000B9090000}"/>
    <cellStyle name="Separador de milhares 2 2 2 2 2 9" xfId="6675" xr:uid="{00000000-0005-0000-0000-0000BA090000}"/>
    <cellStyle name="Separador de milhares 2 2 2 2 3" xfId="189" xr:uid="{00000000-0005-0000-0000-0000BB090000}"/>
    <cellStyle name="Separador de milhares 2 2 2 2 3 2" xfId="317" xr:uid="{00000000-0005-0000-0000-0000BC090000}"/>
    <cellStyle name="Separador de milhares 2 2 2 2 3 2 2" xfId="660" xr:uid="{00000000-0005-0000-0000-0000BD090000}"/>
    <cellStyle name="Separador de milhares 2 2 2 2 3 2 2 2" xfId="1184" xr:uid="{00000000-0005-0000-0000-0000BE090000}"/>
    <cellStyle name="Separador de milhares 2 2 2 2 3 2 2 2 2" xfId="2212" xr:uid="{00000000-0005-0000-0000-0000BF090000}"/>
    <cellStyle name="Separador de milhares 2 2 2 2 3 2 2 2 2 2" xfId="4270" xr:uid="{00000000-0005-0000-0000-0000C0090000}"/>
    <cellStyle name="Separador de milhares 2 2 2 2 3 2 2 2 2 2 2" xfId="10786" xr:uid="{00000000-0005-0000-0000-0000C1090000}"/>
    <cellStyle name="Separador de milhares 2 2 2 2 3 2 2 2 2 3" xfId="6500" xr:uid="{00000000-0005-0000-0000-0000C2090000}"/>
    <cellStyle name="Separador de milhares 2 2 2 2 3 2 2 2 2 3 2" xfId="13014" xr:uid="{00000000-0005-0000-0000-0000C3090000}"/>
    <cellStyle name="Separador de milhares 2 2 2 2 3 2 2 2 2 4" xfId="8730" xr:uid="{00000000-0005-0000-0000-0000C4090000}"/>
    <cellStyle name="Separador de milhares 2 2 2 2 3 2 2 2 3" xfId="3242" xr:uid="{00000000-0005-0000-0000-0000C5090000}"/>
    <cellStyle name="Separador de milhares 2 2 2 2 3 2 2 2 3 2" xfId="9758" xr:uid="{00000000-0005-0000-0000-0000C6090000}"/>
    <cellStyle name="Separador de milhares 2 2 2 2 3 2 2 2 4" xfId="5472" xr:uid="{00000000-0005-0000-0000-0000C7090000}"/>
    <cellStyle name="Separador de milhares 2 2 2 2 3 2 2 2 4 2" xfId="11986" xr:uid="{00000000-0005-0000-0000-0000C8090000}"/>
    <cellStyle name="Separador de milhares 2 2 2 2 3 2 2 2 5" xfId="7702" xr:uid="{00000000-0005-0000-0000-0000C9090000}"/>
    <cellStyle name="Separador de milhares 2 2 2 2 3 2 2 3" xfId="1698" xr:uid="{00000000-0005-0000-0000-0000CA090000}"/>
    <cellStyle name="Separador de milhares 2 2 2 2 3 2 2 3 2" xfId="3756" xr:uid="{00000000-0005-0000-0000-0000CB090000}"/>
    <cellStyle name="Separador de milhares 2 2 2 2 3 2 2 3 2 2" xfId="10272" xr:uid="{00000000-0005-0000-0000-0000CC090000}"/>
    <cellStyle name="Separador de milhares 2 2 2 2 3 2 2 3 3" xfId="5986" xr:uid="{00000000-0005-0000-0000-0000CD090000}"/>
    <cellStyle name="Separador de milhares 2 2 2 2 3 2 2 3 3 2" xfId="12500" xr:uid="{00000000-0005-0000-0000-0000CE090000}"/>
    <cellStyle name="Separador de milhares 2 2 2 2 3 2 2 3 4" xfId="8216" xr:uid="{00000000-0005-0000-0000-0000CF090000}"/>
    <cellStyle name="Separador de milhares 2 2 2 2 3 2 2 4" xfId="2728" xr:uid="{00000000-0005-0000-0000-0000D0090000}"/>
    <cellStyle name="Separador de milhares 2 2 2 2 3 2 2 4 2" xfId="9244" xr:uid="{00000000-0005-0000-0000-0000D1090000}"/>
    <cellStyle name="Separador de milhares 2 2 2 2 3 2 2 5" xfId="4956" xr:uid="{00000000-0005-0000-0000-0000D2090000}"/>
    <cellStyle name="Separador de milhares 2 2 2 2 3 2 2 5 2" xfId="11470" xr:uid="{00000000-0005-0000-0000-0000D3090000}"/>
    <cellStyle name="Separador de milhares 2 2 2 2 3 2 2 6" xfId="7186" xr:uid="{00000000-0005-0000-0000-0000D4090000}"/>
    <cellStyle name="Separador de milhares 2 2 2 2 3 2 3" xfId="928" xr:uid="{00000000-0005-0000-0000-0000D5090000}"/>
    <cellStyle name="Separador de milhares 2 2 2 2 3 2 3 2" xfId="1956" xr:uid="{00000000-0005-0000-0000-0000D6090000}"/>
    <cellStyle name="Separador de milhares 2 2 2 2 3 2 3 2 2" xfId="4014" xr:uid="{00000000-0005-0000-0000-0000D7090000}"/>
    <cellStyle name="Separador de milhares 2 2 2 2 3 2 3 2 2 2" xfId="10530" xr:uid="{00000000-0005-0000-0000-0000D8090000}"/>
    <cellStyle name="Separador de milhares 2 2 2 2 3 2 3 2 3" xfId="6244" xr:uid="{00000000-0005-0000-0000-0000D9090000}"/>
    <cellStyle name="Separador de milhares 2 2 2 2 3 2 3 2 3 2" xfId="12758" xr:uid="{00000000-0005-0000-0000-0000DA090000}"/>
    <cellStyle name="Separador de milhares 2 2 2 2 3 2 3 2 4" xfId="8474" xr:uid="{00000000-0005-0000-0000-0000DB090000}"/>
    <cellStyle name="Separador de milhares 2 2 2 2 3 2 3 3" xfId="2986" xr:uid="{00000000-0005-0000-0000-0000DC090000}"/>
    <cellStyle name="Separador de milhares 2 2 2 2 3 2 3 3 2" xfId="9502" xr:uid="{00000000-0005-0000-0000-0000DD090000}"/>
    <cellStyle name="Separador de milhares 2 2 2 2 3 2 3 4" xfId="5216" xr:uid="{00000000-0005-0000-0000-0000DE090000}"/>
    <cellStyle name="Separador de milhares 2 2 2 2 3 2 3 4 2" xfId="11730" xr:uid="{00000000-0005-0000-0000-0000DF090000}"/>
    <cellStyle name="Separador de milhares 2 2 2 2 3 2 3 5" xfId="7446" xr:uid="{00000000-0005-0000-0000-0000E0090000}"/>
    <cellStyle name="Separador de milhares 2 2 2 2 3 2 4" xfId="1442" xr:uid="{00000000-0005-0000-0000-0000E1090000}"/>
    <cellStyle name="Separador de milhares 2 2 2 2 3 2 4 2" xfId="3500" xr:uid="{00000000-0005-0000-0000-0000E2090000}"/>
    <cellStyle name="Separador de milhares 2 2 2 2 3 2 4 2 2" xfId="10016" xr:uid="{00000000-0005-0000-0000-0000E3090000}"/>
    <cellStyle name="Separador de milhares 2 2 2 2 3 2 4 3" xfId="5730" xr:uid="{00000000-0005-0000-0000-0000E4090000}"/>
    <cellStyle name="Separador de milhares 2 2 2 2 3 2 4 3 2" xfId="12244" xr:uid="{00000000-0005-0000-0000-0000E5090000}"/>
    <cellStyle name="Separador de milhares 2 2 2 2 3 2 4 4" xfId="7960" xr:uid="{00000000-0005-0000-0000-0000E6090000}"/>
    <cellStyle name="Separador de milhares 2 2 2 2 3 2 5" xfId="2472" xr:uid="{00000000-0005-0000-0000-0000E7090000}"/>
    <cellStyle name="Separador de milhares 2 2 2 2 3 2 5 2" xfId="8988" xr:uid="{00000000-0005-0000-0000-0000E8090000}"/>
    <cellStyle name="Separador de milhares 2 2 2 2 3 2 6" xfId="4614" xr:uid="{00000000-0005-0000-0000-0000E9090000}"/>
    <cellStyle name="Separador de milhares 2 2 2 2 3 2 6 2" xfId="11128" xr:uid="{00000000-0005-0000-0000-0000EA090000}"/>
    <cellStyle name="Separador de milhares 2 2 2 2 3 2 7" xfId="6844" xr:uid="{00000000-0005-0000-0000-0000EB090000}"/>
    <cellStyle name="Separador de milhares 2 2 2 2 3 3" xfId="532" xr:uid="{00000000-0005-0000-0000-0000EC090000}"/>
    <cellStyle name="Separador de milhares 2 2 2 2 3 3 2" xfId="1056" xr:uid="{00000000-0005-0000-0000-0000ED090000}"/>
    <cellStyle name="Separador de milhares 2 2 2 2 3 3 2 2" xfId="2084" xr:uid="{00000000-0005-0000-0000-0000EE090000}"/>
    <cellStyle name="Separador de milhares 2 2 2 2 3 3 2 2 2" xfId="4142" xr:uid="{00000000-0005-0000-0000-0000EF090000}"/>
    <cellStyle name="Separador de milhares 2 2 2 2 3 3 2 2 2 2" xfId="10658" xr:uid="{00000000-0005-0000-0000-0000F0090000}"/>
    <cellStyle name="Separador de milhares 2 2 2 2 3 3 2 2 3" xfId="6372" xr:uid="{00000000-0005-0000-0000-0000F1090000}"/>
    <cellStyle name="Separador de milhares 2 2 2 2 3 3 2 2 3 2" xfId="12886" xr:uid="{00000000-0005-0000-0000-0000F2090000}"/>
    <cellStyle name="Separador de milhares 2 2 2 2 3 3 2 2 4" xfId="8602" xr:uid="{00000000-0005-0000-0000-0000F3090000}"/>
    <cellStyle name="Separador de milhares 2 2 2 2 3 3 2 3" xfId="3114" xr:uid="{00000000-0005-0000-0000-0000F4090000}"/>
    <cellStyle name="Separador de milhares 2 2 2 2 3 3 2 3 2" xfId="9630" xr:uid="{00000000-0005-0000-0000-0000F5090000}"/>
    <cellStyle name="Separador de milhares 2 2 2 2 3 3 2 4" xfId="5344" xr:uid="{00000000-0005-0000-0000-0000F6090000}"/>
    <cellStyle name="Separador de milhares 2 2 2 2 3 3 2 4 2" xfId="11858" xr:uid="{00000000-0005-0000-0000-0000F7090000}"/>
    <cellStyle name="Separador de milhares 2 2 2 2 3 3 2 5" xfId="7574" xr:uid="{00000000-0005-0000-0000-0000F8090000}"/>
    <cellStyle name="Separador de milhares 2 2 2 2 3 3 3" xfId="1570" xr:uid="{00000000-0005-0000-0000-0000F9090000}"/>
    <cellStyle name="Separador de milhares 2 2 2 2 3 3 3 2" xfId="3628" xr:uid="{00000000-0005-0000-0000-0000FA090000}"/>
    <cellStyle name="Separador de milhares 2 2 2 2 3 3 3 2 2" xfId="10144" xr:uid="{00000000-0005-0000-0000-0000FB090000}"/>
    <cellStyle name="Separador de milhares 2 2 2 2 3 3 3 3" xfId="5858" xr:uid="{00000000-0005-0000-0000-0000FC090000}"/>
    <cellStyle name="Separador de milhares 2 2 2 2 3 3 3 3 2" xfId="12372" xr:uid="{00000000-0005-0000-0000-0000FD090000}"/>
    <cellStyle name="Separador de milhares 2 2 2 2 3 3 3 4" xfId="8088" xr:uid="{00000000-0005-0000-0000-0000FE090000}"/>
    <cellStyle name="Separador de milhares 2 2 2 2 3 3 4" xfId="2600" xr:uid="{00000000-0005-0000-0000-0000FF090000}"/>
    <cellStyle name="Separador de milhares 2 2 2 2 3 3 4 2" xfId="9116" xr:uid="{00000000-0005-0000-0000-0000000A0000}"/>
    <cellStyle name="Separador de milhares 2 2 2 2 3 3 5" xfId="4828" xr:uid="{00000000-0005-0000-0000-0000010A0000}"/>
    <cellStyle name="Separador de milhares 2 2 2 2 3 3 5 2" xfId="11342" xr:uid="{00000000-0005-0000-0000-0000020A0000}"/>
    <cellStyle name="Separador de milhares 2 2 2 2 3 3 6" xfId="7058" xr:uid="{00000000-0005-0000-0000-0000030A0000}"/>
    <cellStyle name="Separador de milhares 2 2 2 2 3 4" xfId="800" xr:uid="{00000000-0005-0000-0000-0000040A0000}"/>
    <cellStyle name="Separador de milhares 2 2 2 2 3 4 2" xfId="1828" xr:uid="{00000000-0005-0000-0000-0000050A0000}"/>
    <cellStyle name="Separador de milhares 2 2 2 2 3 4 2 2" xfId="3886" xr:uid="{00000000-0005-0000-0000-0000060A0000}"/>
    <cellStyle name="Separador de milhares 2 2 2 2 3 4 2 2 2" xfId="10402" xr:uid="{00000000-0005-0000-0000-0000070A0000}"/>
    <cellStyle name="Separador de milhares 2 2 2 2 3 4 2 3" xfId="6116" xr:uid="{00000000-0005-0000-0000-0000080A0000}"/>
    <cellStyle name="Separador de milhares 2 2 2 2 3 4 2 3 2" xfId="12630" xr:uid="{00000000-0005-0000-0000-0000090A0000}"/>
    <cellStyle name="Separador de milhares 2 2 2 2 3 4 2 4" xfId="8346" xr:uid="{00000000-0005-0000-0000-00000A0A0000}"/>
    <cellStyle name="Separador de milhares 2 2 2 2 3 4 3" xfId="2858" xr:uid="{00000000-0005-0000-0000-00000B0A0000}"/>
    <cellStyle name="Separador de milhares 2 2 2 2 3 4 3 2" xfId="9374" xr:uid="{00000000-0005-0000-0000-00000C0A0000}"/>
    <cellStyle name="Separador de milhares 2 2 2 2 3 4 4" xfId="5088" xr:uid="{00000000-0005-0000-0000-00000D0A0000}"/>
    <cellStyle name="Separador de milhares 2 2 2 2 3 4 4 2" xfId="11602" xr:uid="{00000000-0005-0000-0000-00000E0A0000}"/>
    <cellStyle name="Separador de milhares 2 2 2 2 3 4 5" xfId="7318" xr:uid="{00000000-0005-0000-0000-00000F0A0000}"/>
    <cellStyle name="Separador de milhares 2 2 2 2 3 5" xfId="1314" xr:uid="{00000000-0005-0000-0000-0000100A0000}"/>
    <cellStyle name="Separador de milhares 2 2 2 2 3 5 2" xfId="3372" xr:uid="{00000000-0005-0000-0000-0000110A0000}"/>
    <cellStyle name="Separador de milhares 2 2 2 2 3 5 2 2" xfId="9888" xr:uid="{00000000-0005-0000-0000-0000120A0000}"/>
    <cellStyle name="Separador de milhares 2 2 2 2 3 5 3" xfId="5602" xr:uid="{00000000-0005-0000-0000-0000130A0000}"/>
    <cellStyle name="Separador de milhares 2 2 2 2 3 5 3 2" xfId="12116" xr:uid="{00000000-0005-0000-0000-0000140A0000}"/>
    <cellStyle name="Separador de milhares 2 2 2 2 3 5 4" xfId="7832" xr:uid="{00000000-0005-0000-0000-0000150A0000}"/>
    <cellStyle name="Separador de milhares 2 2 2 2 3 6" xfId="2344" xr:uid="{00000000-0005-0000-0000-0000160A0000}"/>
    <cellStyle name="Separador de milhares 2 2 2 2 3 6 2" xfId="8860" xr:uid="{00000000-0005-0000-0000-0000170A0000}"/>
    <cellStyle name="Separador de milhares 2 2 2 2 3 7" xfId="4486" xr:uid="{00000000-0005-0000-0000-0000180A0000}"/>
    <cellStyle name="Separador de milhares 2 2 2 2 3 7 2" xfId="11000" xr:uid="{00000000-0005-0000-0000-0000190A0000}"/>
    <cellStyle name="Separador de milhares 2 2 2 2 3 8" xfId="6716" xr:uid="{00000000-0005-0000-0000-00001A0A0000}"/>
    <cellStyle name="Separador de milhares 2 2 2 2 4" xfId="253" xr:uid="{00000000-0005-0000-0000-00001B0A0000}"/>
    <cellStyle name="Separador de milhares 2 2 2 2 4 2" xfId="596" xr:uid="{00000000-0005-0000-0000-00001C0A0000}"/>
    <cellStyle name="Separador de milhares 2 2 2 2 4 2 2" xfId="1120" xr:uid="{00000000-0005-0000-0000-00001D0A0000}"/>
    <cellStyle name="Separador de milhares 2 2 2 2 4 2 2 2" xfId="2148" xr:uid="{00000000-0005-0000-0000-00001E0A0000}"/>
    <cellStyle name="Separador de milhares 2 2 2 2 4 2 2 2 2" xfId="4206" xr:uid="{00000000-0005-0000-0000-00001F0A0000}"/>
    <cellStyle name="Separador de milhares 2 2 2 2 4 2 2 2 2 2" xfId="10722" xr:uid="{00000000-0005-0000-0000-0000200A0000}"/>
    <cellStyle name="Separador de milhares 2 2 2 2 4 2 2 2 3" xfId="6436" xr:uid="{00000000-0005-0000-0000-0000210A0000}"/>
    <cellStyle name="Separador de milhares 2 2 2 2 4 2 2 2 3 2" xfId="12950" xr:uid="{00000000-0005-0000-0000-0000220A0000}"/>
    <cellStyle name="Separador de milhares 2 2 2 2 4 2 2 2 4" xfId="8666" xr:uid="{00000000-0005-0000-0000-0000230A0000}"/>
    <cellStyle name="Separador de milhares 2 2 2 2 4 2 2 3" xfId="3178" xr:uid="{00000000-0005-0000-0000-0000240A0000}"/>
    <cellStyle name="Separador de milhares 2 2 2 2 4 2 2 3 2" xfId="9694" xr:uid="{00000000-0005-0000-0000-0000250A0000}"/>
    <cellStyle name="Separador de milhares 2 2 2 2 4 2 2 4" xfId="5408" xr:uid="{00000000-0005-0000-0000-0000260A0000}"/>
    <cellStyle name="Separador de milhares 2 2 2 2 4 2 2 4 2" xfId="11922" xr:uid="{00000000-0005-0000-0000-0000270A0000}"/>
    <cellStyle name="Separador de milhares 2 2 2 2 4 2 2 5" xfId="7638" xr:uid="{00000000-0005-0000-0000-0000280A0000}"/>
    <cellStyle name="Separador de milhares 2 2 2 2 4 2 3" xfId="1634" xr:uid="{00000000-0005-0000-0000-0000290A0000}"/>
    <cellStyle name="Separador de milhares 2 2 2 2 4 2 3 2" xfId="3692" xr:uid="{00000000-0005-0000-0000-00002A0A0000}"/>
    <cellStyle name="Separador de milhares 2 2 2 2 4 2 3 2 2" xfId="10208" xr:uid="{00000000-0005-0000-0000-00002B0A0000}"/>
    <cellStyle name="Separador de milhares 2 2 2 2 4 2 3 3" xfId="5922" xr:uid="{00000000-0005-0000-0000-00002C0A0000}"/>
    <cellStyle name="Separador de milhares 2 2 2 2 4 2 3 3 2" xfId="12436" xr:uid="{00000000-0005-0000-0000-00002D0A0000}"/>
    <cellStyle name="Separador de milhares 2 2 2 2 4 2 3 4" xfId="8152" xr:uid="{00000000-0005-0000-0000-00002E0A0000}"/>
    <cellStyle name="Separador de milhares 2 2 2 2 4 2 4" xfId="2664" xr:uid="{00000000-0005-0000-0000-00002F0A0000}"/>
    <cellStyle name="Separador de milhares 2 2 2 2 4 2 4 2" xfId="9180" xr:uid="{00000000-0005-0000-0000-0000300A0000}"/>
    <cellStyle name="Separador de milhares 2 2 2 2 4 2 5" xfId="4892" xr:uid="{00000000-0005-0000-0000-0000310A0000}"/>
    <cellStyle name="Separador de milhares 2 2 2 2 4 2 5 2" xfId="11406" xr:uid="{00000000-0005-0000-0000-0000320A0000}"/>
    <cellStyle name="Separador de milhares 2 2 2 2 4 2 6" xfId="7122" xr:uid="{00000000-0005-0000-0000-0000330A0000}"/>
    <cellStyle name="Separador de milhares 2 2 2 2 4 3" xfId="864" xr:uid="{00000000-0005-0000-0000-0000340A0000}"/>
    <cellStyle name="Separador de milhares 2 2 2 2 4 3 2" xfId="1892" xr:uid="{00000000-0005-0000-0000-0000350A0000}"/>
    <cellStyle name="Separador de milhares 2 2 2 2 4 3 2 2" xfId="3950" xr:uid="{00000000-0005-0000-0000-0000360A0000}"/>
    <cellStyle name="Separador de milhares 2 2 2 2 4 3 2 2 2" xfId="10466" xr:uid="{00000000-0005-0000-0000-0000370A0000}"/>
    <cellStyle name="Separador de milhares 2 2 2 2 4 3 2 3" xfId="6180" xr:uid="{00000000-0005-0000-0000-0000380A0000}"/>
    <cellStyle name="Separador de milhares 2 2 2 2 4 3 2 3 2" xfId="12694" xr:uid="{00000000-0005-0000-0000-0000390A0000}"/>
    <cellStyle name="Separador de milhares 2 2 2 2 4 3 2 4" xfId="8410" xr:uid="{00000000-0005-0000-0000-00003A0A0000}"/>
    <cellStyle name="Separador de milhares 2 2 2 2 4 3 3" xfId="2922" xr:uid="{00000000-0005-0000-0000-00003B0A0000}"/>
    <cellStyle name="Separador de milhares 2 2 2 2 4 3 3 2" xfId="9438" xr:uid="{00000000-0005-0000-0000-00003C0A0000}"/>
    <cellStyle name="Separador de milhares 2 2 2 2 4 3 4" xfId="5152" xr:uid="{00000000-0005-0000-0000-00003D0A0000}"/>
    <cellStyle name="Separador de milhares 2 2 2 2 4 3 4 2" xfId="11666" xr:uid="{00000000-0005-0000-0000-00003E0A0000}"/>
    <cellStyle name="Separador de milhares 2 2 2 2 4 3 5" xfId="7382" xr:uid="{00000000-0005-0000-0000-00003F0A0000}"/>
    <cellStyle name="Separador de milhares 2 2 2 2 4 4" xfId="1378" xr:uid="{00000000-0005-0000-0000-0000400A0000}"/>
    <cellStyle name="Separador de milhares 2 2 2 2 4 4 2" xfId="3436" xr:uid="{00000000-0005-0000-0000-0000410A0000}"/>
    <cellStyle name="Separador de milhares 2 2 2 2 4 4 2 2" xfId="9952" xr:uid="{00000000-0005-0000-0000-0000420A0000}"/>
    <cellStyle name="Separador de milhares 2 2 2 2 4 4 3" xfId="5666" xr:uid="{00000000-0005-0000-0000-0000430A0000}"/>
    <cellStyle name="Separador de milhares 2 2 2 2 4 4 3 2" xfId="12180" xr:uid="{00000000-0005-0000-0000-0000440A0000}"/>
    <cellStyle name="Separador de milhares 2 2 2 2 4 4 4" xfId="7896" xr:uid="{00000000-0005-0000-0000-0000450A0000}"/>
    <cellStyle name="Separador de milhares 2 2 2 2 4 5" xfId="2408" xr:uid="{00000000-0005-0000-0000-0000460A0000}"/>
    <cellStyle name="Separador de milhares 2 2 2 2 4 5 2" xfId="8924" xr:uid="{00000000-0005-0000-0000-0000470A0000}"/>
    <cellStyle name="Separador de milhares 2 2 2 2 4 6" xfId="4550" xr:uid="{00000000-0005-0000-0000-0000480A0000}"/>
    <cellStyle name="Separador de milhares 2 2 2 2 4 6 2" xfId="11064" xr:uid="{00000000-0005-0000-0000-0000490A0000}"/>
    <cellStyle name="Separador de milhares 2 2 2 2 4 7" xfId="6780" xr:uid="{00000000-0005-0000-0000-00004A0A0000}"/>
    <cellStyle name="Separador de milhares 2 2 2 2 5" xfId="417" xr:uid="{00000000-0005-0000-0000-00004B0A0000}"/>
    <cellStyle name="Separador de milhares 2 2 2 2 5 2" xfId="992" xr:uid="{00000000-0005-0000-0000-00004C0A0000}"/>
    <cellStyle name="Separador de milhares 2 2 2 2 5 2 2" xfId="2020" xr:uid="{00000000-0005-0000-0000-00004D0A0000}"/>
    <cellStyle name="Separador de milhares 2 2 2 2 5 2 2 2" xfId="4078" xr:uid="{00000000-0005-0000-0000-00004E0A0000}"/>
    <cellStyle name="Separador de milhares 2 2 2 2 5 2 2 2 2" xfId="10594" xr:uid="{00000000-0005-0000-0000-00004F0A0000}"/>
    <cellStyle name="Separador de milhares 2 2 2 2 5 2 2 3" xfId="6308" xr:uid="{00000000-0005-0000-0000-0000500A0000}"/>
    <cellStyle name="Separador de milhares 2 2 2 2 5 2 2 3 2" xfId="12822" xr:uid="{00000000-0005-0000-0000-0000510A0000}"/>
    <cellStyle name="Separador de milhares 2 2 2 2 5 2 2 4" xfId="8538" xr:uid="{00000000-0005-0000-0000-0000520A0000}"/>
    <cellStyle name="Separador de milhares 2 2 2 2 5 2 3" xfId="3050" xr:uid="{00000000-0005-0000-0000-0000530A0000}"/>
    <cellStyle name="Separador de milhares 2 2 2 2 5 2 3 2" xfId="9566" xr:uid="{00000000-0005-0000-0000-0000540A0000}"/>
    <cellStyle name="Separador de milhares 2 2 2 2 5 2 4" xfId="5280" xr:uid="{00000000-0005-0000-0000-0000550A0000}"/>
    <cellStyle name="Separador de milhares 2 2 2 2 5 2 4 2" xfId="11794" xr:uid="{00000000-0005-0000-0000-0000560A0000}"/>
    <cellStyle name="Separador de milhares 2 2 2 2 5 2 5" xfId="7510" xr:uid="{00000000-0005-0000-0000-0000570A0000}"/>
    <cellStyle name="Separador de milhares 2 2 2 2 5 3" xfId="1506" xr:uid="{00000000-0005-0000-0000-0000580A0000}"/>
    <cellStyle name="Separador de milhares 2 2 2 2 5 3 2" xfId="3564" xr:uid="{00000000-0005-0000-0000-0000590A0000}"/>
    <cellStyle name="Separador de milhares 2 2 2 2 5 3 2 2" xfId="10080" xr:uid="{00000000-0005-0000-0000-00005A0A0000}"/>
    <cellStyle name="Separador de milhares 2 2 2 2 5 3 3" xfId="5794" xr:uid="{00000000-0005-0000-0000-00005B0A0000}"/>
    <cellStyle name="Separador de milhares 2 2 2 2 5 3 3 2" xfId="12308" xr:uid="{00000000-0005-0000-0000-00005C0A0000}"/>
    <cellStyle name="Separador de milhares 2 2 2 2 5 3 4" xfId="8024" xr:uid="{00000000-0005-0000-0000-00005D0A0000}"/>
    <cellStyle name="Separador de milhares 2 2 2 2 5 4" xfId="2536" xr:uid="{00000000-0005-0000-0000-00005E0A0000}"/>
    <cellStyle name="Separador de milhares 2 2 2 2 5 4 2" xfId="9052" xr:uid="{00000000-0005-0000-0000-00005F0A0000}"/>
    <cellStyle name="Separador de milhares 2 2 2 2 5 5" xfId="4713" xr:uid="{00000000-0005-0000-0000-0000600A0000}"/>
    <cellStyle name="Separador de milhares 2 2 2 2 5 5 2" xfId="11227" xr:uid="{00000000-0005-0000-0000-0000610A0000}"/>
    <cellStyle name="Separador de milhares 2 2 2 2 5 6" xfId="6943" xr:uid="{00000000-0005-0000-0000-0000620A0000}"/>
    <cellStyle name="Separador de milhares 2 2 2 2 6" xfId="736" xr:uid="{00000000-0005-0000-0000-0000630A0000}"/>
    <cellStyle name="Separador de milhares 2 2 2 2 6 2" xfId="1764" xr:uid="{00000000-0005-0000-0000-0000640A0000}"/>
    <cellStyle name="Separador de milhares 2 2 2 2 6 2 2" xfId="3822" xr:uid="{00000000-0005-0000-0000-0000650A0000}"/>
    <cellStyle name="Separador de milhares 2 2 2 2 6 2 2 2" xfId="10338" xr:uid="{00000000-0005-0000-0000-0000660A0000}"/>
    <cellStyle name="Separador de milhares 2 2 2 2 6 2 3" xfId="6052" xr:uid="{00000000-0005-0000-0000-0000670A0000}"/>
    <cellStyle name="Separador de milhares 2 2 2 2 6 2 3 2" xfId="12566" xr:uid="{00000000-0005-0000-0000-0000680A0000}"/>
    <cellStyle name="Separador de milhares 2 2 2 2 6 2 4" xfId="8282" xr:uid="{00000000-0005-0000-0000-0000690A0000}"/>
    <cellStyle name="Separador de milhares 2 2 2 2 6 3" xfId="2794" xr:uid="{00000000-0005-0000-0000-00006A0A0000}"/>
    <cellStyle name="Separador de milhares 2 2 2 2 6 3 2" xfId="9310" xr:uid="{00000000-0005-0000-0000-00006B0A0000}"/>
    <cellStyle name="Separador de milhares 2 2 2 2 6 4" xfId="5024" xr:uid="{00000000-0005-0000-0000-00006C0A0000}"/>
    <cellStyle name="Separador de milhares 2 2 2 2 6 4 2" xfId="11538" xr:uid="{00000000-0005-0000-0000-00006D0A0000}"/>
    <cellStyle name="Separador de milhares 2 2 2 2 6 5" xfId="7254" xr:uid="{00000000-0005-0000-0000-00006E0A0000}"/>
    <cellStyle name="Separador de milhares 2 2 2 2 7" xfId="1250" xr:uid="{00000000-0005-0000-0000-00006F0A0000}"/>
    <cellStyle name="Separador de milhares 2 2 2 2 7 2" xfId="3308" xr:uid="{00000000-0005-0000-0000-0000700A0000}"/>
    <cellStyle name="Separador de milhares 2 2 2 2 7 2 2" xfId="9824" xr:uid="{00000000-0005-0000-0000-0000710A0000}"/>
    <cellStyle name="Separador de milhares 2 2 2 2 7 3" xfId="5538" xr:uid="{00000000-0005-0000-0000-0000720A0000}"/>
    <cellStyle name="Separador de milhares 2 2 2 2 7 3 2" xfId="12052" xr:uid="{00000000-0005-0000-0000-0000730A0000}"/>
    <cellStyle name="Separador de milhares 2 2 2 2 7 4" xfId="7768" xr:uid="{00000000-0005-0000-0000-0000740A0000}"/>
    <cellStyle name="Separador de milhares 2 2 2 2 8" xfId="2280" xr:uid="{00000000-0005-0000-0000-0000750A0000}"/>
    <cellStyle name="Separador de milhares 2 2 2 2 8 2" xfId="8796" xr:uid="{00000000-0005-0000-0000-0000760A0000}"/>
    <cellStyle name="Separador de milhares 2 2 2 2 9" xfId="4371" xr:uid="{00000000-0005-0000-0000-0000770A0000}"/>
    <cellStyle name="Separador de milhares 2 2 2 2 9 2" xfId="10885" xr:uid="{00000000-0005-0000-0000-0000780A0000}"/>
    <cellStyle name="Separador de milhares 2 2 2 3" xfId="111" xr:uid="{00000000-0005-0000-0000-0000790A0000}"/>
    <cellStyle name="Separador de milhares 2 2 2 3 2" xfId="205" xr:uid="{00000000-0005-0000-0000-00007A0A0000}"/>
    <cellStyle name="Separador de milhares 2 2 2 3 2 2" xfId="333" xr:uid="{00000000-0005-0000-0000-00007B0A0000}"/>
    <cellStyle name="Separador de milhares 2 2 2 3 2 2 2" xfId="676" xr:uid="{00000000-0005-0000-0000-00007C0A0000}"/>
    <cellStyle name="Separador de milhares 2 2 2 3 2 2 2 2" xfId="1200" xr:uid="{00000000-0005-0000-0000-00007D0A0000}"/>
    <cellStyle name="Separador de milhares 2 2 2 3 2 2 2 2 2" xfId="2228" xr:uid="{00000000-0005-0000-0000-00007E0A0000}"/>
    <cellStyle name="Separador de milhares 2 2 2 3 2 2 2 2 2 2" xfId="4286" xr:uid="{00000000-0005-0000-0000-00007F0A0000}"/>
    <cellStyle name="Separador de milhares 2 2 2 3 2 2 2 2 2 2 2" xfId="10802" xr:uid="{00000000-0005-0000-0000-0000800A0000}"/>
    <cellStyle name="Separador de milhares 2 2 2 3 2 2 2 2 2 3" xfId="6516" xr:uid="{00000000-0005-0000-0000-0000810A0000}"/>
    <cellStyle name="Separador de milhares 2 2 2 3 2 2 2 2 2 3 2" xfId="13030" xr:uid="{00000000-0005-0000-0000-0000820A0000}"/>
    <cellStyle name="Separador de milhares 2 2 2 3 2 2 2 2 2 4" xfId="8746" xr:uid="{00000000-0005-0000-0000-0000830A0000}"/>
    <cellStyle name="Separador de milhares 2 2 2 3 2 2 2 2 3" xfId="3258" xr:uid="{00000000-0005-0000-0000-0000840A0000}"/>
    <cellStyle name="Separador de milhares 2 2 2 3 2 2 2 2 3 2" xfId="9774" xr:uid="{00000000-0005-0000-0000-0000850A0000}"/>
    <cellStyle name="Separador de milhares 2 2 2 3 2 2 2 2 4" xfId="5488" xr:uid="{00000000-0005-0000-0000-0000860A0000}"/>
    <cellStyle name="Separador de milhares 2 2 2 3 2 2 2 2 4 2" xfId="12002" xr:uid="{00000000-0005-0000-0000-0000870A0000}"/>
    <cellStyle name="Separador de milhares 2 2 2 3 2 2 2 2 5" xfId="7718" xr:uid="{00000000-0005-0000-0000-0000880A0000}"/>
    <cellStyle name="Separador de milhares 2 2 2 3 2 2 2 3" xfId="1714" xr:uid="{00000000-0005-0000-0000-0000890A0000}"/>
    <cellStyle name="Separador de milhares 2 2 2 3 2 2 2 3 2" xfId="3772" xr:uid="{00000000-0005-0000-0000-00008A0A0000}"/>
    <cellStyle name="Separador de milhares 2 2 2 3 2 2 2 3 2 2" xfId="10288" xr:uid="{00000000-0005-0000-0000-00008B0A0000}"/>
    <cellStyle name="Separador de milhares 2 2 2 3 2 2 2 3 3" xfId="6002" xr:uid="{00000000-0005-0000-0000-00008C0A0000}"/>
    <cellStyle name="Separador de milhares 2 2 2 3 2 2 2 3 3 2" xfId="12516" xr:uid="{00000000-0005-0000-0000-00008D0A0000}"/>
    <cellStyle name="Separador de milhares 2 2 2 3 2 2 2 3 4" xfId="8232" xr:uid="{00000000-0005-0000-0000-00008E0A0000}"/>
    <cellStyle name="Separador de milhares 2 2 2 3 2 2 2 4" xfId="2744" xr:uid="{00000000-0005-0000-0000-00008F0A0000}"/>
    <cellStyle name="Separador de milhares 2 2 2 3 2 2 2 4 2" xfId="9260" xr:uid="{00000000-0005-0000-0000-0000900A0000}"/>
    <cellStyle name="Separador de milhares 2 2 2 3 2 2 2 5" xfId="4972" xr:uid="{00000000-0005-0000-0000-0000910A0000}"/>
    <cellStyle name="Separador de milhares 2 2 2 3 2 2 2 5 2" xfId="11486" xr:uid="{00000000-0005-0000-0000-0000920A0000}"/>
    <cellStyle name="Separador de milhares 2 2 2 3 2 2 2 6" xfId="7202" xr:uid="{00000000-0005-0000-0000-0000930A0000}"/>
    <cellStyle name="Separador de milhares 2 2 2 3 2 2 3" xfId="944" xr:uid="{00000000-0005-0000-0000-0000940A0000}"/>
    <cellStyle name="Separador de milhares 2 2 2 3 2 2 3 2" xfId="1972" xr:uid="{00000000-0005-0000-0000-0000950A0000}"/>
    <cellStyle name="Separador de milhares 2 2 2 3 2 2 3 2 2" xfId="4030" xr:uid="{00000000-0005-0000-0000-0000960A0000}"/>
    <cellStyle name="Separador de milhares 2 2 2 3 2 2 3 2 2 2" xfId="10546" xr:uid="{00000000-0005-0000-0000-0000970A0000}"/>
    <cellStyle name="Separador de milhares 2 2 2 3 2 2 3 2 3" xfId="6260" xr:uid="{00000000-0005-0000-0000-0000980A0000}"/>
    <cellStyle name="Separador de milhares 2 2 2 3 2 2 3 2 3 2" xfId="12774" xr:uid="{00000000-0005-0000-0000-0000990A0000}"/>
    <cellStyle name="Separador de milhares 2 2 2 3 2 2 3 2 4" xfId="8490" xr:uid="{00000000-0005-0000-0000-00009A0A0000}"/>
    <cellStyle name="Separador de milhares 2 2 2 3 2 2 3 3" xfId="3002" xr:uid="{00000000-0005-0000-0000-00009B0A0000}"/>
    <cellStyle name="Separador de milhares 2 2 2 3 2 2 3 3 2" xfId="9518" xr:uid="{00000000-0005-0000-0000-00009C0A0000}"/>
    <cellStyle name="Separador de milhares 2 2 2 3 2 2 3 4" xfId="5232" xr:uid="{00000000-0005-0000-0000-00009D0A0000}"/>
    <cellStyle name="Separador de milhares 2 2 2 3 2 2 3 4 2" xfId="11746" xr:uid="{00000000-0005-0000-0000-00009E0A0000}"/>
    <cellStyle name="Separador de milhares 2 2 2 3 2 2 3 5" xfId="7462" xr:uid="{00000000-0005-0000-0000-00009F0A0000}"/>
    <cellStyle name="Separador de milhares 2 2 2 3 2 2 4" xfId="1458" xr:uid="{00000000-0005-0000-0000-0000A00A0000}"/>
    <cellStyle name="Separador de milhares 2 2 2 3 2 2 4 2" xfId="3516" xr:uid="{00000000-0005-0000-0000-0000A10A0000}"/>
    <cellStyle name="Separador de milhares 2 2 2 3 2 2 4 2 2" xfId="10032" xr:uid="{00000000-0005-0000-0000-0000A20A0000}"/>
    <cellStyle name="Separador de milhares 2 2 2 3 2 2 4 3" xfId="5746" xr:uid="{00000000-0005-0000-0000-0000A30A0000}"/>
    <cellStyle name="Separador de milhares 2 2 2 3 2 2 4 3 2" xfId="12260" xr:uid="{00000000-0005-0000-0000-0000A40A0000}"/>
    <cellStyle name="Separador de milhares 2 2 2 3 2 2 4 4" xfId="7976" xr:uid="{00000000-0005-0000-0000-0000A50A0000}"/>
    <cellStyle name="Separador de milhares 2 2 2 3 2 2 5" xfId="2488" xr:uid="{00000000-0005-0000-0000-0000A60A0000}"/>
    <cellStyle name="Separador de milhares 2 2 2 3 2 2 5 2" xfId="9004" xr:uid="{00000000-0005-0000-0000-0000A70A0000}"/>
    <cellStyle name="Separador de milhares 2 2 2 3 2 2 6" xfId="4630" xr:uid="{00000000-0005-0000-0000-0000A80A0000}"/>
    <cellStyle name="Separador de milhares 2 2 2 3 2 2 6 2" xfId="11144" xr:uid="{00000000-0005-0000-0000-0000A90A0000}"/>
    <cellStyle name="Separador de milhares 2 2 2 3 2 2 7" xfId="6860" xr:uid="{00000000-0005-0000-0000-0000AA0A0000}"/>
    <cellStyle name="Separador de milhares 2 2 2 3 2 3" xfId="548" xr:uid="{00000000-0005-0000-0000-0000AB0A0000}"/>
    <cellStyle name="Separador de milhares 2 2 2 3 2 3 2" xfId="1072" xr:uid="{00000000-0005-0000-0000-0000AC0A0000}"/>
    <cellStyle name="Separador de milhares 2 2 2 3 2 3 2 2" xfId="2100" xr:uid="{00000000-0005-0000-0000-0000AD0A0000}"/>
    <cellStyle name="Separador de milhares 2 2 2 3 2 3 2 2 2" xfId="4158" xr:uid="{00000000-0005-0000-0000-0000AE0A0000}"/>
    <cellStyle name="Separador de milhares 2 2 2 3 2 3 2 2 2 2" xfId="10674" xr:uid="{00000000-0005-0000-0000-0000AF0A0000}"/>
    <cellStyle name="Separador de milhares 2 2 2 3 2 3 2 2 3" xfId="6388" xr:uid="{00000000-0005-0000-0000-0000B00A0000}"/>
    <cellStyle name="Separador de milhares 2 2 2 3 2 3 2 2 3 2" xfId="12902" xr:uid="{00000000-0005-0000-0000-0000B10A0000}"/>
    <cellStyle name="Separador de milhares 2 2 2 3 2 3 2 2 4" xfId="8618" xr:uid="{00000000-0005-0000-0000-0000B20A0000}"/>
    <cellStyle name="Separador de milhares 2 2 2 3 2 3 2 3" xfId="3130" xr:uid="{00000000-0005-0000-0000-0000B30A0000}"/>
    <cellStyle name="Separador de milhares 2 2 2 3 2 3 2 3 2" xfId="9646" xr:uid="{00000000-0005-0000-0000-0000B40A0000}"/>
    <cellStyle name="Separador de milhares 2 2 2 3 2 3 2 4" xfId="5360" xr:uid="{00000000-0005-0000-0000-0000B50A0000}"/>
    <cellStyle name="Separador de milhares 2 2 2 3 2 3 2 4 2" xfId="11874" xr:uid="{00000000-0005-0000-0000-0000B60A0000}"/>
    <cellStyle name="Separador de milhares 2 2 2 3 2 3 2 5" xfId="7590" xr:uid="{00000000-0005-0000-0000-0000B70A0000}"/>
    <cellStyle name="Separador de milhares 2 2 2 3 2 3 3" xfId="1586" xr:uid="{00000000-0005-0000-0000-0000B80A0000}"/>
    <cellStyle name="Separador de milhares 2 2 2 3 2 3 3 2" xfId="3644" xr:uid="{00000000-0005-0000-0000-0000B90A0000}"/>
    <cellStyle name="Separador de milhares 2 2 2 3 2 3 3 2 2" xfId="10160" xr:uid="{00000000-0005-0000-0000-0000BA0A0000}"/>
    <cellStyle name="Separador de milhares 2 2 2 3 2 3 3 3" xfId="5874" xr:uid="{00000000-0005-0000-0000-0000BB0A0000}"/>
    <cellStyle name="Separador de milhares 2 2 2 3 2 3 3 3 2" xfId="12388" xr:uid="{00000000-0005-0000-0000-0000BC0A0000}"/>
    <cellStyle name="Separador de milhares 2 2 2 3 2 3 3 4" xfId="8104" xr:uid="{00000000-0005-0000-0000-0000BD0A0000}"/>
    <cellStyle name="Separador de milhares 2 2 2 3 2 3 4" xfId="2616" xr:uid="{00000000-0005-0000-0000-0000BE0A0000}"/>
    <cellStyle name="Separador de milhares 2 2 2 3 2 3 4 2" xfId="9132" xr:uid="{00000000-0005-0000-0000-0000BF0A0000}"/>
    <cellStyle name="Separador de milhares 2 2 2 3 2 3 5" xfId="4844" xr:uid="{00000000-0005-0000-0000-0000C00A0000}"/>
    <cellStyle name="Separador de milhares 2 2 2 3 2 3 5 2" xfId="11358" xr:uid="{00000000-0005-0000-0000-0000C10A0000}"/>
    <cellStyle name="Separador de milhares 2 2 2 3 2 3 6" xfId="7074" xr:uid="{00000000-0005-0000-0000-0000C20A0000}"/>
    <cellStyle name="Separador de milhares 2 2 2 3 2 4" xfId="816" xr:uid="{00000000-0005-0000-0000-0000C30A0000}"/>
    <cellStyle name="Separador de milhares 2 2 2 3 2 4 2" xfId="1844" xr:uid="{00000000-0005-0000-0000-0000C40A0000}"/>
    <cellStyle name="Separador de milhares 2 2 2 3 2 4 2 2" xfId="3902" xr:uid="{00000000-0005-0000-0000-0000C50A0000}"/>
    <cellStyle name="Separador de milhares 2 2 2 3 2 4 2 2 2" xfId="10418" xr:uid="{00000000-0005-0000-0000-0000C60A0000}"/>
    <cellStyle name="Separador de milhares 2 2 2 3 2 4 2 3" xfId="6132" xr:uid="{00000000-0005-0000-0000-0000C70A0000}"/>
    <cellStyle name="Separador de milhares 2 2 2 3 2 4 2 3 2" xfId="12646" xr:uid="{00000000-0005-0000-0000-0000C80A0000}"/>
    <cellStyle name="Separador de milhares 2 2 2 3 2 4 2 4" xfId="8362" xr:uid="{00000000-0005-0000-0000-0000C90A0000}"/>
    <cellStyle name="Separador de milhares 2 2 2 3 2 4 3" xfId="2874" xr:uid="{00000000-0005-0000-0000-0000CA0A0000}"/>
    <cellStyle name="Separador de milhares 2 2 2 3 2 4 3 2" xfId="9390" xr:uid="{00000000-0005-0000-0000-0000CB0A0000}"/>
    <cellStyle name="Separador de milhares 2 2 2 3 2 4 4" xfId="5104" xr:uid="{00000000-0005-0000-0000-0000CC0A0000}"/>
    <cellStyle name="Separador de milhares 2 2 2 3 2 4 4 2" xfId="11618" xr:uid="{00000000-0005-0000-0000-0000CD0A0000}"/>
    <cellStyle name="Separador de milhares 2 2 2 3 2 4 5" xfId="7334" xr:uid="{00000000-0005-0000-0000-0000CE0A0000}"/>
    <cellStyle name="Separador de milhares 2 2 2 3 2 5" xfId="1330" xr:uid="{00000000-0005-0000-0000-0000CF0A0000}"/>
    <cellStyle name="Separador de milhares 2 2 2 3 2 5 2" xfId="3388" xr:uid="{00000000-0005-0000-0000-0000D00A0000}"/>
    <cellStyle name="Separador de milhares 2 2 2 3 2 5 2 2" xfId="9904" xr:uid="{00000000-0005-0000-0000-0000D10A0000}"/>
    <cellStyle name="Separador de milhares 2 2 2 3 2 5 3" xfId="5618" xr:uid="{00000000-0005-0000-0000-0000D20A0000}"/>
    <cellStyle name="Separador de milhares 2 2 2 3 2 5 3 2" xfId="12132" xr:uid="{00000000-0005-0000-0000-0000D30A0000}"/>
    <cellStyle name="Separador de milhares 2 2 2 3 2 5 4" xfId="7848" xr:uid="{00000000-0005-0000-0000-0000D40A0000}"/>
    <cellStyle name="Separador de milhares 2 2 2 3 2 6" xfId="2360" xr:uid="{00000000-0005-0000-0000-0000D50A0000}"/>
    <cellStyle name="Separador de milhares 2 2 2 3 2 6 2" xfId="8876" xr:uid="{00000000-0005-0000-0000-0000D60A0000}"/>
    <cellStyle name="Separador de milhares 2 2 2 3 2 7" xfId="4502" xr:uid="{00000000-0005-0000-0000-0000D70A0000}"/>
    <cellStyle name="Separador de milhares 2 2 2 3 2 7 2" xfId="11016" xr:uid="{00000000-0005-0000-0000-0000D80A0000}"/>
    <cellStyle name="Separador de milhares 2 2 2 3 2 8" xfId="6732" xr:uid="{00000000-0005-0000-0000-0000D90A0000}"/>
    <cellStyle name="Separador de milhares 2 2 2 3 3" xfId="269" xr:uid="{00000000-0005-0000-0000-0000DA0A0000}"/>
    <cellStyle name="Separador de milhares 2 2 2 3 3 2" xfId="612" xr:uid="{00000000-0005-0000-0000-0000DB0A0000}"/>
    <cellStyle name="Separador de milhares 2 2 2 3 3 2 2" xfId="1136" xr:uid="{00000000-0005-0000-0000-0000DC0A0000}"/>
    <cellStyle name="Separador de milhares 2 2 2 3 3 2 2 2" xfId="2164" xr:uid="{00000000-0005-0000-0000-0000DD0A0000}"/>
    <cellStyle name="Separador de milhares 2 2 2 3 3 2 2 2 2" xfId="4222" xr:uid="{00000000-0005-0000-0000-0000DE0A0000}"/>
    <cellStyle name="Separador de milhares 2 2 2 3 3 2 2 2 2 2" xfId="10738" xr:uid="{00000000-0005-0000-0000-0000DF0A0000}"/>
    <cellStyle name="Separador de milhares 2 2 2 3 3 2 2 2 3" xfId="6452" xr:uid="{00000000-0005-0000-0000-0000E00A0000}"/>
    <cellStyle name="Separador de milhares 2 2 2 3 3 2 2 2 3 2" xfId="12966" xr:uid="{00000000-0005-0000-0000-0000E10A0000}"/>
    <cellStyle name="Separador de milhares 2 2 2 3 3 2 2 2 4" xfId="8682" xr:uid="{00000000-0005-0000-0000-0000E20A0000}"/>
    <cellStyle name="Separador de milhares 2 2 2 3 3 2 2 3" xfId="3194" xr:uid="{00000000-0005-0000-0000-0000E30A0000}"/>
    <cellStyle name="Separador de milhares 2 2 2 3 3 2 2 3 2" xfId="9710" xr:uid="{00000000-0005-0000-0000-0000E40A0000}"/>
    <cellStyle name="Separador de milhares 2 2 2 3 3 2 2 4" xfId="5424" xr:uid="{00000000-0005-0000-0000-0000E50A0000}"/>
    <cellStyle name="Separador de milhares 2 2 2 3 3 2 2 4 2" xfId="11938" xr:uid="{00000000-0005-0000-0000-0000E60A0000}"/>
    <cellStyle name="Separador de milhares 2 2 2 3 3 2 2 5" xfId="7654" xr:uid="{00000000-0005-0000-0000-0000E70A0000}"/>
    <cellStyle name="Separador de milhares 2 2 2 3 3 2 3" xfId="1650" xr:uid="{00000000-0005-0000-0000-0000E80A0000}"/>
    <cellStyle name="Separador de milhares 2 2 2 3 3 2 3 2" xfId="3708" xr:uid="{00000000-0005-0000-0000-0000E90A0000}"/>
    <cellStyle name="Separador de milhares 2 2 2 3 3 2 3 2 2" xfId="10224" xr:uid="{00000000-0005-0000-0000-0000EA0A0000}"/>
    <cellStyle name="Separador de milhares 2 2 2 3 3 2 3 3" xfId="5938" xr:uid="{00000000-0005-0000-0000-0000EB0A0000}"/>
    <cellStyle name="Separador de milhares 2 2 2 3 3 2 3 3 2" xfId="12452" xr:uid="{00000000-0005-0000-0000-0000EC0A0000}"/>
    <cellStyle name="Separador de milhares 2 2 2 3 3 2 3 4" xfId="8168" xr:uid="{00000000-0005-0000-0000-0000ED0A0000}"/>
    <cellStyle name="Separador de milhares 2 2 2 3 3 2 4" xfId="2680" xr:uid="{00000000-0005-0000-0000-0000EE0A0000}"/>
    <cellStyle name="Separador de milhares 2 2 2 3 3 2 4 2" xfId="9196" xr:uid="{00000000-0005-0000-0000-0000EF0A0000}"/>
    <cellStyle name="Separador de milhares 2 2 2 3 3 2 5" xfId="4908" xr:uid="{00000000-0005-0000-0000-0000F00A0000}"/>
    <cellStyle name="Separador de milhares 2 2 2 3 3 2 5 2" xfId="11422" xr:uid="{00000000-0005-0000-0000-0000F10A0000}"/>
    <cellStyle name="Separador de milhares 2 2 2 3 3 2 6" xfId="7138" xr:uid="{00000000-0005-0000-0000-0000F20A0000}"/>
    <cellStyle name="Separador de milhares 2 2 2 3 3 3" xfId="880" xr:uid="{00000000-0005-0000-0000-0000F30A0000}"/>
    <cellStyle name="Separador de milhares 2 2 2 3 3 3 2" xfId="1908" xr:uid="{00000000-0005-0000-0000-0000F40A0000}"/>
    <cellStyle name="Separador de milhares 2 2 2 3 3 3 2 2" xfId="3966" xr:uid="{00000000-0005-0000-0000-0000F50A0000}"/>
    <cellStyle name="Separador de milhares 2 2 2 3 3 3 2 2 2" xfId="10482" xr:uid="{00000000-0005-0000-0000-0000F60A0000}"/>
    <cellStyle name="Separador de milhares 2 2 2 3 3 3 2 3" xfId="6196" xr:uid="{00000000-0005-0000-0000-0000F70A0000}"/>
    <cellStyle name="Separador de milhares 2 2 2 3 3 3 2 3 2" xfId="12710" xr:uid="{00000000-0005-0000-0000-0000F80A0000}"/>
    <cellStyle name="Separador de milhares 2 2 2 3 3 3 2 4" xfId="8426" xr:uid="{00000000-0005-0000-0000-0000F90A0000}"/>
    <cellStyle name="Separador de milhares 2 2 2 3 3 3 3" xfId="2938" xr:uid="{00000000-0005-0000-0000-0000FA0A0000}"/>
    <cellStyle name="Separador de milhares 2 2 2 3 3 3 3 2" xfId="9454" xr:uid="{00000000-0005-0000-0000-0000FB0A0000}"/>
    <cellStyle name="Separador de milhares 2 2 2 3 3 3 4" xfId="5168" xr:uid="{00000000-0005-0000-0000-0000FC0A0000}"/>
    <cellStyle name="Separador de milhares 2 2 2 3 3 3 4 2" xfId="11682" xr:uid="{00000000-0005-0000-0000-0000FD0A0000}"/>
    <cellStyle name="Separador de milhares 2 2 2 3 3 3 5" xfId="7398" xr:uid="{00000000-0005-0000-0000-0000FE0A0000}"/>
    <cellStyle name="Separador de milhares 2 2 2 3 3 4" xfId="1394" xr:uid="{00000000-0005-0000-0000-0000FF0A0000}"/>
    <cellStyle name="Separador de milhares 2 2 2 3 3 4 2" xfId="3452" xr:uid="{00000000-0005-0000-0000-0000000B0000}"/>
    <cellStyle name="Separador de milhares 2 2 2 3 3 4 2 2" xfId="9968" xr:uid="{00000000-0005-0000-0000-0000010B0000}"/>
    <cellStyle name="Separador de milhares 2 2 2 3 3 4 3" xfId="5682" xr:uid="{00000000-0005-0000-0000-0000020B0000}"/>
    <cellStyle name="Separador de milhares 2 2 2 3 3 4 3 2" xfId="12196" xr:uid="{00000000-0005-0000-0000-0000030B0000}"/>
    <cellStyle name="Separador de milhares 2 2 2 3 3 4 4" xfId="7912" xr:uid="{00000000-0005-0000-0000-0000040B0000}"/>
    <cellStyle name="Separador de milhares 2 2 2 3 3 5" xfId="2424" xr:uid="{00000000-0005-0000-0000-0000050B0000}"/>
    <cellStyle name="Separador de milhares 2 2 2 3 3 5 2" xfId="8940" xr:uid="{00000000-0005-0000-0000-0000060B0000}"/>
    <cellStyle name="Separador de milhares 2 2 2 3 3 6" xfId="4566" xr:uid="{00000000-0005-0000-0000-0000070B0000}"/>
    <cellStyle name="Separador de milhares 2 2 2 3 3 6 2" xfId="11080" xr:uid="{00000000-0005-0000-0000-0000080B0000}"/>
    <cellStyle name="Separador de milhares 2 2 2 3 3 7" xfId="6796" xr:uid="{00000000-0005-0000-0000-0000090B0000}"/>
    <cellStyle name="Separador de milhares 2 2 2 3 4" xfId="454" xr:uid="{00000000-0005-0000-0000-00000A0B0000}"/>
    <cellStyle name="Separador de milhares 2 2 2 3 4 2" xfId="1008" xr:uid="{00000000-0005-0000-0000-00000B0B0000}"/>
    <cellStyle name="Separador de milhares 2 2 2 3 4 2 2" xfId="2036" xr:uid="{00000000-0005-0000-0000-00000C0B0000}"/>
    <cellStyle name="Separador de milhares 2 2 2 3 4 2 2 2" xfId="4094" xr:uid="{00000000-0005-0000-0000-00000D0B0000}"/>
    <cellStyle name="Separador de milhares 2 2 2 3 4 2 2 2 2" xfId="10610" xr:uid="{00000000-0005-0000-0000-00000E0B0000}"/>
    <cellStyle name="Separador de milhares 2 2 2 3 4 2 2 3" xfId="6324" xr:uid="{00000000-0005-0000-0000-00000F0B0000}"/>
    <cellStyle name="Separador de milhares 2 2 2 3 4 2 2 3 2" xfId="12838" xr:uid="{00000000-0005-0000-0000-0000100B0000}"/>
    <cellStyle name="Separador de milhares 2 2 2 3 4 2 2 4" xfId="8554" xr:uid="{00000000-0005-0000-0000-0000110B0000}"/>
    <cellStyle name="Separador de milhares 2 2 2 3 4 2 3" xfId="3066" xr:uid="{00000000-0005-0000-0000-0000120B0000}"/>
    <cellStyle name="Separador de milhares 2 2 2 3 4 2 3 2" xfId="9582" xr:uid="{00000000-0005-0000-0000-0000130B0000}"/>
    <cellStyle name="Separador de milhares 2 2 2 3 4 2 4" xfId="5296" xr:uid="{00000000-0005-0000-0000-0000140B0000}"/>
    <cellStyle name="Separador de milhares 2 2 2 3 4 2 4 2" xfId="11810" xr:uid="{00000000-0005-0000-0000-0000150B0000}"/>
    <cellStyle name="Separador de milhares 2 2 2 3 4 2 5" xfId="7526" xr:uid="{00000000-0005-0000-0000-0000160B0000}"/>
    <cellStyle name="Separador de milhares 2 2 2 3 4 3" xfId="1522" xr:uid="{00000000-0005-0000-0000-0000170B0000}"/>
    <cellStyle name="Separador de milhares 2 2 2 3 4 3 2" xfId="3580" xr:uid="{00000000-0005-0000-0000-0000180B0000}"/>
    <cellStyle name="Separador de milhares 2 2 2 3 4 3 2 2" xfId="10096" xr:uid="{00000000-0005-0000-0000-0000190B0000}"/>
    <cellStyle name="Separador de milhares 2 2 2 3 4 3 3" xfId="5810" xr:uid="{00000000-0005-0000-0000-00001A0B0000}"/>
    <cellStyle name="Separador de milhares 2 2 2 3 4 3 3 2" xfId="12324" xr:uid="{00000000-0005-0000-0000-00001B0B0000}"/>
    <cellStyle name="Separador de milhares 2 2 2 3 4 3 4" xfId="8040" xr:uid="{00000000-0005-0000-0000-00001C0B0000}"/>
    <cellStyle name="Separador de milhares 2 2 2 3 4 4" xfId="2552" xr:uid="{00000000-0005-0000-0000-00001D0B0000}"/>
    <cellStyle name="Separador de milhares 2 2 2 3 4 4 2" xfId="9068" xr:uid="{00000000-0005-0000-0000-00001E0B0000}"/>
    <cellStyle name="Separador de milhares 2 2 2 3 4 5" xfId="4750" xr:uid="{00000000-0005-0000-0000-00001F0B0000}"/>
    <cellStyle name="Separador de milhares 2 2 2 3 4 5 2" xfId="11264" xr:uid="{00000000-0005-0000-0000-0000200B0000}"/>
    <cellStyle name="Separador de milhares 2 2 2 3 4 6" xfId="6980" xr:uid="{00000000-0005-0000-0000-0000210B0000}"/>
    <cellStyle name="Separador de milhares 2 2 2 3 5" xfId="752" xr:uid="{00000000-0005-0000-0000-0000220B0000}"/>
    <cellStyle name="Separador de milhares 2 2 2 3 5 2" xfId="1780" xr:uid="{00000000-0005-0000-0000-0000230B0000}"/>
    <cellStyle name="Separador de milhares 2 2 2 3 5 2 2" xfId="3838" xr:uid="{00000000-0005-0000-0000-0000240B0000}"/>
    <cellStyle name="Separador de milhares 2 2 2 3 5 2 2 2" xfId="10354" xr:uid="{00000000-0005-0000-0000-0000250B0000}"/>
    <cellStyle name="Separador de milhares 2 2 2 3 5 2 3" xfId="6068" xr:uid="{00000000-0005-0000-0000-0000260B0000}"/>
    <cellStyle name="Separador de milhares 2 2 2 3 5 2 3 2" xfId="12582" xr:uid="{00000000-0005-0000-0000-0000270B0000}"/>
    <cellStyle name="Separador de milhares 2 2 2 3 5 2 4" xfId="8298" xr:uid="{00000000-0005-0000-0000-0000280B0000}"/>
    <cellStyle name="Separador de milhares 2 2 2 3 5 3" xfId="2810" xr:uid="{00000000-0005-0000-0000-0000290B0000}"/>
    <cellStyle name="Separador de milhares 2 2 2 3 5 3 2" xfId="9326" xr:uid="{00000000-0005-0000-0000-00002A0B0000}"/>
    <cellStyle name="Separador de milhares 2 2 2 3 5 4" xfId="5040" xr:uid="{00000000-0005-0000-0000-00002B0B0000}"/>
    <cellStyle name="Separador de milhares 2 2 2 3 5 4 2" xfId="11554" xr:uid="{00000000-0005-0000-0000-00002C0B0000}"/>
    <cellStyle name="Separador de milhares 2 2 2 3 5 5" xfId="7270" xr:uid="{00000000-0005-0000-0000-00002D0B0000}"/>
    <cellStyle name="Separador de milhares 2 2 2 3 6" xfId="1266" xr:uid="{00000000-0005-0000-0000-00002E0B0000}"/>
    <cellStyle name="Separador de milhares 2 2 2 3 6 2" xfId="3324" xr:uid="{00000000-0005-0000-0000-00002F0B0000}"/>
    <cellStyle name="Separador de milhares 2 2 2 3 6 2 2" xfId="9840" xr:uid="{00000000-0005-0000-0000-0000300B0000}"/>
    <cellStyle name="Separador de milhares 2 2 2 3 6 3" xfId="5554" xr:uid="{00000000-0005-0000-0000-0000310B0000}"/>
    <cellStyle name="Separador de milhares 2 2 2 3 6 3 2" xfId="12068" xr:uid="{00000000-0005-0000-0000-0000320B0000}"/>
    <cellStyle name="Separador de milhares 2 2 2 3 6 4" xfId="7784" xr:uid="{00000000-0005-0000-0000-0000330B0000}"/>
    <cellStyle name="Separador de milhares 2 2 2 3 7" xfId="2296" xr:uid="{00000000-0005-0000-0000-0000340B0000}"/>
    <cellStyle name="Separador de milhares 2 2 2 3 7 2" xfId="8812" xr:uid="{00000000-0005-0000-0000-0000350B0000}"/>
    <cellStyle name="Separador de milhares 2 2 2 3 8" xfId="4408" xr:uid="{00000000-0005-0000-0000-0000360B0000}"/>
    <cellStyle name="Separador de milhares 2 2 2 3 8 2" xfId="10922" xr:uid="{00000000-0005-0000-0000-0000370B0000}"/>
    <cellStyle name="Separador de milhares 2 2 2 3 9" xfId="6638" xr:uid="{00000000-0005-0000-0000-0000380B0000}"/>
    <cellStyle name="Separador de milhares 2 2 2 4" xfId="173" xr:uid="{00000000-0005-0000-0000-0000390B0000}"/>
    <cellStyle name="Separador de milhares 2 2 2 4 2" xfId="301" xr:uid="{00000000-0005-0000-0000-00003A0B0000}"/>
    <cellStyle name="Separador de milhares 2 2 2 4 2 2" xfId="644" xr:uid="{00000000-0005-0000-0000-00003B0B0000}"/>
    <cellStyle name="Separador de milhares 2 2 2 4 2 2 2" xfId="1168" xr:uid="{00000000-0005-0000-0000-00003C0B0000}"/>
    <cellStyle name="Separador de milhares 2 2 2 4 2 2 2 2" xfId="2196" xr:uid="{00000000-0005-0000-0000-00003D0B0000}"/>
    <cellStyle name="Separador de milhares 2 2 2 4 2 2 2 2 2" xfId="4254" xr:uid="{00000000-0005-0000-0000-00003E0B0000}"/>
    <cellStyle name="Separador de milhares 2 2 2 4 2 2 2 2 2 2" xfId="10770" xr:uid="{00000000-0005-0000-0000-00003F0B0000}"/>
    <cellStyle name="Separador de milhares 2 2 2 4 2 2 2 2 3" xfId="6484" xr:uid="{00000000-0005-0000-0000-0000400B0000}"/>
    <cellStyle name="Separador de milhares 2 2 2 4 2 2 2 2 3 2" xfId="12998" xr:uid="{00000000-0005-0000-0000-0000410B0000}"/>
    <cellStyle name="Separador de milhares 2 2 2 4 2 2 2 2 4" xfId="8714" xr:uid="{00000000-0005-0000-0000-0000420B0000}"/>
    <cellStyle name="Separador de milhares 2 2 2 4 2 2 2 3" xfId="3226" xr:uid="{00000000-0005-0000-0000-0000430B0000}"/>
    <cellStyle name="Separador de milhares 2 2 2 4 2 2 2 3 2" xfId="9742" xr:uid="{00000000-0005-0000-0000-0000440B0000}"/>
    <cellStyle name="Separador de milhares 2 2 2 4 2 2 2 4" xfId="5456" xr:uid="{00000000-0005-0000-0000-0000450B0000}"/>
    <cellStyle name="Separador de milhares 2 2 2 4 2 2 2 4 2" xfId="11970" xr:uid="{00000000-0005-0000-0000-0000460B0000}"/>
    <cellStyle name="Separador de milhares 2 2 2 4 2 2 2 5" xfId="7686" xr:uid="{00000000-0005-0000-0000-0000470B0000}"/>
    <cellStyle name="Separador de milhares 2 2 2 4 2 2 3" xfId="1682" xr:uid="{00000000-0005-0000-0000-0000480B0000}"/>
    <cellStyle name="Separador de milhares 2 2 2 4 2 2 3 2" xfId="3740" xr:uid="{00000000-0005-0000-0000-0000490B0000}"/>
    <cellStyle name="Separador de milhares 2 2 2 4 2 2 3 2 2" xfId="10256" xr:uid="{00000000-0005-0000-0000-00004A0B0000}"/>
    <cellStyle name="Separador de milhares 2 2 2 4 2 2 3 3" xfId="5970" xr:uid="{00000000-0005-0000-0000-00004B0B0000}"/>
    <cellStyle name="Separador de milhares 2 2 2 4 2 2 3 3 2" xfId="12484" xr:uid="{00000000-0005-0000-0000-00004C0B0000}"/>
    <cellStyle name="Separador de milhares 2 2 2 4 2 2 3 4" xfId="8200" xr:uid="{00000000-0005-0000-0000-00004D0B0000}"/>
    <cellStyle name="Separador de milhares 2 2 2 4 2 2 4" xfId="2712" xr:uid="{00000000-0005-0000-0000-00004E0B0000}"/>
    <cellStyle name="Separador de milhares 2 2 2 4 2 2 4 2" xfId="9228" xr:uid="{00000000-0005-0000-0000-00004F0B0000}"/>
    <cellStyle name="Separador de milhares 2 2 2 4 2 2 5" xfId="4940" xr:uid="{00000000-0005-0000-0000-0000500B0000}"/>
    <cellStyle name="Separador de milhares 2 2 2 4 2 2 5 2" xfId="11454" xr:uid="{00000000-0005-0000-0000-0000510B0000}"/>
    <cellStyle name="Separador de milhares 2 2 2 4 2 2 6" xfId="7170" xr:uid="{00000000-0005-0000-0000-0000520B0000}"/>
    <cellStyle name="Separador de milhares 2 2 2 4 2 3" xfId="912" xr:uid="{00000000-0005-0000-0000-0000530B0000}"/>
    <cellStyle name="Separador de milhares 2 2 2 4 2 3 2" xfId="1940" xr:uid="{00000000-0005-0000-0000-0000540B0000}"/>
    <cellStyle name="Separador de milhares 2 2 2 4 2 3 2 2" xfId="3998" xr:uid="{00000000-0005-0000-0000-0000550B0000}"/>
    <cellStyle name="Separador de milhares 2 2 2 4 2 3 2 2 2" xfId="10514" xr:uid="{00000000-0005-0000-0000-0000560B0000}"/>
    <cellStyle name="Separador de milhares 2 2 2 4 2 3 2 3" xfId="6228" xr:uid="{00000000-0005-0000-0000-0000570B0000}"/>
    <cellStyle name="Separador de milhares 2 2 2 4 2 3 2 3 2" xfId="12742" xr:uid="{00000000-0005-0000-0000-0000580B0000}"/>
    <cellStyle name="Separador de milhares 2 2 2 4 2 3 2 4" xfId="8458" xr:uid="{00000000-0005-0000-0000-0000590B0000}"/>
    <cellStyle name="Separador de milhares 2 2 2 4 2 3 3" xfId="2970" xr:uid="{00000000-0005-0000-0000-00005A0B0000}"/>
    <cellStyle name="Separador de milhares 2 2 2 4 2 3 3 2" xfId="9486" xr:uid="{00000000-0005-0000-0000-00005B0B0000}"/>
    <cellStyle name="Separador de milhares 2 2 2 4 2 3 4" xfId="5200" xr:uid="{00000000-0005-0000-0000-00005C0B0000}"/>
    <cellStyle name="Separador de milhares 2 2 2 4 2 3 4 2" xfId="11714" xr:uid="{00000000-0005-0000-0000-00005D0B0000}"/>
    <cellStyle name="Separador de milhares 2 2 2 4 2 3 5" xfId="7430" xr:uid="{00000000-0005-0000-0000-00005E0B0000}"/>
    <cellStyle name="Separador de milhares 2 2 2 4 2 4" xfId="1426" xr:uid="{00000000-0005-0000-0000-00005F0B0000}"/>
    <cellStyle name="Separador de milhares 2 2 2 4 2 4 2" xfId="3484" xr:uid="{00000000-0005-0000-0000-0000600B0000}"/>
    <cellStyle name="Separador de milhares 2 2 2 4 2 4 2 2" xfId="10000" xr:uid="{00000000-0005-0000-0000-0000610B0000}"/>
    <cellStyle name="Separador de milhares 2 2 2 4 2 4 3" xfId="5714" xr:uid="{00000000-0005-0000-0000-0000620B0000}"/>
    <cellStyle name="Separador de milhares 2 2 2 4 2 4 3 2" xfId="12228" xr:uid="{00000000-0005-0000-0000-0000630B0000}"/>
    <cellStyle name="Separador de milhares 2 2 2 4 2 4 4" xfId="7944" xr:uid="{00000000-0005-0000-0000-0000640B0000}"/>
    <cellStyle name="Separador de milhares 2 2 2 4 2 5" xfId="2456" xr:uid="{00000000-0005-0000-0000-0000650B0000}"/>
    <cellStyle name="Separador de milhares 2 2 2 4 2 5 2" xfId="8972" xr:uid="{00000000-0005-0000-0000-0000660B0000}"/>
    <cellStyle name="Separador de milhares 2 2 2 4 2 6" xfId="4598" xr:uid="{00000000-0005-0000-0000-0000670B0000}"/>
    <cellStyle name="Separador de milhares 2 2 2 4 2 6 2" xfId="11112" xr:uid="{00000000-0005-0000-0000-0000680B0000}"/>
    <cellStyle name="Separador de milhares 2 2 2 4 2 7" xfId="6828" xr:uid="{00000000-0005-0000-0000-0000690B0000}"/>
    <cellStyle name="Separador de milhares 2 2 2 4 3" xfId="516" xr:uid="{00000000-0005-0000-0000-00006A0B0000}"/>
    <cellStyle name="Separador de milhares 2 2 2 4 3 2" xfId="1040" xr:uid="{00000000-0005-0000-0000-00006B0B0000}"/>
    <cellStyle name="Separador de milhares 2 2 2 4 3 2 2" xfId="2068" xr:uid="{00000000-0005-0000-0000-00006C0B0000}"/>
    <cellStyle name="Separador de milhares 2 2 2 4 3 2 2 2" xfId="4126" xr:uid="{00000000-0005-0000-0000-00006D0B0000}"/>
    <cellStyle name="Separador de milhares 2 2 2 4 3 2 2 2 2" xfId="10642" xr:uid="{00000000-0005-0000-0000-00006E0B0000}"/>
    <cellStyle name="Separador de milhares 2 2 2 4 3 2 2 3" xfId="6356" xr:uid="{00000000-0005-0000-0000-00006F0B0000}"/>
    <cellStyle name="Separador de milhares 2 2 2 4 3 2 2 3 2" xfId="12870" xr:uid="{00000000-0005-0000-0000-0000700B0000}"/>
    <cellStyle name="Separador de milhares 2 2 2 4 3 2 2 4" xfId="8586" xr:uid="{00000000-0005-0000-0000-0000710B0000}"/>
    <cellStyle name="Separador de milhares 2 2 2 4 3 2 3" xfId="3098" xr:uid="{00000000-0005-0000-0000-0000720B0000}"/>
    <cellStyle name="Separador de milhares 2 2 2 4 3 2 3 2" xfId="9614" xr:uid="{00000000-0005-0000-0000-0000730B0000}"/>
    <cellStyle name="Separador de milhares 2 2 2 4 3 2 4" xfId="5328" xr:uid="{00000000-0005-0000-0000-0000740B0000}"/>
    <cellStyle name="Separador de milhares 2 2 2 4 3 2 4 2" xfId="11842" xr:uid="{00000000-0005-0000-0000-0000750B0000}"/>
    <cellStyle name="Separador de milhares 2 2 2 4 3 2 5" xfId="7558" xr:uid="{00000000-0005-0000-0000-0000760B0000}"/>
    <cellStyle name="Separador de milhares 2 2 2 4 3 3" xfId="1554" xr:uid="{00000000-0005-0000-0000-0000770B0000}"/>
    <cellStyle name="Separador de milhares 2 2 2 4 3 3 2" xfId="3612" xr:uid="{00000000-0005-0000-0000-0000780B0000}"/>
    <cellStyle name="Separador de milhares 2 2 2 4 3 3 2 2" xfId="10128" xr:uid="{00000000-0005-0000-0000-0000790B0000}"/>
    <cellStyle name="Separador de milhares 2 2 2 4 3 3 3" xfId="5842" xr:uid="{00000000-0005-0000-0000-00007A0B0000}"/>
    <cellStyle name="Separador de milhares 2 2 2 4 3 3 3 2" xfId="12356" xr:uid="{00000000-0005-0000-0000-00007B0B0000}"/>
    <cellStyle name="Separador de milhares 2 2 2 4 3 3 4" xfId="8072" xr:uid="{00000000-0005-0000-0000-00007C0B0000}"/>
    <cellStyle name="Separador de milhares 2 2 2 4 3 4" xfId="2584" xr:uid="{00000000-0005-0000-0000-00007D0B0000}"/>
    <cellStyle name="Separador de milhares 2 2 2 4 3 4 2" xfId="9100" xr:uid="{00000000-0005-0000-0000-00007E0B0000}"/>
    <cellStyle name="Separador de milhares 2 2 2 4 3 5" xfId="4812" xr:uid="{00000000-0005-0000-0000-00007F0B0000}"/>
    <cellStyle name="Separador de milhares 2 2 2 4 3 5 2" xfId="11326" xr:uid="{00000000-0005-0000-0000-0000800B0000}"/>
    <cellStyle name="Separador de milhares 2 2 2 4 3 6" xfId="7042" xr:uid="{00000000-0005-0000-0000-0000810B0000}"/>
    <cellStyle name="Separador de milhares 2 2 2 4 4" xfId="784" xr:uid="{00000000-0005-0000-0000-0000820B0000}"/>
    <cellStyle name="Separador de milhares 2 2 2 4 4 2" xfId="1812" xr:uid="{00000000-0005-0000-0000-0000830B0000}"/>
    <cellStyle name="Separador de milhares 2 2 2 4 4 2 2" xfId="3870" xr:uid="{00000000-0005-0000-0000-0000840B0000}"/>
    <cellStyle name="Separador de milhares 2 2 2 4 4 2 2 2" xfId="10386" xr:uid="{00000000-0005-0000-0000-0000850B0000}"/>
    <cellStyle name="Separador de milhares 2 2 2 4 4 2 3" xfId="6100" xr:uid="{00000000-0005-0000-0000-0000860B0000}"/>
    <cellStyle name="Separador de milhares 2 2 2 4 4 2 3 2" xfId="12614" xr:uid="{00000000-0005-0000-0000-0000870B0000}"/>
    <cellStyle name="Separador de milhares 2 2 2 4 4 2 4" xfId="8330" xr:uid="{00000000-0005-0000-0000-0000880B0000}"/>
    <cellStyle name="Separador de milhares 2 2 2 4 4 3" xfId="2842" xr:uid="{00000000-0005-0000-0000-0000890B0000}"/>
    <cellStyle name="Separador de milhares 2 2 2 4 4 3 2" xfId="9358" xr:uid="{00000000-0005-0000-0000-00008A0B0000}"/>
    <cellStyle name="Separador de milhares 2 2 2 4 4 4" xfId="5072" xr:uid="{00000000-0005-0000-0000-00008B0B0000}"/>
    <cellStyle name="Separador de milhares 2 2 2 4 4 4 2" xfId="11586" xr:uid="{00000000-0005-0000-0000-00008C0B0000}"/>
    <cellStyle name="Separador de milhares 2 2 2 4 4 5" xfId="7302" xr:uid="{00000000-0005-0000-0000-00008D0B0000}"/>
    <cellStyle name="Separador de milhares 2 2 2 4 5" xfId="1298" xr:uid="{00000000-0005-0000-0000-00008E0B0000}"/>
    <cellStyle name="Separador de milhares 2 2 2 4 5 2" xfId="3356" xr:uid="{00000000-0005-0000-0000-00008F0B0000}"/>
    <cellStyle name="Separador de milhares 2 2 2 4 5 2 2" xfId="9872" xr:uid="{00000000-0005-0000-0000-0000900B0000}"/>
    <cellStyle name="Separador de milhares 2 2 2 4 5 3" xfId="5586" xr:uid="{00000000-0005-0000-0000-0000910B0000}"/>
    <cellStyle name="Separador de milhares 2 2 2 4 5 3 2" xfId="12100" xr:uid="{00000000-0005-0000-0000-0000920B0000}"/>
    <cellStyle name="Separador de milhares 2 2 2 4 5 4" xfId="7816" xr:uid="{00000000-0005-0000-0000-0000930B0000}"/>
    <cellStyle name="Separador de milhares 2 2 2 4 6" xfId="2328" xr:uid="{00000000-0005-0000-0000-0000940B0000}"/>
    <cellStyle name="Separador de milhares 2 2 2 4 6 2" xfId="8844" xr:uid="{00000000-0005-0000-0000-0000950B0000}"/>
    <cellStyle name="Separador de milhares 2 2 2 4 7" xfId="4470" xr:uid="{00000000-0005-0000-0000-0000960B0000}"/>
    <cellStyle name="Separador de milhares 2 2 2 4 7 2" xfId="10984" xr:uid="{00000000-0005-0000-0000-0000970B0000}"/>
    <cellStyle name="Separador de milhares 2 2 2 4 8" xfId="6700" xr:uid="{00000000-0005-0000-0000-0000980B0000}"/>
    <cellStyle name="Separador de milhares 2 2 2 5" xfId="237" xr:uid="{00000000-0005-0000-0000-0000990B0000}"/>
    <cellStyle name="Separador de milhares 2 2 2 5 2" xfId="580" xr:uid="{00000000-0005-0000-0000-00009A0B0000}"/>
    <cellStyle name="Separador de milhares 2 2 2 5 2 2" xfId="1104" xr:uid="{00000000-0005-0000-0000-00009B0B0000}"/>
    <cellStyle name="Separador de milhares 2 2 2 5 2 2 2" xfId="2132" xr:uid="{00000000-0005-0000-0000-00009C0B0000}"/>
    <cellStyle name="Separador de milhares 2 2 2 5 2 2 2 2" xfId="4190" xr:uid="{00000000-0005-0000-0000-00009D0B0000}"/>
    <cellStyle name="Separador de milhares 2 2 2 5 2 2 2 2 2" xfId="10706" xr:uid="{00000000-0005-0000-0000-00009E0B0000}"/>
    <cellStyle name="Separador de milhares 2 2 2 5 2 2 2 3" xfId="6420" xr:uid="{00000000-0005-0000-0000-00009F0B0000}"/>
    <cellStyle name="Separador de milhares 2 2 2 5 2 2 2 3 2" xfId="12934" xr:uid="{00000000-0005-0000-0000-0000A00B0000}"/>
    <cellStyle name="Separador de milhares 2 2 2 5 2 2 2 4" xfId="8650" xr:uid="{00000000-0005-0000-0000-0000A10B0000}"/>
    <cellStyle name="Separador de milhares 2 2 2 5 2 2 3" xfId="3162" xr:uid="{00000000-0005-0000-0000-0000A20B0000}"/>
    <cellStyle name="Separador de milhares 2 2 2 5 2 2 3 2" xfId="9678" xr:uid="{00000000-0005-0000-0000-0000A30B0000}"/>
    <cellStyle name="Separador de milhares 2 2 2 5 2 2 4" xfId="5392" xr:uid="{00000000-0005-0000-0000-0000A40B0000}"/>
    <cellStyle name="Separador de milhares 2 2 2 5 2 2 4 2" xfId="11906" xr:uid="{00000000-0005-0000-0000-0000A50B0000}"/>
    <cellStyle name="Separador de milhares 2 2 2 5 2 2 5" xfId="7622" xr:uid="{00000000-0005-0000-0000-0000A60B0000}"/>
    <cellStyle name="Separador de milhares 2 2 2 5 2 3" xfId="1618" xr:uid="{00000000-0005-0000-0000-0000A70B0000}"/>
    <cellStyle name="Separador de milhares 2 2 2 5 2 3 2" xfId="3676" xr:uid="{00000000-0005-0000-0000-0000A80B0000}"/>
    <cellStyle name="Separador de milhares 2 2 2 5 2 3 2 2" xfId="10192" xr:uid="{00000000-0005-0000-0000-0000A90B0000}"/>
    <cellStyle name="Separador de milhares 2 2 2 5 2 3 3" xfId="5906" xr:uid="{00000000-0005-0000-0000-0000AA0B0000}"/>
    <cellStyle name="Separador de milhares 2 2 2 5 2 3 3 2" xfId="12420" xr:uid="{00000000-0005-0000-0000-0000AB0B0000}"/>
    <cellStyle name="Separador de milhares 2 2 2 5 2 3 4" xfId="8136" xr:uid="{00000000-0005-0000-0000-0000AC0B0000}"/>
    <cellStyle name="Separador de milhares 2 2 2 5 2 4" xfId="2648" xr:uid="{00000000-0005-0000-0000-0000AD0B0000}"/>
    <cellStyle name="Separador de milhares 2 2 2 5 2 4 2" xfId="9164" xr:uid="{00000000-0005-0000-0000-0000AE0B0000}"/>
    <cellStyle name="Separador de milhares 2 2 2 5 2 5" xfId="4876" xr:uid="{00000000-0005-0000-0000-0000AF0B0000}"/>
    <cellStyle name="Separador de milhares 2 2 2 5 2 5 2" xfId="11390" xr:uid="{00000000-0005-0000-0000-0000B00B0000}"/>
    <cellStyle name="Separador de milhares 2 2 2 5 2 6" xfId="7106" xr:uid="{00000000-0005-0000-0000-0000B10B0000}"/>
    <cellStyle name="Separador de milhares 2 2 2 5 3" xfId="848" xr:uid="{00000000-0005-0000-0000-0000B20B0000}"/>
    <cellStyle name="Separador de milhares 2 2 2 5 3 2" xfId="1876" xr:uid="{00000000-0005-0000-0000-0000B30B0000}"/>
    <cellStyle name="Separador de milhares 2 2 2 5 3 2 2" xfId="3934" xr:uid="{00000000-0005-0000-0000-0000B40B0000}"/>
    <cellStyle name="Separador de milhares 2 2 2 5 3 2 2 2" xfId="10450" xr:uid="{00000000-0005-0000-0000-0000B50B0000}"/>
    <cellStyle name="Separador de milhares 2 2 2 5 3 2 3" xfId="6164" xr:uid="{00000000-0005-0000-0000-0000B60B0000}"/>
    <cellStyle name="Separador de milhares 2 2 2 5 3 2 3 2" xfId="12678" xr:uid="{00000000-0005-0000-0000-0000B70B0000}"/>
    <cellStyle name="Separador de milhares 2 2 2 5 3 2 4" xfId="8394" xr:uid="{00000000-0005-0000-0000-0000B80B0000}"/>
    <cellStyle name="Separador de milhares 2 2 2 5 3 3" xfId="2906" xr:uid="{00000000-0005-0000-0000-0000B90B0000}"/>
    <cellStyle name="Separador de milhares 2 2 2 5 3 3 2" xfId="9422" xr:uid="{00000000-0005-0000-0000-0000BA0B0000}"/>
    <cellStyle name="Separador de milhares 2 2 2 5 3 4" xfId="5136" xr:uid="{00000000-0005-0000-0000-0000BB0B0000}"/>
    <cellStyle name="Separador de milhares 2 2 2 5 3 4 2" xfId="11650" xr:uid="{00000000-0005-0000-0000-0000BC0B0000}"/>
    <cellStyle name="Separador de milhares 2 2 2 5 3 5" xfId="7366" xr:uid="{00000000-0005-0000-0000-0000BD0B0000}"/>
    <cellStyle name="Separador de milhares 2 2 2 5 4" xfId="1362" xr:uid="{00000000-0005-0000-0000-0000BE0B0000}"/>
    <cellStyle name="Separador de milhares 2 2 2 5 4 2" xfId="3420" xr:uid="{00000000-0005-0000-0000-0000BF0B0000}"/>
    <cellStyle name="Separador de milhares 2 2 2 5 4 2 2" xfId="9936" xr:uid="{00000000-0005-0000-0000-0000C00B0000}"/>
    <cellStyle name="Separador de milhares 2 2 2 5 4 3" xfId="5650" xr:uid="{00000000-0005-0000-0000-0000C10B0000}"/>
    <cellStyle name="Separador de milhares 2 2 2 5 4 3 2" xfId="12164" xr:uid="{00000000-0005-0000-0000-0000C20B0000}"/>
    <cellStyle name="Separador de milhares 2 2 2 5 4 4" xfId="7880" xr:uid="{00000000-0005-0000-0000-0000C30B0000}"/>
    <cellStyle name="Separador de milhares 2 2 2 5 5" xfId="2392" xr:uid="{00000000-0005-0000-0000-0000C40B0000}"/>
    <cellStyle name="Separador de milhares 2 2 2 5 5 2" xfId="8908" xr:uid="{00000000-0005-0000-0000-0000C50B0000}"/>
    <cellStyle name="Separador de milhares 2 2 2 5 6" xfId="4534" xr:uid="{00000000-0005-0000-0000-0000C60B0000}"/>
    <cellStyle name="Separador de milhares 2 2 2 5 6 2" xfId="11048" xr:uid="{00000000-0005-0000-0000-0000C70B0000}"/>
    <cellStyle name="Separador de milhares 2 2 2 5 7" xfId="6764" xr:uid="{00000000-0005-0000-0000-0000C80B0000}"/>
    <cellStyle name="Separador de milhares 2 2 2 6" xfId="380" xr:uid="{00000000-0005-0000-0000-0000C90B0000}"/>
    <cellStyle name="Separador de milhares 2 2 2 6 2" xfId="976" xr:uid="{00000000-0005-0000-0000-0000CA0B0000}"/>
    <cellStyle name="Separador de milhares 2 2 2 6 2 2" xfId="2004" xr:uid="{00000000-0005-0000-0000-0000CB0B0000}"/>
    <cellStyle name="Separador de milhares 2 2 2 6 2 2 2" xfId="4062" xr:uid="{00000000-0005-0000-0000-0000CC0B0000}"/>
    <cellStyle name="Separador de milhares 2 2 2 6 2 2 2 2" xfId="10578" xr:uid="{00000000-0005-0000-0000-0000CD0B0000}"/>
    <cellStyle name="Separador de milhares 2 2 2 6 2 2 3" xfId="6292" xr:uid="{00000000-0005-0000-0000-0000CE0B0000}"/>
    <cellStyle name="Separador de milhares 2 2 2 6 2 2 3 2" xfId="12806" xr:uid="{00000000-0005-0000-0000-0000CF0B0000}"/>
    <cellStyle name="Separador de milhares 2 2 2 6 2 2 4" xfId="8522" xr:uid="{00000000-0005-0000-0000-0000D00B0000}"/>
    <cellStyle name="Separador de milhares 2 2 2 6 2 3" xfId="3034" xr:uid="{00000000-0005-0000-0000-0000D10B0000}"/>
    <cellStyle name="Separador de milhares 2 2 2 6 2 3 2" xfId="9550" xr:uid="{00000000-0005-0000-0000-0000D20B0000}"/>
    <cellStyle name="Separador de milhares 2 2 2 6 2 4" xfId="5264" xr:uid="{00000000-0005-0000-0000-0000D30B0000}"/>
    <cellStyle name="Separador de milhares 2 2 2 6 2 4 2" xfId="11778" xr:uid="{00000000-0005-0000-0000-0000D40B0000}"/>
    <cellStyle name="Separador de milhares 2 2 2 6 2 5" xfId="7494" xr:uid="{00000000-0005-0000-0000-0000D50B0000}"/>
    <cellStyle name="Separador de milhares 2 2 2 6 3" xfId="1490" xr:uid="{00000000-0005-0000-0000-0000D60B0000}"/>
    <cellStyle name="Separador de milhares 2 2 2 6 3 2" xfId="3548" xr:uid="{00000000-0005-0000-0000-0000D70B0000}"/>
    <cellStyle name="Separador de milhares 2 2 2 6 3 2 2" xfId="10064" xr:uid="{00000000-0005-0000-0000-0000D80B0000}"/>
    <cellStyle name="Separador de milhares 2 2 2 6 3 3" xfId="5778" xr:uid="{00000000-0005-0000-0000-0000D90B0000}"/>
    <cellStyle name="Separador de milhares 2 2 2 6 3 3 2" xfId="12292" xr:uid="{00000000-0005-0000-0000-0000DA0B0000}"/>
    <cellStyle name="Separador de milhares 2 2 2 6 3 4" xfId="8008" xr:uid="{00000000-0005-0000-0000-0000DB0B0000}"/>
    <cellStyle name="Separador de milhares 2 2 2 6 4" xfId="2520" xr:uid="{00000000-0005-0000-0000-0000DC0B0000}"/>
    <cellStyle name="Separador de milhares 2 2 2 6 4 2" xfId="9036" xr:uid="{00000000-0005-0000-0000-0000DD0B0000}"/>
    <cellStyle name="Separador de milhares 2 2 2 6 5" xfId="4676" xr:uid="{00000000-0005-0000-0000-0000DE0B0000}"/>
    <cellStyle name="Separador de milhares 2 2 2 6 5 2" xfId="11190" xr:uid="{00000000-0005-0000-0000-0000DF0B0000}"/>
    <cellStyle name="Separador de milhares 2 2 2 6 6" xfId="6906" xr:uid="{00000000-0005-0000-0000-0000E00B0000}"/>
    <cellStyle name="Separador de milhares 2 2 2 7" xfId="720" xr:uid="{00000000-0005-0000-0000-0000E10B0000}"/>
    <cellStyle name="Separador de milhares 2 2 2 7 2" xfId="1748" xr:uid="{00000000-0005-0000-0000-0000E20B0000}"/>
    <cellStyle name="Separador de milhares 2 2 2 7 2 2" xfId="3806" xr:uid="{00000000-0005-0000-0000-0000E30B0000}"/>
    <cellStyle name="Separador de milhares 2 2 2 7 2 2 2" xfId="10322" xr:uid="{00000000-0005-0000-0000-0000E40B0000}"/>
    <cellStyle name="Separador de milhares 2 2 2 7 2 3" xfId="6036" xr:uid="{00000000-0005-0000-0000-0000E50B0000}"/>
    <cellStyle name="Separador de milhares 2 2 2 7 2 3 2" xfId="12550" xr:uid="{00000000-0005-0000-0000-0000E60B0000}"/>
    <cellStyle name="Separador de milhares 2 2 2 7 2 4" xfId="8266" xr:uid="{00000000-0005-0000-0000-0000E70B0000}"/>
    <cellStyle name="Separador de milhares 2 2 2 7 3" xfId="2778" xr:uid="{00000000-0005-0000-0000-0000E80B0000}"/>
    <cellStyle name="Separador de milhares 2 2 2 7 3 2" xfId="9294" xr:uid="{00000000-0005-0000-0000-0000E90B0000}"/>
    <cellStyle name="Separador de milhares 2 2 2 7 4" xfId="5008" xr:uid="{00000000-0005-0000-0000-0000EA0B0000}"/>
    <cellStyle name="Separador de milhares 2 2 2 7 4 2" xfId="11522" xr:uid="{00000000-0005-0000-0000-0000EB0B0000}"/>
    <cellStyle name="Separador de milhares 2 2 2 7 5" xfId="7238" xr:uid="{00000000-0005-0000-0000-0000EC0B0000}"/>
    <cellStyle name="Separador de milhares 2 2 2 8" xfId="1234" xr:uid="{00000000-0005-0000-0000-0000ED0B0000}"/>
    <cellStyle name="Separador de milhares 2 2 2 8 2" xfId="3292" xr:uid="{00000000-0005-0000-0000-0000EE0B0000}"/>
    <cellStyle name="Separador de milhares 2 2 2 8 2 2" xfId="9808" xr:uid="{00000000-0005-0000-0000-0000EF0B0000}"/>
    <cellStyle name="Separador de milhares 2 2 2 8 3" xfId="5522" xr:uid="{00000000-0005-0000-0000-0000F00B0000}"/>
    <cellStyle name="Separador de milhares 2 2 2 8 3 2" xfId="12036" xr:uid="{00000000-0005-0000-0000-0000F10B0000}"/>
    <cellStyle name="Separador de milhares 2 2 2 8 4" xfId="7752" xr:uid="{00000000-0005-0000-0000-0000F20B0000}"/>
    <cellStyle name="Separador de milhares 2 2 2 9" xfId="2264" xr:uid="{00000000-0005-0000-0000-0000F30B0000}"/>
    <cellStyle name="Separador de milhares 2 2 2 9 2" xfId="8780" xr:uid="{00000000-0005-0000-0000-0000F40B0000}"/>
    <cellStyle name="Separador de milhares 2 2 3" xfId="64" xr:uid="{00000000-0005-0000-0000-0000F50B0000}"/>
    <cellStyle name="Separador de milhares 2 2 3 10" xfId="6591" xr:uid="{00000000-0005-0000-0000-0000F60B0000}"/>
    <cellStyle name="Separador de milhares 2 2 3 2" xfId="138" xr:uid="{00000000-0005-0000-0000-0000F70B0000}"/>
    <cellStyle name="Separador de milhares 2 2 3 2 2" xfId="215" xr:uid="{00000000-0005-0000-0000-0000F80B0000}"/>
    <cellStyle name="Separador de milhares 2 2 3 2 2 2" xfId="343" xr:uid="{00000000-0005-0000-0000-0000F90B0000}"/>
    <cellStyle name="Separador de milhares 2 2 3 2 2 2 2" xfId="686" xr:uid="{00000000-0005-0000-0000-0000FA0B0000}"/>
    <cellStyle name="Separador de milhares 2 2 3 2 2 2 2 2" xfId="1210" xr:uid="{00000000-0005-0000-0000-0000FB0B0000}"/>
    <cellStyle name="Separador de milhares 2 2 3 2 2 2 2 2 2" xfId="2238" xr:uid="{00000000-0005-0000-0000-0000FC0B0000}"/>
    <cellStyle name="Separador de milhares 2 2 3 2 2 2 2 2 2 2" xfId="4296" xr:uid="{00000000-0005-0000-0000-0000FD0B0000}"/>
    <cellStyle name="Separador de milhares 2 2 3 2 2 2 2 2 2 2 2" xfId="10812" xr:uid="{00000000-0005-0000-0000-0000FE0B0000}"/>
    <cellStyle name="Separador de milhares 2 2 3 2 2 2 2 2 2 3" xfId="6526" xr:uid="{00000000-0005-0000-0000-0000FF0B0000}"/>
    <cellStyle name="Separador de milhares 2 2 3 2 2 2 2 2 2 3 2" xfId="13040" xr:uid="{00000000-0005-0000-0000-0000000C0000}"/>
    <cellStyle name="Separador de milhares 2 2 3 2 2 2 2 2 2 4" xfId="8756" xr:uid="{00000000-0005-0000-0000-0000010C0000}"/>
    <cellStyle name="Separador de milhares 2 2 3 2 2 2 2 2 3" xfId="3268" xr:uid="{00000000-0005-0000-0000-0000020C0000}"/>
    <cellStyle name="Separador de milhares 2 2 3 2 2 2 2 2 3 2" xfId="9784" xr:uid="{00000000-0005-0000-0000-0000030C0000}"/>
    <cellStyle name="Separador de milhares 2 2 3 2 2 2 2 2 4" xfId="5498" xr:uid="{00000000-0005-0000-0000-0000040C0000}"/>
    <cellStyle name="Separador de milhares 2 2 3 2 2 2 2 2 4 2" xfId="12012" xr:uid="{00000000-0005-0000-0000-0000050C0000}"/>
    <cellStyle name="Separador de milhares 2 2 3 2 2 2 2 2 5" xfId="7728" xr:uid="{00000000-0005-0000-0000-0000060C0000}"/>
    <cellStyle name="Separador de milhares 2 2 3 2 2 2 2 3" xfId="1724" xr:uid="{00000000-0005-0000-0000-0000070C0000}"/>
    <cellStyle name="Separador de milhares 2 2 3 2 2 2 2 3 2" xfId="3782" xr:uid="{00000000-0005-0000-0000-0000080C0000}"/>
    <cellStyle name="Separador de milhares 2 2 3 2 2 2 2 3 2 2" xfId="10298" xr:uid="{00000000-0005-0000-0000-0000090C0000}"/>
    <cellStyle name="Separador de milhares 2 2 3 2 2 2 2 3 3" xfId="6012" xr:uid="{00000000-0005-0000-0000-00000A0C0000}"/>
    <cellStyle name="Separador de milhares 2 2 3 2 2 2 2 3 3 2" xfId="12526" xr:uid="{00000000-0005-0000-0000-00000B0C0000}"/>
    <cellStyle name="Separador de milhares 2 2 3 2 2 2 2 3 4" xfId="8242" xr:uid="{00000000-0005-0000-0000-00000C0C0000}"/>
    <cellStyle name="Separador de milhares 2 2 3 2 2 2 2 4" xfId="2754" xr:uid="{00000000-0005-0000-0000-00000D0C0000}"/>
    <cellStyle name="Separador de milhares 2 2 3 2 2 2 2 4 2" xfId="9270" xr:uid="{00000000-0005-0000-0000-00000E0C0000}"/>
    <cellStyle name="Separador de milhares 2 2 3 2 2 2 2 5" xfId="4982" xr:uid="{00000000-0005-0000-0000-00000F0C0000}"/>
    <cellStyle name="Separador de milhares 2 2 3 2 2 2 2 5 2" xfId="11496" xr:uid="{00000000-0005-0000-0000-0000100C0000}"/>
    <cellStyle name="Separador de milhares 2 2 3 2 2 2 2 6" xfId="7212" xr:uid="{00000000-0005-0000-0000-0000110C0000}"/>
    <cellStyle name="Separador de milhares 2 2 3 2 2 2 3" xfId="954" xr:uid="{00000000-0005-0000-0000-0000120C0000}"/>
    <cellStyle name="Separador de milhares 2 2 3 2 2 2 3 2" xfId="1982" xr:uid="{00000000-0005-0000-0000-0000130C0000}"/>
    <cellStyle name="Separador de milhares 2 2 3 2 2 2 3 2 2" xfId="4040" xr:uid="{00000000-0005-0000-0000-0000140C0000}"/>
    <cellStyle name="Separador de milhares 2 2 3 2 2 2 3 2 2 2" xfId="10556" xr:uid="{00000000-0005-0000-0000-0000150C0000}"/>
    <cellStyle name="Separador de milhares 2 2 3 2 2 2 3 2 3" xfId="6270" xr:uid="{00000000-0005-0000-0000-0000160C0000}"/>
    <cellStyle name="Separador de milhares 2 2 3 2 2 2 3 2 3 2" xfId="12784" xr:uid="{00000000-0005-0000-0000-0000170C0000}"/>
    <cellStyle name="Separador de milhares 2 2 3 2 2 2 3 2 4" xfId="8500" xr:uid="{00000000-0005-0000-0000-0000180C0000}"/>
    <cellStyle name="Separador de milhares 2 2 3 2 2 2 3 3" xfId="3012" xr:uid="{00000000-0005-0000-0000-0000190C0000}"/>
    <cellStyle name="Separador de milhares 2 2 3 2 2 2 3 3 2" xfId="9528" xr:uid="{00000000-0005-0000-0000-00001A0C0000}"/>
    <cellStyle name="Separador de milhares 2 2 3 2 2 2 3 4" xfId="5242" xr:uid="{00000000-0005-0000-0000-00001B0C0000}"/>
    <cellStyle name="Separador de milhares 2 2 3 2 2 2 3 4 2" xfId="11756" xr:uid="{00000000-0005-0000-0000-00001C0C0000}"/>
    <cellStyle name="Separador de milhares 2 2 3 2 2 2 3 5" xfId="7472" xr:uid="{00000000-0005-0000-0000-00001D0C0000}"/>
    <cellStyle name="Separador de milhares 2 2 3 2 2 2 4" xfId="1468" xr:uid="{00000000-0005-0000-0000-00001E0C0000}"/>
    <cellStyle name="Separador de milhares 2 2 3 2 2 2 4 2" xfId="3526" xr:uid="{00000000-0005-0000-0000-00001F0C0000}"/>
    <cellStyle name="Separador de milhares 2 2 3 2 2 2 4 2 2" xfId="10042" xr:uid="{00000000-0005-0000-0000-0000200C0000}"/>
    <cellStyle name="Separador de milhares 2 2 3 2 2 2 4 3" xfId="5756" xr:uid="{00000000-0005-0000-0000-0000210C0000}"/>
    <cellStyle name="Separador de milhares 2 2 3 2 2 2 4 3 2" xfId="12270" xr:uid="{00000000-0005-0000-0000-0000220C0000}"/>
    <cellStyle name="Separador de milhares 2 2 3 2 2 2 4 4" xfId="7986" xr:uid="{00000000-0005-0000-0000-0000230C0000}"/>
    <cellStyle name="Separador de milhares 2 2 3 2 2 2 5" xfId="2498" xr:uid="{00000000-0005-0000-0000-0000240C0000}"/>
    <cellStyle name="Separador de milhares 2 2 3 2 2 2 5 2" xfId="9014" xr:uid="{00000000-0005-0000-0000-0000250C0000}"/>
    <cellStyle name="Separador de milhares 2 2 3 2 2 2 6" xfId="4640" xr:uid="{00000000-0005-0000-0000-0000260C0000}"/>
    <cellStyle name="Separador de milhares 2 2 3 2 2 2 6 2" xfId="11154" xr:uid="{00000000-0005-0000-0000-0000270C0000}"/>
    <cellStyle name="Separador de milhares 2 2 3 2 2 2 7" xfId="6870" xr:uid="{00000000-0005-0000-0000-0000280C0000}"/>
    <cellStyle name="Separador de milhares 2 2 3 2 2 3" xfId="558" xr:uid="{00000000-0005-0000-0000-0000290C0000}"/>
    <cellStyle name="Separador de milhares 2 2 3 2 2 3 2" xfId="1082" xr:uid="{00000000-0005-0000-0000-00002A0C0000}"/>
    <cellStyle name="Separador de milhares 2 2 3 2 2 3 2 2" xfId="2110" xr:uid="{00000000-0005-0000-0000-00002B0C0000}"/>
    <cellStyle name="Separador de milhares 2 2 3 2 2 3 2 2 2" xfId="4168" xr:uid="{00000000-0005-0000-0000-00002C0C0000}"/>
    <cellStyle name="Separador de milhares 2 2 3 2 2 3 2 2 2 2" xfId="10684" xr:uid="{00000000-0005-0000-0000-00002D0C0000}"/>
    <cellStyle name="Separador de milhares 2 2 3 2 2 3 2 2 3" xfId="6398" xr:uid="{00000000-0005-0000-0000-00002E0C0000}"/>
    <cellStyle name="Separador de milhares 2 2 3 2 2 3 2 2 3 2" xfId="12912" xr:uid="{00000000-0005-0000-0000-00002F0C0000}"/>
    <cellStyle name="Separador de milhares 2 2 3 2 2 3 2 2 4" xfId="8628" xr:uid="{00000000-0005-0000-0000-0000300C0000}"/>
    <cellStyle name="Separador de milhares 2 2 3 2 2 3 2 3" xfId="3140" xr:uid="{00000000-0005-0000-0000-0000310C0000}"/>
    <cellStyle name="Separador de milhares 2 2 3 2 2 3 2 3 2" xfId="9656" xr:uid="{00000000-0005-0000-0000-0000320C0000}"/>
    <cellStyle name="Separador de milhares 2 2 3 2 2 3 2 4" xfId="5370" xr:uid="{00000000-0005-0000-0000-0000330C0000}"/>
    <cellStyle name="Separador de milhares 2 2 3 2 2 3 2 4 2" xfId="11884" xr:uid="{00000000-0005-0000-0000-0000340C0000}"/>
    <cellStyle name="Separador de milhares 2 2 3 2 2 3 2 5" xfId="7600" xr:uid="{00000000-0005-0000-0000-0000350C0000}"/>
    <cellStyle name="Separador de milhares 2 2 3 2 2 3 3" xfId="1596" xr:uid="{00000000-0005-0000-0000-0000360C0000}"/>
    <cellStyle name="Separador de milhares 2 2 3 2 2 3 3 2" xfId="3654" xr:uid="{00000000-0005-0000-0000-0000370C0000}"/>
    <cellStyle name="Separador de milhares 2 2 3 2 2 3 3 2 2" xfId="10170" xr:uid="{00000000-0005-0000-0000-0000380C0000}"/>
    <cellStyle name="Separador de milhares 2 2 3 2 2 3 3 3" xfId="5884" xr:uid="{00000000-0005-0000-0000-0000390C0000}"/>
    <cellStyle name="Separador de milhares 2 2 3 2 2 3 3 3 2" xfId="12398" xr:uid="{00000000-0005-0000-0000-00003A0C0000}"/>
    <cellStyle name="Separador de milhares 2 2 3 2 2 3 3 4" xfId="8114" xr:uid="{00000000-0005-0000-0000-00003B0C0000}"/>
    <cellStyle name="Separador de milhares 2 2 3 2 2 3 4" xfId="2626" xr:uid="{00000000-0005-0000-0000-00003C0C0000}"/>
    <cellStyle name="Separador de milhares 2 2 3 2 2 3 4 2" xfId="9142" xr:uid="{00000000-0005-0000-0000-00003D0C0000}"/>
    <cellStyle name="Separador de milhares 2 2 3 2 2 3 5" xfId="4854" xr:uid="{00000000-0005-0000-0000-00003E0C0000}"/>
    <cellStyle name="Separador de milhares 2 2 3 2 2 3 5 2" xfId="11368" xr:uid="{00000000-0005-0000-0000-00003F0C0000}"/>
    <cellStyle name="Separador de milhares 2 2 3 2 2 3 6" xfId="7084" xr:uid="{00000000-0005-0000-0000-0000400C0000}"/>
    <cellStyle name="Separador de milhares 2 2 3 2 2 4" xfId="826" xr:uid="{00000000-0005-0000-0000-0000410C0000}"/>
    <cellStyle name="Separador de milhares 2 2 3 2 2 4 2" xfId="1854" xr:uid="{00000000-0005-0000-0000-0000420C0000}"/>
    <cellStyle name="Separador de milhares 2 2 3 2 2 4 2 2" xfId="3912" xr:uid="{00000000-0005-0000-0000-0000430C0000}"/>
    <cellStyle name="Separador de milhares 2 2 3 2 2 4 2 2 2" xfId="10428" xr:uid="{00000000-0005-0000-0000-0000440C0000}"/>
    <cellStyle name="Separador de milhares 2 2 3 2 2 4 2 3" xfId="6142" xr:uid="{00000000-0005-0000-0000-0000450C0000}"/>
    <cellStyle name="Separador de milhares 2 2 3 2 2 4 2 3 2" xfId="12656" xr:uid="{00000000-0005-0000-0000-0000460C0000}"/>
    <cellStyle name="Separador de milhares 2 2 3 2 2 4 2 4" xfId="8372" xr:uid="{00000000-0005-0000-0000-0000470C0000}"/>
    <cellStyle name="Separador de milhares 2 2 3 2 2 4 3" xfId="2884" xr:uid="{00000000-0005-0000-0000-0000480C0000}"/>
    <cellStyle name="Separador de milhares 2 2 3 2 2 4 3 2" xfId="9400" xr:uid="{00000000-0005-0000-0000-0000490C0000}"/>
    <cellStyle name="Separador de milhares 2 2 3 2 2 4 4" xfId="5114" xr:uid="{00000000-0005-0000-0000-00004A0C0000}"/>
    <cellStyle name="Separador de milhares 2 2 3 2 2 4 4 2" xfId="11628" xr:uid="{00000000-0005-0000-0000-00004B0C0000}"/>
    <cellStyle name="Separador de milhares 2 2 3 2 2 4 5" xfId="7344" xr:uid="{00000000-0005-0000-0000-00004C0C0000}"/>
    <cellStyle name="Separador de milhares 2 2 3 2 2 5" xfId="1340" xr:uid="{00000000-0005-0000-0000-00004D0C0000}"/>
    <cellStyle name="Separador de milhares 2 2 3 2 2 5 2" xfId="3398" xr:uid="{00000000-0005-0000-0000-00004E0C0000}"/>
    <cellStyle name="Separador de milhares 2 2 3 2 2 5 2 2" xfId="9914" xr:uid="{00000000-0005-0000-0000-00004F0C0000}"/>
    <cellStyle name="Separador de milhares 2 2 3 2 2 5 3" xfId="5628" xr:uid="{00000000-0005-0000-0000-0000500C0000}"/>
    <cellStyle name="Separador de milhares 2 2 3 2 2 5 3 2" xfId="12142" xr:uid="{00000000-0005-0000-0000-0000510C0000}"/>
    <cellStyle name="Separador de milhares 2 2 3 2 2 5 4" xfId="7858" xr:uid="{00000000-0005-0000-0000-0000520C0000}"/>
    <cellStyle name="Separador de milhares 2 2 3 2 2 6" xfId="2370" xr:uid="{00000000-0005-0000-0000-0000530C0000}"/>
    <cellStyle name="Separador de milhares 2 2 3 2 2 6 2" xfId="8886" xr:uid="{00000000-0005-0000-0000-0000540C0000}"/>
    <cellStyle name="Separador de milhares 2 2 3 2 2 7" xfId="4512" xr:uid="{00000000-0005-0000-0000-0000550C0000}"/>
    <cellStyle name="Separador de milhares 2 2 3 2 2 7 2" xfId="11026" xr:uid="{00000000-0005-0000-0000-0000560C0000}"/>
    <cellStyle name="Separador de milhares 2 2 3 2 2 8" xfId="6742" xr:uid="{00000000-0005-0000-0000-0000570C0000}"/>
    <cellStyle name="Separador de milhares 2 2 3 2 3" xfId="279" xr:uid="{00000000-0005-0000-0000-0000580C0000}"/>
    <cellStyle name="Separador de milhares 2 2 3 2 3 2" xfId="622" xr:uid="{00000000-0005-0000-0000-0000590C0000}"/>
    <cellStyle name="Separador de milhares 2 2 3 2 3 2 2" xfId="1146" xr:uid="{00000000-0005-0000-0000-00005A0C0000}"/>
    <cellStyle name="Separador de milhares 2 2 3 2 3 2 2 2" xfId="2174" xr:uid="{00000000-0005-0000-0000-00005B0C0000}"/>
    <cellStyle name="Separador de milhares 2 2 3 2 3 2 2 2 2" xfId="4232" xr:uid="{00000000-0005-0000-0000-00005C0C0000}"/>
    <cellStyle name="Separador de milhares 2 2 3 2 3 2 2 2 2 2" xfId="10748" xr:uid="{00000000-0005-0000-0000-00005D0C0000}"/>
    <cellStyle name="Separador de milhares 2 2 3 2 3 2 2 2 3" xfId="6462" xr:uid="{00000000-0005-0000-0000-00005E0C0000}"/>
    <cellStyle name="Separador de milhares 2 2 3 2 3 2 2 2 3 2" xfId="12976" xr:uid="{00000000-0005-0000-0000-00005F0C0000}"/>
    <cellStyle name="Separador de milhares 2 2 3 2 3 2 2 2 4" xfId="8692" xr:uid="{00000000-0005-0000-0000-0000600C0000}"/>
    <cellStyle name="Separador de milhares 2 2 3 2 3 2 2 3" xfId="3204" xr:uid="{00000000-0005-0000-0000-0000610C0000}"/>
    <cellStyle name="Separador de milhares 2 2 3 2 3 2 2 3 2" xfId="9720" xr:uid="{00000000-0005-0000-0000-0000620C0000}"/>
    <cellStyle name="Separador de milhares 2 2 3 2 3 2 2 4" xfId="5434" xr:uid="{00000000-0005-0000-0000-0000630C0000}"/>
    <cellStyle name="Separador de milhares 2 2 3 2 3 2 2 4 2" xfId="11948" xr:uid="{00000000-0005-0000-0000-0000640C0000}"/>
    <cellStyle name="Separador de milhares 2 2 3 2 3 2 2 5" xfId="7664" xr:uid="{00000000-0005-0000-0000-0000650C0000}"/>
    <cellStyle name="Separador de milhares 2 2 3 2 3 2 3" xfId="1660" xr:uid="{00000000-0005-0000-0000-0000660C0000}"/>
    <cellStyle name="Separador de milhares 2 2 3 2 3 2 3 2" xfId="3718" xr:uid="{00000000-0005-0000-0000-0000670C0000}"/>
    <cellStyle name="Separador de milhares 2 2 3 2 3 2 3 2 2" xfId="10234" xr:uid="{00000000-0005-0000-0000-0000680C0000}"/>
    <cellStyle name="Separador de milhares 2 2 3 2 3 2 3 3" xfId="5948" xr:uid="{00000000-0005-0000-0000-0000690C0000}"/>
    <cellStyle name="Separador de milhares 2 2 3 2 3 2 3 3 2" xfId="12462" xr:uid="{00000000-0005-0000-0000-00006A0C0000}"/>
    <cellStyle name="Separador de milhares 2 2 3 2 3 2 3 4" xfId="8178" xr:uid="{00000000-0005-0000-0000-00006B0C0000}"/>
    <cellStyle name="Separador de milhares 2 2 3 2 3 2 4" xfId="2690" xr:uid="{00000000-0005-0000-0000-00006C0C0000}"/>
    <cellStyle name="Separador de milhares 2 2 3 2 3 2 4 2" xfId="9206" xr:uid="{00000000-0005-0000-0000-00006D0C0000}"/>
    <cellStyle name="Separador de milhares 2 2 3 2 3 2 5" xfId="4918" xr:uid="{00000000-0005-0000-0000-00006E0C0000}"/>
    <cellStyle name="Separador de milhares 2 2 3 2 3 2 5 2" xfId="11432" xr:uid="{00000000-0005-0000-0000-00006F0C0000}"/>
    <cellStyle name="Separador de milhares 2 2 3 2 3 2 6" xfId="7148" xr:uid="{00000000-0005-0000-0000-0000700C0000}"/>
    <cellStyle name="Separador de milhares 2 2 3 2 3 3" xfId="890" xr:uid="{00000000-0005-0000-0000-0000710C0000}"/>
    <cellStyle name="Separador de milhares 2 2 3 2 3 3 2" xfId="1918" xr:uid="{00000000-0005-0000-0000-0000720C0000}"/>
    <cellStyle name="Separador de milhares 2 2 3 2 3 3 2 2" xfId="3976" xr:uid="{00000000-0005-0000-0000-0000730C0000}"/>
    <cellStyle name="Separador de milhares 2 2 3 2 3 3 2 2 2" xfId="10492" xr:uid="{00000000-0005-0000-0000-0000740C0000}"/>
    <cellStyle name="Separador de milhares 2 2 3 2 3 3 2 3" xfId="6206" xr:uid="{00000000-0005-0000-0000-0000750C0000}"/>
    <cellStyle name="Separador de milhares 2 2 3 2 3 3 2 3 2" xfId="12720" xr:uid="{00000000-0005-0000-0000-0000760C0000}"/>
    <cellStyle name="Separador de milhares 2 2 3 2 3 3 2 4" xfId="8436" xr:uid="{00000000-0005-0000-0000-0000770C0000}"/>
    <cellStyle name="Separador de milhares 2 2 3 2 3 3 3" xfId="2948" xr:uid="{00000000-0005-0000-0000-0000780C0000}"/>
    <cellStyle name="Separador de milhares 2 2 3 2 3 3 3 2" xfId="9464" xr:uid="{00000000-0005-0000-0000-0000790C0000}"/>
    <cellStyle name="Separador de milhares 2 2 3 2 3 3 4" xfId="5178" xr:uid="{00000000-0005-0000-0000-00007A0C0000}"/>
    <cellStyle name="Separador de milhares 2 2 3 2 3 3 4 2" xfId="11692" xr:uid="{00000000-0005-0000-0000-00007B0C0000}"/>
    <cellStyle name="Separador de milhares 2 2 3 2 3 3 5" xfId="7408" xr:uid="{00000000-0005-0000-0000-00007C0C0000}"/>
    <cellStyle name="Separador de milhares 2 2 3 2 3 4" xfId="1404" xr:uid="{00000000-0005-0000-0000-00007D0C0000}"/>
    <cellStyle name="Separador de milhares 2 2 3 2 3 4 2" xfId="3462" xr:uid="{00000000-0005-0000-0000-00007E0C0000}"/>
    <cellStyle name="Separador de milhares 2 2 3 2 3 4 2 2" xfId="9978" xr:uid="{00000000-0005-0000-0000-00007F0C0000}"/>
    <cellStyle name="Separador de milhares 2 2 3 2 3 4 3" xfId="5692" xr:uid="{00000000-0005-0000-0000-0000800C0000}"/>
    <cellStyle name="Separador de milhares 2 2 3 2 3 4 3 2" xfId="12206" xr:uid="{00000000-0005-0000-0000-0000810C0000}"/>
    <cellStyle name="Separador de milhares 2 2 3 2 3 4 4" xfId="7922" xr:uid="{00000000-0005-0000-0000-0000820C0000}"/>
    <cellStyle name="Separador de milhares 2 2 3 2 3 5" xfId="2434" xr:uid="{00000000-0005-0000-0000-0000830C0000}"/>
    <cellStyle name="Separador de milhares 2 2 3 2 3 5 2" xfId="8950" xr:uid="{00000000-0005-0000-0000-0000840C0000}"/>
    <cellStyle name="Separador de milhares 2 2 3 2 3 6" xfId="4576" xr:uid="{00000000-0005-0000-0000-0000850C0000}"/>
    <cellStyle name="Separador de milhares 2 2 3 2 3 6 2" xfId="11090" xr:uid="{00000000-0005-0000-0000-0000860C0000}"/>
    <cellStyle name="Separador de milhares 2 2 3 2 3 7" xfId="6806" xr:uid="{00000000-0005-0000-0000-0000870C0000}"/>
    <cellStyle name="Separador de milhares 2 2 3 2 4" xfId="481" xr:uid="{00000000-0005-0000-0000-0000880C0000}"/>
    <cellStyle name="Separador de milhares 2 2 3 2 4 2" xfId="1018" xr:uid="{00000000-0005-0000-0000-0000890C0000}"/>
    <cellStyle name="Separador de milhares 2 2 3 2 4 2 2" xfId="2046" xr:uid="{00000000-0005-0000-0000-00008A0C0000}"/>
    <cellStyle name="Separador de milhares 2 2 3 2 4 2 2 2" xfId="4104" xr:uid="{00000000-0005-0000-0000-00008B0C0000}"/>
    <cellStyle name="Separador de milhares 2 2 3 2 4 2 2 2 2" xfId="10620" xr:uid="{00000000-0005-0000-0000-00008C0C0000}"/>
    <cellStyle name="Separador de milhares 2 2 3 2 4 2 2 3" xfId="6334" xr:uid="{00000000-0005-0000-0000-00008D0C0000}"/>
    <cellStyle name="Separador de milhares 2 2 3 2 4 2 2 3 2" xfId="12848" xr:uid="{00000000-0005-0000-0000-00008E0C0000}"/>
    <cellStyle name="Separador de milhares 2 2 3 2 4 2 2 4" xfId="8564" xr:uid="{00000000-0005-0000-0000-00008F0C0000}"/>
    <cellStyle name="Separador de milhares 2 2 3 2 4 2 3" xfId="3076" xr:uid="{00000000-0005-0000-0000-0000900C0000}"/>
    <cellStyle name="Separador de milhares 2 2 3 2 4 2 3 2" xfId="9592" xr:uid="{00000000-0005-0000-0000-0000910C0000}"/>
    <cellStyle name="Separador de milhares 2 2 3 2 4 2 4" xfId="5306" xr:uid="{00000000-0005-0000-0000-0000920C0000}"/>
    <cellStyle name="Separador de milhares 2 2 3 2 4 2 4 2" xfId="11820" xr:uid="{00000000-0005-0000-0000-0000930C0000}"/>
    <cellStyle name="Separador de milhares 2 2 3 2 4 2 5" xfId="7536" xr:uid="{00000000-0005-0000-0000-0000940C0000}"/>
    <cellStyle name="Separador de milhares 2 2 3 2 4 3" xfId="1532" xr:uid="{00000000-0005-0000-0000-0000950C0000}"/>
    <cellStyle name="Separador de milhares 2 2 3 2 4 3 2" xfId="3590" xr:uid="{00000000-0005-0000-0000-0000960C0000}"/>
    <cellStyle name="Separador de milhares 2 2 3 2 4 3 2 2" xfId="10106" xr:uid="{00000000-0005-0000-0000-0000970C0000}"/>
    <cellStyle name="Separador de milhares 2 2 3 2 4 3 3" xfId="5820" xr:uid="{00000000-0005-0000-0000-0000980C0000}"/>
    <cellStyle name="Separador de milhares 2 2 3 2 4 3 3 2" xfId="12334" xr:uid="{00000000-0005-0000-0000-0000990C0000}"/>
    <cellStyle name="Separador de milhares 2 2 3 2 4 3 4" xfId="8050" xr:uid="{00000000-0005-0000-0000-00009A0C0000}"/>
    <cellStyle name="Separador de milhares 2 2 3 2 4 4" xfId="2562" xr:uid="{00000000-0005-0000-0000-00009B0C0000}"/>
    <cellStyle name="Separador de milhares 2 2 3 2 4 4 2" xfId="9078" xr:uid="{00000000-0005-0000-0000-00009C0C0000}"/>
    <cellStyle name="Separador de milhares 2 2 3 2 4 5" xfId="4777" xr:uid="{00000000-0005-0000-0000-00009D0C0000}"/>
    <cellStyle name="Separador de milhares 2 2 3 2 4 5 2" xfId="11291" xr:uid="{00000000-0005-0000-0000-00009E0C0000}"/>
    <cellStyle name="Separador de milhares 2 2 3 2 4 6" xfId="7007" xr:uid="{00000000-0005-0000-0000-00009F0C0000}"/>
    <cellStyle name="Separador de milhares 2 2 3 2 5" xfId="762" xr:uid="{00000000-0005-0000-0000-0000A00C0000}"/>
    <cellStyle name="Separador de milhares 2 2 3 2 5 2" xfId="1790" xr:uid="{00000000-0005-0000-0000-0000A10C0000}"/>
    <cellStyle name="Separador de milhares 2 2 3 2 5 2 2" xfId="3848" xr:uid="{00000000-0005-0000-0000-0000A20C0000}"/>
    <cellStyle name="Separador de milhares 2 2 3 2 5 2 2 2" xfId="10364" xr:uid="{00000000-0005-0000-0000-0000A30C0000}"/>
    <cellStyle name="Separador de milhares 2 2 3 2 5 2 3" xfId="6078" xr:uid="{00000000-0005-0000-0000-0000A40C0000}"/>
    <cellStyle name="Separador de milhares 2 2 3 2 5 2 3 2" xfId="12592" xr:uid="{00000000-0005-0000-0000-0000A50C0000}"/>
    <cellStyle name="Separador de milhares 2 2 3 2 5 2 4" xfId="8308" xr:uid="{00000000-0005-0000-0000-0000A60C0000}"/>
    <cellStyle name="Separador de milhares 2 2 3 2 5 3" xfId="2820" xr:uid="{00000000-0005-0000-0000-0000A70C0000}"/>
    <cellStyle name="Separador de milhares 2 2 3 2 5 3 2" xfId="9336" xr:uid="{00000000-0005-0000-0000-0000A80C0000}"/>
    <cellStyle name="Separador de milhares 2 2 3 2 5 4" xfId="5050" xr:uid="{00000000-0005-0000-0000-0000A90C0000}"/>
    <cellStyle name="Separador de milhares 2 2 3 2 5 4 2" xfId="11564" xr:uid="{00000000-0005-0000-0000-0000AA0C0000}"/>
    <cellStyle name="Separador de milhares 2 2 3 2 5 5" xfId="7280" xr:uid="{00000000-0005-0000-0000-0000AB0C0000}"/>
    <cellStyle name="Separador de milhares 2 2 3 2 6" xfId="1276" xr:uid="{00000000-0005-0000-0000-0000AC0C0000}"/>
    <cellStyle name="Separador de milhares 2 2 3 2 6 2" xfId="3334" xr:uid="{00000000-0005-0000-0000-0000AD0C0000}"/>
    <cellStyle name="Separador de milhares 2 2 3 2 6 2 2" xfId="9850" xr:uid="{00000000-0005-0000-0000-0000AE0C0000}"/>
    <cellStyle name="Separador de milhares 2 2 3 2 6 3" xfId="5564" xr:uid="{00000000-0005-0000-0000-0000AF0C0000}"/>
    <cellStyle name="Separador de milhares 2 2 3 2 6 3 2" xfId="12078" xr:uid="{00000000-0005-0000-0000-0000B00C0000}"/>
    <cellStyle name="Separador de milhares 2 2 3 2 6 4" xfId="7794" xr:uid="{00000000-0005-0000-0000-0000B10C0000}"/>
    <cellStyle name="Separador de milhares 2 2 3 2 7" xfId="2306" xr:uid="{00000000-0005-0000-0000-0000B20C0000}"/>
    <cellStyle name="Separador de milhares 2 2 3 2 7 2" xfId="8822" xr:uid="{00000000-0005-0000-0000-0000B30C0000}"/>
    <cellStyle name="Separador de milhares 2 2 3 2 8" xfId="4435" xr:uid="{00000000-0005-0000-0000-0000B40C0000}"/>
    <cellStyle name="Separador de milhares 2 2 3 2 8 2" xfId="10949" xr:uid="{00000000-0005-0000-0000-0000B50C0000}"/>
    <cellStyle name="Separador de milhares 2 2 3 2 9" xfId="6665" xr:uid="{00000000-0005-0000-0000-0000B60C0000}"/>
    <cellStyle name="Separador de milhares 2 2 3 3" xfId="183" xr:uid="{00000000-0005-0000-0000-0000B70C0000}"/>
    <cellStyle name="Separador de milhares 2 2 3 3 2" xfId="311" xr:uid="{00000000-0005-0000-0000-0000B80C0000}"/>
    <cellStyle name="Separador de milhares 2 2 3 3 2 2" xfId="654" xr:uid="{00000000-0005-0000-0000-0000B90C0000}"/>
    <cellStyle name="Separador de milhares 2 2 3 3 2 2 2" xfId="1178" xr:uid="{00000000-0005-0000-0000-0000BA0C0000}"/>
    <cellStyle name="Separador de milhares 2 2 3 3 2 2 2 2" xfId="2206" xr:uid="{00000000-0005-0000-0000-0000BB0C0000}"/>
    <cellStyle name="Separador de milhares 2 2 3 3 2 2 2 2 2" xfId="4264" xr:uid="{00000000-0005-0000-0000-0000BC0C0000}"/>
    <cellStyle name="Separador de milhares 2 2 3 3 2 2 2 2 2 2" xfId="10780" xr:uid="{00000000-0005-0000-0000-0000BD0C0000}"/>
    <cellStyle name="Separador de milhares 2 2 3 3 2 2 2 2 3" xfId="6494" xr:uid="{00000000-0005-0000-0000-0000BE0C0000}"/>
    <cellStyle name="Separador de milhares 2 2 3 3 2 2 2 2 3 2" xfId="13008" xr:uid="{00000000-0005-0000-0000-0000BF0C0000}"/>
    <cellStyle name="Separador de milhares 2 2 3 3 2 2 2 2 4" xfId="8724" xr:uid="{00000000-0005-0000-0000-0000C00C0000}"/>
    <cellStyle name="Separador de milhares 2 2 3 3 2 2 2 3" xfId="3236" xr:uid="{00000000-0005-0000-0000-0000C10C0000}"/>
    <cellStyle name="Separador de milhares 2 2 3 3 2 2 2 3 2" xfId="9752" xr:uid="{00000000-0005-0000-0000-0000C20C0000}"/>
    <cellStyle name="Separador de milhares 2 2 3 3 2 2 2 4" xfId="5466" xr:uid="{00000000-0005-0000-0000-0000C30C0000}"/>
    <cellStyle name="Separador de milhares 2 2 3 3 2 2 2 4 2" xfId="11980" xr:uid="{00000000-0005-0000-0000-0000C40C0000}"/>
    <cellStyle name="Separador de milhares 2 2 3 3 2 2 2 5" xfId="7696" xr:uid="{00000000-0005-0000-0000-0000C50C0000}"/>
    <cellStyle name="Separador de milhares 2 2 3 3 2 2 3" xfId="1692" xr:uid="{00000000-0005-0000-0000-0000C60C0000}"/>
    <cellStyle name="Separador de milhares 2 2 3 3 2 2 3 2" xfId="3750" xr:uid="{00000000-0005-0000-0000-0000C70C0000}"/>
    <cellStyle name="Separador de milhares 2 2 3 3 2 2 3 2 2" xfId="10266" xr:uid="{00000000-0005-0000-0000-0000C80C0000}"/>
    <cellStyle name="Separador de milhares 2 2 3 3 2 2 3 3" xfId="5980" xr:uid="{00000000-0005-0000-0000-0000C90C0000}"/>
    <cellStyle name="Separador de milhares 2 2 3 3 2 2 3 3 2" xfId="12494" xr:uid="{00000000-0005-0000-0000-0000CA0C0000}"/>
    <cellStyle name="Separador de milhares 2 2 3 3 2 2 3 4" xfId="8210" xr:uid="{00000000-0005-0000-0000-0000CB0C0000}"/>
    <cellStyle name="Separador de milhares 2 2 3 3 2 2 4" xfId="2722" xr:uid="{00000000-0005-0000-0000-0000CC0C0000}"/>
    <cellStyle name="Separador de milhares 2 2 3 3 2 2 4 2" xfId="9238" xr:uid="{00000000-0005-0000-0000-0000CD0C0000}"/>
    <cellStyle name="Separador de milhares 2 2 3 3 2 2 5" xfId="4950" xr:uid="{00000000-0005-0000-0000-0000CE0C0000}"/>
    <cellStyle name="Separador de milhares 2 2 3 3 2 2 5 2" xfId="11464" xr:uid="{00000000-0005-0000-0000-0000CF0C0000}"/>
    <cellStyle name="Separador de milhares 2 2 3 3 2 2 6" xfId="7180" xr:uid="{00000000-0005-0000-0000-0000D00C0000}"/>
    <cellStyle name="Separador de milhares 2 2 3 3 2 3" xfId="922" xr:uid="{00000000-0005-0000-0000-0000D10C0000}"/>
    <cellStyle name="Separador de milhares 2 2 3 3 2 3 2" xfId="1950" xr:uid="{00000000-0005-0000-0000-0000D20C0000}"/>
    <cellStyle name="Separador de milhares 2 2 3 3 2 3 2 2" xfId="4008" xr:uid="{00000000-0005-0000-0000-0000D30C0000}"/>
    <cellStyle name="Separador de milhares 2 2 3 3 2 3 2 2 2" xfId="10524" xr:uid="{00000000-0005-0000-0000-0000D40C0000}"/>
    <cellStyle name="Separador de milhares 2 2 3 3 2 3 2 3" xfId="6238" xr:uid="{00000000-0005-0000-0000-0000D50C0000}"/>
    <cellStyle name="Separador de milhares 2 2 3 3 2 3 2 3 2" xfId="12752" xr:uid="{00000000-0005-0000-0000-0000D60C0000}"/>
    <cellStyle name="Separador de milhares 2 2 3 3 2 3 2 4" xfId="8468" xr:uid="{00000000-0005-0000-0000-0000D70C0000}"/>
    <cellStyle name="Separador de milhares 2 2 3 3 2 3 3" xfId="2980" xr:uid="{00000000-0005-0000-0000-0000D80C0000}"/>
    <cellStyle name="Separador de milhares 2 2 3 3 2 3 3 2" xfId="9496" xr:uid="{00000000-0005-0000-0000-0000D90C0000}"/>
    <cellStyle name="Separador de milhares 2 2 3 3 2 3 4" xfId="5210" xr:uid="{00000000-0005-0000-0000-0000DA0C0000}"/>
    <cellStyle name="Separador de milhares 2 2 3 3 2 3 4 2" xfId="11724" xr:uid="{00000000-0005-0000-0000-0000DB0C0000}"/>
    <cellStyle name="Separador de milhares 2 2 3 3 2 3 5" xfId="7440" xr:uid="{00000000-0005-0000-0000-0000DC0C0000}"/>
    <cellStyle name="Separador de milhares 2 2 3 3 2 4" xfId="1436" xr:uid="{00000000-0005-0000-0000-0000DD0C0000}"/>
    <cellStyle name="Separador de milhares 2 2 3 3 2 4 2" xfId="3494" xr:uid="{00000000-0005-0000-0000-0000DE0C0000}"/>
    <cellStyle name="Separador de milhares 2 2 3 3 2 4 2 2" xfId="10010" xr:uid="{00000000-0005-0000-0000-0000DF0C0000}"/>
    <cellStyle name="Separador de milhares 2 2 3 3 2 4 3" xfId="5724" xr:uid="{00000000-0005-0000-0000-0000E00C0000}"/>
    <cellStyle name="Separador de milhares 2 2 3 3 2 4 3 2" xfId="12238" xr:uid="{00000000-0005-0000-0000-0000E10C0000}"/>
    <cellStyle name="Separador de milhares 2 2 3 3 2 4 4" xfId="7954" xr:uid="{00000000-0005-0000-0000-0000E20C0000}"/>
    <cellStyle name="Separador de milhares 2 2 3 3 2 5" xfId="2466" xr:uid="{00000000-0005-0000-0000-0000E30C0000}"/>
    <cellStyle name="Separador de milhares 2 2 3 3 2 5 2" xfId="8982" xr:uid="{00000000-0005-0000-0000-0000E40C0000}"/>
    <cellStyle name="Separador de milhares 2 2 3 3 2 6" xfId="4608" xr:uid="{00000000-0005-0000-0000-0000E50C0000}"/>
    <cellStyle name="Separador de milhares 2 2 3 3 2 6 2" xfId="11122" xr:uid="{00000000-0005-0000-0000-0000E60C0000}"/>
    <cellStyle name="Separador de milhares 2 2 3 3 2 7" xfId="6838" xr:uid="{00000000-0005-0000-0000-0000E70C0000}"/>
    <cellStyle name="Separador de milhares 2 2 3 3 3" xfId="526" xr:uid="{00000000-0005-0000-0000-0000E80C0000}"/>
    <cellStyle name="Separador de milhares 2 2 3 3 3 2" xfId="1050" xr:uid="{00000000-0005-0000-0000-0000E90C0000}"/>
    <cellStyle name="Separador de milhares 2 2 3 3 3 2 2" xfId="2078" xr:uid="{00000000-0005-0000-0000-0000EA0C0000}"/>
    <cellStyle name="Separador de milhares 2 2 3 3 3 2 2 2" xfId="4136" xr:uid="{00000000-0005-0000-0000-0000EB0C0000}"/>
    <cellStyle name="Separador de milhares 2 2 3 3 3 2 2 2 2" xfId="10652" xr:uid="{00000000-0005-0000-0000-0000EC0C0000}"/>
    <cellStyle name="Separador de milhares 2 2 3 3 3 2 2 3" xfId="6366" xr:uid="{00000000-0005-0000-0000-0000ED0C0000}"/>
    <cellStyle name="Separador de milhares 2 2 3 3 3 2 2 3 2" xfId="12880" xr:uid="{00000000-0005-0000-0000-0000EE0C0000}"/>
    <cellStyle name="Separador de milhares 2 2 3 3 3 2 2 4" xfId="8596" xr:uid="{00000000-0005-0000-0000-0000EF0C0000}"/>
    <cellStyle name="Separador de milhares 2 2 3 3 3 2 3" xfId="3108" xr:uid="{00000000-0005-0000-0000-0000F00C0000}"/>
    <cellStyle name="Separador de milhares 2 2 3 3 3 2 3 2" xfId="9624" xr:uid="{00000000-0005-0000-0000-0000F10C0000}"/>
    <cellStyle name="Separador de milhares 2 2 3 3 3 2 4" xfId="5338" xr:uid="{00000000-0005-0000-0000-0000F20C0000}"/>
    <cellStyle name="Separador de milhares 2 2 3 3 3 2 4 2" xfId="11852" xr:uid="{00000000-0005-0000-0000-0000F30C0000}"/>
    <cellStyle name="Separador de milhares 2 2 3 3 3 2 5" xfId="7568" xr:uid="{00000000-0005-0000-0000-0000F40C0000}"/>
    <cellStyle name="Separador de milhares 2 2 3 3 3 3" xfId="1564" xr:uid="{00000000-0005-0000-0000-0000F50C0000}"/>
    <cellStyle name="Separador de milhares 2 2 3 3 3 3 2" xfId="3622" xr:uid="{00000000-0005-0000-0000-0000F60C0000}"/>
    <cellStyle name="Separador de milhares 2 2 3 3 3 3 2 2" xfId="10138" xr:uid="{00000000-0005-0000-0000-0000F70C0000}"/>
    <cellStyle name="Separador de milhares 2 2 3 3 3 3 3" xfId="5852" xr:uid="{00000000-0005-0000-0000-0000F80C0000}"/>
    <cellStyle name="Separador de milhares 2 2 3 3 3 3 3 2" xfId="12366" xr:uid="{00000000-0005-0000-0000-0000F90C0000}"/>
    <cellStyle name="Separador de milhares 2 2 3 3 3 3 4" xfId="8082" xr:uid="{00000000-0005-0000-0000-0000FA0C0000}"/>
    <cellStyle name="Separador de milhares 2 2 3 3 3 4" xfId="2594" xr:uid="{00000000-0005-0000-0000-0000FB0C0000}"/>
    <cellStyle name="Separador de milhares 2 2 3 3 3 4 2" xfId="9110" xr:uid="{00000000-0005-0000-0000-0000FC0C0000}"/>
    <cellStyle name="Separador de milhares 2 2 3 3 3 5" xfId="4822" xr:uid="{00000000-0005-0000-0000-0000FD0C0000}"/>
    <cellStyle name="Separador de milhares 2 2 3 3 3 5 2" xfId="11336" xr:uid="{00000000-0005-0000-0000-0000FE0C0000}"/>
    <cellStyle name="Separador de milhares 2 2 3 3 3 6" xfId="7052" xr:uid="{00000000-0005-0000-0000-0000FF0C0000}"/>
    <cellStyle name="Separador de milhares 2 2 3 3 4" xfId="794" xr:uid="{00000000-0005-0000-0000-0000000D0000}"/>
    <cellStyle name="Separador de milhares 2 2 3 3 4 2" xfId="1822" xr:uid="{00000000-0005-0000-0000-0000010D0000}"/>
    <cellStyle name="Separador de milhares 2 2 3 3 4 2 2" xfId="3880" xr:uid="{00000000-0005-0000-0000-0000020D0000}"/>
    <cellStyle name="Separador de milhares 2 2 3 3 4 2 2 2" xfId="10396" xr:uid="{00000000-0005-0000-0000-0000030D0000}"/>
    <cellStyle name="Separador de milhares 2 2 3 3 4 2 3" xfId="6110" xr:uid="{00000000-0005-0000-0000-0000040D0000}"/>
    <cellStyle name="Separador de milhares 2 2 3 3 4 2 3 2" xfId="12624" xr:uid="{00000000-0005-0000-0000-0000050D0000}"/>
    <cellStyle name="Separador de milhares 2 2 3 3 4 2 4" xfId="8340" xr:uid="{00000000-0005-0000-0000-0000060D0000}"/>
    <cellStyle name="Separador de milhares 2 2 3 3 4 3" xfId="2852" xr:uid="{00000000-0005-0000-0000-0000070D0000}"/>
    <cellStyle name="Separador de milhares 2 2 3 3 4 3 2" xfId="9368" xr:uid="{00000000-0005-0000-0000-0000080D0000}"/>
    <cellStyle name="Separador de milhares 2 2 3 3 4 4" xfId="5082" xr:uid="{00000000-0005-0000-0000-0000090D0000}"/>
    <cellStyle name="Separador de milhares 2 2 3 3 4 4 2" xfId="11596" xr:uid="{00000000-0005-0000-0000-00000A0D0000}"/>
    <cellStyle name="Separador de milhares 2 2 3 3 4 5" xfId="7312" xr:uid="{00000000-0005-0000-0000-00000B0D0000}"/>
    <cellStyle name="Separador de milhares 2 2 3 3 5" xfId="1308" xr:uid="{00000000-0005-0000-0000-00000C0D0000}"/>
    <cellStyle name="Separador de milhares 2 2 3 3 5 2" xfId="3366" xr:uid="{00000000-0005-0000-0000-00000D0D0000}"/>
    <cellStyle name="Separador de milhares 2 2 3 3 5 2 2" xfId="9882" xr:uid="{00000000-0005-0000-0000-00000E0D0000}"/>
    <cellStyle name="Separador de milhares 2 2 3 3 5 3" xfId="5596" xr:uid="{00000000-0005-0000-0000-00000F0D0000}"/>
    <cellStyle name="Separador de milhares 2 2 3 3 5 3 2" xfId="12110" xr:uid="{00000000-0005-0000-0000-0000100D0000}"/>
    <cellStyle name="Separador de milhares 2 2 3 3 5 4" xfId="7826" xr:uid="{00000000-0005-0000-0000-0000110D0000}"/>
    <cellStyle name="Separador de milhares 2 2 3 3 6" xfId="2338" xr:uid="{00000000-0005-0000-0000-0000120D0000}"/>
    <cellStyle name="Separador de milhares 2 2 3 3 6 2" xfId="8854" xr:uid="{00000000-0005-0000-0000-0000130D0000}"/>
    <cellStyle name="Separador de milhares 2 2 3 3 7" xfId="4480" xr:uid="{00000000-0005-0000-0000-0000140D0000}"/>
    <cellStyle name="Separador de milhares 2 2 3 3 7 2" xfId="10994" xr:uid="{00000000-0005-0000-0000-0000150D0000}"/>
    <cellStyle name="Separador de milhares 2 2 3 3 8" xfId="6710" xr:uid="{00000000-0005-0000-0000-0000160D0000}"/>
    <cellStyle name="Separador de milhares 2 2 3 4" xfId="247" xr:uid="{00000000-0005-0000-0000-0000170D0000}"/>
    <cellStyle name="Separador de milhares 2 2 3 4 2" xfId="590" xr:uid="{00000000-0005-0000-0000-0000180D0000}"/>
    <cellStyle name="Separador de milhares 2 2 3 4 2 2" xfId="1114" xr:uid="{00000000-0005-0000-0000-0000190D0000}"/>
    <cellStyle name="Separador de milhares 2 2 3 4 2 2 2" xfId="2142" xr:uid="{00000000-0005-0000-0000-00001A0D0000}"/>
    <cellStyle name="Separador de milhares 2 2 3 4 2 2 2 2" xfId="4200" xr:uid="{00000000-0005-0000-0000-00001B0D0000}"/>
    <cellStyle name="Separador de milhares 2 2 3 4 2 2 2 2 2" xfId="10716" xr:uid="{00000000-0005-0000-0000-00001C0D0000}"/>
    <cellStyle name="Separador de milhares 2 2 3 4 2 2 2 3" xfId="6430" xr:uid="{00000000-0005-0000-0000-00001D0D0000}"/>
    <cellStyle name="Separador de milhares 2 2 3 4 2 2 2 3 2" xfId="12944" xr:uid="{00000000-0005-0000-0000-00001E0D0000}"/>
    <cellStyle name="Separador de milhares 2 2 3 4 2 2 2 4" xfId="8660" xr:uid="{00000000-0005-0000-0000-00001F0D0000}"/>
    <cellStyle name="Separador de milhares 2 2 3 4 2 2 3" xfId="3172" xr:uid="{00000000-0005-0000-0000-0000200D0000}"/>
    <cellStyle name="Separador de milhares 2 2 3 4 2 2 3 2" xfId="9688" xr:uid="{00000000-0005-0000-0000-0000210D0000}"/>
    <cellStyle name="Separador de milhares 2 2 3 4 2 2 4" xfId="5402" xr:uid="{00000000-0005-0000-0000-0000220D0000}"/>
    <cellStyle name="Separador de milhares 2 2 3 4 2 2 4 2" xfId="11916" xr:uid="{00000000-0005-0000-0000-0000230D0000}"/>
    <cellStyle name="Separador de milhares 2 2 3 4 2 2 5" xfId="7632" xr:uid="{00000000-0005-0000-0000-0000240D0000}"/>
    <cellStyle name="Separador de milhares 2 2 3 4 2 3" xfId="1628" xr:uid="{00000000-0005-0000-0000-0000250D0000}"/>
    <cellStyle name="Separador de milhares 2 2 3 4 2 3 2" xfId="3686" xr:uid="{00000000-0005-0000-0000-0000260D0000}"/>
    <cellStyle name="Separador de milhares 2 2 3 4 2 3 2 2" xfId="10202" xr:uid="{00000000-0005-0000-0000-0000270D0000}"/>
    <cellStyle name="Separador de milhares 2 2 3 4 2 3 3" xfId="5916" xr:uid="{00000000-0005-0000-0000-0000280D0000}"/>
    <cellStyle name="Separador de milhares 2 2 3 4 2 3 3 2" xfId="12430" xr:uid="{00000000-0005-0000-0000-0000290D0000}"/>
    <cellStyle name="Separador de milhares 2 2 3 4 2 3 4" xfId="8146" xr:uid="{00000000-0005-0000-0000-00002A0D0000}"/>
    <cellStyle name="Separador de milhares 2 2 3 4 2 4" xfId="2658" xr:uid="{00000000-0005-0000-0000-00002B0D0000}"/>
    <cellStyle name="Separador de milhares 2 2 3 4 2 4 2" xfId="9174" xr:uid="{00000000-0005-0000-0000-00002C0D0000}"/>
    <cellStyle name="Separador de milhares 2 2 3 4 2 5" xfId="4886" xr:uid="{00000000-0005-0000-0000-00002D0D0000}"/>
    <cellStyle name="Separador de milhares 2 2 3 4 2 5 2" xfId="11400" xr:uid="{00000000-0005-0000-0000-00002E0D0000}"/>
    <cellStyle name="Separador de milhares 2 2 3 4 2 6" xfId="7116" xr:uid="{00000000-0005-0000-0000-00002F0D0000}"/>
    <cellStyle name="Separador de milhares 2 2 3 4 3" xfId="858" xr:uid="{00000000-0005-0000-0000-0000300D0000}"/>
    <cellStyle name="Separador de milhares 2 2 3 4 3 2" xfId="1886" xr:uid="{00000000-0005-0000-0000-0000310D0000}"/>
    <cellStyle name="Separador de milhares 2 2 3 4 3 2 2" xfId="3944" xr:uid="{00000000-0005-0000-0000-0000320D0000}"/>
    <cellStyle name="Separador de milhares 2 2 3 4 3 2 2 2" xfId="10460" xr:uid="{00000000-0005-0000-0000-0000330D0000}"/>
    <cellStyle name="Separador de milhares 2 2 3 4 3 2 3" xfId="6174" xr:uid="{00000000-0005-0000-0000-0000340D0000}"/>
    <cellStyle name="Separador de milhares 2 2 3 4 3 2 3 2" xfId="12688" xr:uid="{00000000-0005-0000-0000-0000350D0000}"/>
    <cellStyle name="Separador de milhares 2 2 3 4 3 2 4" xfId="8404" xr:uid="{00000000-0005-0000-0000-0000360D0000}"/>
    <cellStyle name="Separador de milhares 2 2 3 4 3 3" xfId="2916" xr:uid="{00000000-0005-0000-0000-0000370D0000}"/>
    <cellStyle name="Separador de milhares 2 2 3 4 3 3 2" xfId="9432" xr:uid="{00000000-0005-0000-0000-0000380D0000}"/>
    <cellStyle name="Separador de milhares 2 2 3 4 3 4" xfId="5146" xr:uid="{00000000-0005-0000-0000-0000390D0000}"/>
    <cellStyle name="Separador de milhares 2 2 3 4 3 4 2" xfId="11660" xr:uid="{00000000-0005-0000-0000-00003A0D0000}"/>
    <cellStyle name="Separador de milhares 2 2 3 4 3 5" xfId="7376" xr:uid="{00000000-0005-0000-0000-00003B0D0000}"/>
    <cellStyle name="Separador de milhares 2 2 3 4 4" xfId="1372" xr:uid="{00000000-0005-0000-0000-00003C0D0000}"/>
    <cellStyle name="Separador de milhares 2 2 3 4 4 2" xfId="3430" xr:uid="{00000000-0005-0000-0000-00003D0D0000}"/>
    <cellStyle name="Separador de milhares 2 2 3 4 4 2 2" xfId="9946" xr:uid="{00000000-0005-0000-0000-00003E0D0000}"/>
    <cellStyle name="Separador de milhares 2 2 3 4 4 3" xfId="5660" xr:uid="{00000000-0005-0000-0000-00003F0D0000}"/>
    <cellStyle name="Separador de milhares 2 2 3 4 4 3 2" xfId="12174" xr:uid="{00000000-0005-0000-0000-0000400D0000}"/>
    <cellStyle name="Separador de milhares 2 2 3 4 4 4" xfId="7890" xr:uid="{00000000-0005-0000-0000-0000410D0000}"/>
    <cellStyle name="Separador de milhares 2 2 3 4 5" xfId="2402" xr:uid="{00000000-0005-0000-0000-0000420D0000}"/>
    <cellStyle name="Separador de milhares 2 2 3 4 5 2" xfId="8918" xr:uid="{00000000-0005-0000-0000-0000430D0000}"/>
    <cellStyle name="Separador de milhares 2 2 3 4 6" xfId="4544" xr:uid="{00000000-0005-0000-0000-0000440D0000}"/>
    <cellStyle name="Separador de milhares 2 2 3 4 6 2" xfId="11058" xr:uid="{00000000-0005-0000-0000-0000450D0000}"/>
    <cellStyle name="Separador de milhares 2 2 3 4 7" xfId="6774" xr:uid="{00000000-0005-0000-0000-0000460D0000}"/>
    <cellStyle name="Separador de milhares 2 2 3 5" xfId="407" xr:uid="{00000000-0005-0000-0000-0000470D0000}"/>
    <cellStyle name="Separador de milhares 2 2 3 5 2" xfId="986" xr:uid="{00000000-0005-0000-0000-0000480D0000}"/>
    <cellStyle name="Separador de milhares 2 2 3 5 2 2" xfId="2014" xr:uid="{00000000-0005-0000-0000-0000490D0000}"/>
    <cellStyle name="Separador de milhares 2 2 3 5 2 2 2" xfId="4072" xr:uid="{00000000-0005-0000-0000-00004A0D0000}"/>
    <cellStyle name="Separador de milhares 2 2 3 5 2 2 2 2" xfId="10588" xr:uid="{00000000-0005-0000-0000-00004B0D0000}"/>
    <cellStyle name="Separador de milhares 2 2 3 5 2 2 3" xfId="6302" xr:uid="{00000000-0005-0000-0000-00004C0D0000}"/>
    <cellStyle name="Separador de milhares 2 2 3 5 2 2 3 2" xfId="12816" xr:uid="{00000000-0005-0000-0000-00004D0D0000}"/>
    <cellStyle name="Separador de milhares 2 2 3 5 2 2 4" xfId="8532" xr:uid="{00000000-0005-0000-0000-00004E0D0000}"/>
    <cellStyle name="Separador de milhares 2 2 3 5 2 3" xfId="3044" xr:uid="{00000000-0005-0000-0000-00004F0D0000}"/>
    <cellStyle name="Separador de milhares 2 2 3 5 2 3 2" xfId="9560" xr:uid="{00000000-0005-0000-0000-0000500D0000}"/>
    <cellStyle name="Separador de milhares 2 2 3 5 2 4" xfId="5274" xr:uid="{00000000-0005-0000-0000-0000510D0000}"/>
    <cellStyle name="Separador de milhares 2 2 3 5 2 4 2" xfId="11788" xr:uid="{00000000-0005-0000-0000-0000520D0000}"/>
    <cellStyle name="Separador de milhares 2 2 3 5 2 5" xfId="7504" xr:uid="{00000000-0005-0000-0000-0000530D0000}"/>
    <cellStyle name="Separador de milhares 2 2 3 5 3" xfId="1500" xr:uid="{00000000-0005-0000-0000-0000540D0000}"/>
    <cellStyle name="Separador de milhares 2 2 3 5 3 2" xfId="3558" xr:uid="{00000000-0005-0000-0000-0000550D0000}"/>
    <cellStyle name="Separador de milhares 2 2 3 5 3 2 2" xfId="10074" xr:uid="{00000000-0005-0000-0000-0000560D0000}"/>
    <cellStyle name="Separador de milhares 2 2 3 5 3 3" xfId="5788" xr:uid="{00000000-0005-0000-0000-0000570D0000}"/>
    <cellStyle name="Separador de milhares 2 2 3 5 3 3 2" xfId="12302" xr:uid="{00000000-0005-0000-0000-0000580D0000}"/>
    <cellStyle name="Separador de milhares 2 2 3 5 3 4" xfId="8018" xr:uid="{00000000-0005-0000-0000-0000590D0000}"/>
    <cellStyle name="Separador de milhares 2 2 3 5 4" xfId="2530" xr:uid="{00000000-0005-0000-0000-00005A0D0000}"/>
    <cellStyle name="Separador de milhares 2 2 3 5 4 2" xfId="9046" xr:uid="{00000000-0005-0000-0000-00005B0D0000}"/>
    <cellStyle name="Separador de milhares 2 2 3 5 5" xfId="4703" xr:uid="{00000000-0005-0000-0000-00005C0D0000}"/>
    <cellStyle name="Separador de milhares 2 2 3 5 5 2" xfId="11217" xr:uid="{00000000-0005-0000-0000-00005D0D0000}"/>
    <cellStyle name="Separador de milhares 2 2 3 5 6" xfId="6933" xr:uid="{00000000-0005-0000-0000-00005E0D0000}"/>
    <cellStyle name="Separador de milhares 2 2 3 6" xfId="730" xr:uid="{00000000-0005-0000-0000-00005F0D0000}"/>
    <cellStyle name="Separador de milhares 2 2 3 6 2" xfId="1758" xr:uid="{00000000-0005-0000-0000-0000600D0000}"/>
    <cellStyle name="Separador de milhares 2 2 3 6 2 2" xfId="3816" xr:uid="{00000000-0005-0000-0000-0000610D0000}"/>
    <cellStyle name="Separador de milhares 2 2 3 6 2 2 2" xfId="10332" xr:uid="{00000000-0005-0000-0000-0000620D0000}"/>
    <cellStyle name="Separador de milhares 2 2 3 6 2 3" xfId="6046" xr:uid="{00000000-0005-0000-0000-0000630D0000}"/>
    <cellStyle name="Separador de milhares 2 2 3 6 2 3 2" xfId="12560" xr:uid="{00000000-0005-0000-0000-0000640D0000}"/>
    <cellStyle name="Separador de milhares 2 2 3 6 2 4" xfId="8276" xr:uid="{00000000-0005-0000-0000-0000650D0000}"/>
    <cellStyle name="Separador de milhares 2 2 3 6 3" xfId="2788" xr:uid="{00000000-0005-0000-0000-0000660D0000}"/>
    <cellStyle name="Separador de milhares 2 2 3 6 3 2" xfId="9304" xr:uid="{00000000-0005-0000-0000-0000670D0000}"/>
    <cellStyle name="Separador de milhares 2 2 3 6 4" xfId="5018" xr:uid="{00000000-0005-0000-0000-0000680D0000}"/>
    <cellStyle name="Separador de milhares 2 2 3 6 4 2" xfId="11532" xr:uid="{00000000-0005-0000-0000-0000690D0000}"/>
    <cellStyle name="Separador de milhares 2 2 3 6 5" xfId="7248" xr:uid="{00000000-0005-0000-0000-00006A0D0000}"/>
    <cellStyle name="Separador de milhares 2 2 3 7" xfId="1244" xr:uid="{00000000-0005-0000-0000-00006B0D0000}"/>
    <cellStyle name="Separador de milhares 2 2 3 7 2" xfId="3302" xr:uid="{00000000-0005-0000-0000-00006C0D0000}"/>
    <cellStyle name="Separador de milhares 2 2 3 7 2 2" xfId="9818" xr:uid="{00000000-0005-0000-0000-00006D0D0000}"/>
    <cellStyle name="Separador de milhares 2 2 3 7 3" xfId="5532" xr:uid="{00000000-0005-0000-0000-00006E0D0000}"/>
    <cellStyle name="Separador de milhares 2 2 3 7 3 2" xfId="12046" xr:uid="{00000000-0005-0000-0000-00006F0D0000}"/>
    <cellStyle name="Separador de milhares 2 2 3 7 4" xfId="7762" xr:uid="{00000000-0005-0000-0000-0000700D0000}"/>
    <cellStyle name="Separador de milhares 2 2 3 8" xfId="2274" xr:uid="{00000000-0005-0000-0000-0000710D0000}"/>
    <cellStyle name="Separador de milhares 2 2 3 8 2" xfId="8790" xr:uid="{00000000-0005-0000-0000-0000720D0000}"/>
    <cellStyle name="Separador de milhares 2 2 3 9" xfId="4361" xr:uid="{00000000-0005-0000-0000-0000730D0000}"/>
    <cellStyle name="Separador de milhares 2 2 3 9 2" xfId="10875" xr:uid="{00000000-0005-0000-0000-0000740D0000}"/>
    <cellStyle name="Separador de milhares 2 2 4" xfId="96" xr:uid="{00000000-0005-0000-0000-0000750D0000}"/>
    <cellStyle name="Separador de milhares 2 2 4 2" xfId="199" xr:uid="{00000000-0005-0000-0000-0000760D0000}"/>
    <cellStyle name="Separador de milhares 2 2 4 2 2" xfId="327" xr:uid="{00000000-0005-0000-0000-0000770D0000}"/>
    <cellStyle name="Separador de milhares 2 2 4 2 2 2" xfId="670" xr:uid="{00000000-0005-0000-0000-0000780D0000}"/>
    <cellStyle name="Separador de milhares 2 2 4 2 2 2 2" xfId="1194" xr:uid="{00000000-0005-0000-0000-0000790D0000}"/>
    <cellStyle name="Separador de milhares 2 2 4 2 2 2 2 2" xfId="2222" xr:uid="{00000000-0005-0000-0000-00007A0D0000}"/>
    <cellStyle name="Separador de milhares 2 2 4 2 2 2 2 2 2" xfId="4280" xr:uid="{00000000-0005-0000-0000-00007B0D0000}"/>
    <cellStyle name="Separador de milhares 2 2 4 2 2 2 2 2 2 2" xfId="10796" xr:uid="{00000000-0005-0000-0000-00007C0D0000}"/>
    <cellStyle name="Separador de milhares 2 2 4 2 2 2 2 2 3" xfId="6510" xr:uid="{00000000-0005-0000-0000-00007D0D0000}"/>
    <cellStyle name="Separador de milhares 2 2 4 2 2 2 2 2 3 2" xfId="13024" xr:uid="{00000000-0005-0000-0000-00007E0D0000}"/>
    <cellStyle name="Separador de milhares 2 2 4 2 2 2 2 2 4" xfId="8740" xr:uid="{00000000-0005-0000-0000-00007F0D0000}"/>
    <cellStyle name="Separador de milhares 2 2 4 2 2 2 2 3" xfId="3252" xr:uid="{00000000-0005-0000-0000-0000800D0000}"/>
    <cellStyle name="Separador de milhares 2 2 4 2 2 2 2 3 2" xfId="9768" xr:uid="{00000000-0005-0000-0000-0000810D0000}"/>
    <cellStyle name="Separador de milhares 2 2 4 2 2 2 2 4" xfId="5482" xr:uid="{00000000-0005-0000-0000-0000820D0000}"/>
    <cellStyle name="Separador de milhares 2 2 4 2 2 2 2 4 2" xfId="11996" xr:uid="{00000000-0005-0000-0000-0000830D0000}"/>
    <cellStyle name="Separador de milhares 2 2 4 2 2 2 2 5" xfId="7712" xr:uid="{00000000-0005-0000-0000-0000840D0000}"/>
    <cellStyle name="Separador de milhares 2 2 4 2 2 2 3" xfId="1708" xr:uid="{00000000-0005-0000-0000-0000850D0000}"/>
    <cellStyle name="Separador de milhares 2 2 4 2 2 2 3 2" xfId="3766" xr:uid="{00000000-0005-0000-0000-0000860D0000}"/>
    <cellStyle name="Separador de milhares 2 2 4 2 2 2 3 2 2" xfId="10282" xr:uid="{00000000-0005-0000-0000-0000870D0000}"/>
    <cellStyle name="Separador de milhares 2 2 4 2 2 2 3 3" xfId="5996" xr:uid="{00000000-0005-0000-0000-0000880D0000}"/>
    <cellStyle name="Separador de milhares 2 2 4 2 2 2 3 3 2" xfId="12510" xr:uid="{00000000-0005-0000-0000-0000890D0000}"/>
    <cellStyle name="Separador de milhares 2 2 4 2 2 2 3 4" xfId="8226" xr:uid="{00000000-0005-0000-0000-00008A0D0000}"/>
    <cellStyle name="Separador de milhares 2 2 4 2 2 2 4" xfId="2738" xr:uid="{00000000-0005-0000-0000-00008B0D0000}"/>
    <cellStyle name="Separador de milhares 2 2 4 2 2 2 4 2" xfId="9254" xr:uid="{00000000-0005-0000-0000-00008C0D0000}"/>
    <cellStyle name="Separador de milhares 2 2 4 2 2 2 5" xfId="4966" xr:uid="{00000000-0005-0000-0000-00008D0D0000}"/>
    <cellStyle name="Separador de milhares 2 2 4 2 2 2 5 2" xfId="11480" xr:uid="{00000000-0005-0000-0000-00008E0D0000}"/>
    <cellStyle name="Separador de milhares 2 2 4 2 2 2 6" xfId="7196" xr:uid="{00000000-0005-0000-0000-00008F0D0000}"/>
    <cellStyle name="Separador de milhares 2 2 4 2 2 3" xfId="938" xr:uid="{00000000-0005-0000-0000-0000900D0000}"/>
    <cellStyle name="Separador de milhares 2 2 4 2 2 3 2" xfId="1966" xr:uid="{00000000-0005-0000-0000-0000910D0000}"/>
    <cellStyle name="Separador de milhares 2 2 4 2 2 3 2 2" xfId="4024" xr:uid="{00000000-0005-0000-0000-0000920D0000}"/>
    <cellStyle name="Separador de milhares 2 2 4 2 2 3 2 2 2" xfId="10540" xr:uid="{00000000-0005-0000-0000-0000930D0000}"/>
    <cellStyle name="Separador de milhares 2 2 4 2 2 3 2 3" xfId="6254" xr:uid="{00000000-0005-0000-0000-0000940D0000}"/>
    <cellStyle name="Separador de milhares 2 2 4 2 2 3 2 3 2" xfId="12768" xr:uid="{00000000-0005-0000-0000-0000950D0000}"/>
    <cellStyle name="Separador de milhares 2 2 4 2 2 3 2 4" xfId="8484" xr:uid="{00000000-0005-0000-0000-0000960D0000}"/>
    <cellStyle name="Separador de milhares 2 2 4 2 2 3 3" xfId="2996" xr:uid="{00000000-0005-0000-0000-0000970D0000}"/>
    <cellStyle name="Separador de milhares 2 2 4 2 2 3 3 2" xfId="9512" xr:uid="{00000000-0005-0000-0000-0000980D0000}"/>
    <cellStyle name="Separador de milhares 2 2 4 2 2 3 4" xfId="5226" xr:uid="{00000000-0005-0000-0000-0000990D0000}"/>
    <cellStyle name="Separador de milhares 2 2 4 2 2 3 4 2" xfId="11740" xr:uid="{00000000-0005-0000-0000-00009A0D0000}"/>
    <cellStyle name="Separador de milhares 2 2 4 2 2 3 5" xfId="7456" xr:uid="{00000000-0005-0000-0000-00009B0D0000}"/>
    <cellStyle name="Separador de milhares 2 2 4 2 2 4" xfId="1452" xr:uid="{00000000-0005-0000-0000-00009C0D0000}"/>
    <cellStyle name="Separador de milhares 2 2 4 2 2 4 2" xfId="3510" xr:uid="{00000000-0005-0000-0000-00009D0D0000}"/>
    <cellStyle name="Separador de milhares 2 2 4 2 2 4 2 2" xfId="10026" xr:uid="{00000000-0005-0000-0000-00009E0D0000}"/>
    <cellStyle name="Separador de milhares 2 2 4 2 2 4 3" xfId="5740" xr:uid="{00000000-0005-0000-0000-00009F0D0000}"/>
    <cellStyle name="Separador de milhares 2 2 4 2 2 4 3 2" xfId="12254" xr:uid="{00000000-0005-0000-0000-0000A00D0000}"/>
    <cellStyle name="Separador de milhares 2 2 4 2 2 4 4" xfId="7970" xr:uid="{00000000-0005-0000-0000-0000A10D0000}"/>
    <cellStyle name="Separador de milhares 2 2 4 2 2 5" xfId="2482" xr:uid="{00000000-0005-0000-0000-0000A20D0000}"/>
    <cellStyle name="Separador de milhares 2 2 4 2 2 5 2" xfId="8998" xr:uid="{00000000-0005-0000-0000-0000A30D0000}"/>
    <cellStyle name="Separador de milhares 2 2 4 2 2 6" xfId="4624" xr:uid="{00000000-0005-0000-0000-0000A40D0000}"/>
    <cellStyle name="Separador de milhares 2 2 4 2 2 6 2" xfId="11138" xr:uid="{00000000-0005-0000-0000-0000A50D0000}"/>
    <cellStyle name="Separador de milhares 2 2 4 2 2 7" xfId="6854" xr:uid="{00000000-0005-0000-0000-0000A60D0000}"/>
    <cellStyle name="Separador de milhares 2 2 4 2 3" xfId="542" xr:uid="{00000000-0005-0000-0000-0000A70D0000}"/>
    <cellStyle name="Separador de milhares 2 2 4 2 3 2" xfId="1066" xr:uid="{00000000-0005-0000-0000-0000A80D0000}"/>
    <cellStyle name="Separador de milhares 2 2 4 2 3 2 2" xfId="2094" xr:uid="{00000000-0005-0000-0000-0000A90D0000}"/>
    <cellStyle name="Separador de milhares 2 2 4 2 3 2 2 2" xfId="4152" xr:uid="{00000000-0005-0000-0000-0000AA0D0000}"/>
    <cellStyle name="Separador de milhares 2 2 4 2 3 2 2 2 2" xfId="10668" xr:uid="{00000000-0005-0000-0000-0000AB0D0000}"/>
    <cellStyle name="Separador de milhares 2 2 4 2 3 2 2 3" xfId="6382" xr:uid="{00000000-0005-0000-0000-0000AC0D0000}"/>
    <cellStyle name="Separador de milhares 2 2 4 2 3 2 2 3 2" xfId="12896" xr:uid="{00000000-0005-0000-0000-0000AD0D0000}"/>
    <cellStyle name="Separador de milhares 2 2 4 2 3 2 2 4" xfId="8612" xr:uid="{00000000-0005-0000-0000-0000AE0D0000}"/>
    <cellStyle name="Separador de milhares 2 2 4 2 3 2 3" xfId="3124" xr:uid="{00000000-0005-0000-0000-0000AF0D0000}"/>
    <cellStyle name="Separador de milhares 2 2 4 2 3 2 3 2" xfId="9640" xr:uid="{00000000-0005-0000-0000-0000B00D0000}"/>
    <cellStyle name="Separador de milhares 2 2 4 2 3 2 4" xfId="5354" xr:uid="{00000000-0005-0000-0000-0000B10D0000}"/>
    <cellStyle name="Separador de milhares 2 2 4 2 3 2 4 2" xfId="11868" xr:uid="{00000000-0005-0000-0000-0000B20D0000}"/>
    <cellStyle name="Separador de milhares 2 2 4 2 3 2 5" xfId="7584" xr:uid="{00000000-0005-0000-0000-0000B30D0000}"/>
    <cellStyle name="Separador de milhares 2 2 4 2 3 3" xfId="1580" xr:uid="{00000000-0005-0000-0000-0000B40D0000}"/>
    <cellStyle name="Separador de milhares 2 2 4 2 3 3 2" xfId="3638" xr:uid="{00000000-0005-0000-0000-0000B50D0000}"/>
    <cellStyle name="Separador de milhares 2 2 4 2 3 3 2 2" xfId="10154" xr:uid="{00000000-0005-0000-0000-0000B60D0000}"/>
    <cellStyle name="Separador de milhares 2 2 4 2 3 3 3" xfId="5868" xr:uid="{00000000-0005-0000-0000-0000B70D0000}"/>
    <cellStyle name="Separador de milhares 2 2 4 2 3 3 3 2" xfId="12382" xr:uid="{00000000-0005-0000-0000-0000B80D0000}"/>
    <cellStyle name="Separador de milhares 2 2 4 2 3 3 4" xfId="8098" xr:uid="{00000000-0005-0000-0000-0000B90D0000}"/>
    <cellStyle name="Separador de milhares 2 2 4 2 3 4" xfId="2610" xr:uid="{00000000-0005-0000-0000-0000BA0D0000}"/>
    <cellStyle name="Separador de milhares 2 2 4 2 3 4 2" xfId="9126" xr:uid="{00000000-0005-0000-0000-0000BB0D0000}"/>
    <cellStyle name="Separador de milhares 2 2 4 2 3 5" xfId="4838" xr:uid="{00000000-0005-0000-0000-0000BC0D0000}"/>
    <cellStyle name="Separador de milhares 2 2 4 2 3 5 2" xfId="11352" xr:uid="{00000000-0005-0000-0000-0000BD0D0000}"/>
    <cellStyle name="Separador de milhares 2 2 4 2 3 6" xfId="7068" xr:uid="{00000000-0005-0000-0000-0000BE0D0000}"/>
    <cellStyle name="Separador de milhares 2 2 4 2 4" xfId="810" xr:uid="{00000000-0005-0000-0000-0000BF0D0000}"/>
    <cellStyle name="Separador de milhares 2 2 4 2 4 2" xfId="1838" xr:uid="{00000000-0005-0000-0000-0000C00D0000}"/>
    <cellStyle name="Separador de milhares 2 2 4 2 4 2 2" xfId="3896" xr:uid="{00000000-0005-0000-0000-0000C10D0000}"/>
    <cellStyle name="Separador de milhares 2 2 4 2 4 2 2 2" xfId="10412" xr:uid="{00000000-0005-0000-0000-0000C20D0000}"/>
    <cellStyle name="Separador de milhares 2 2 4 2 4 2 3" xfId="6126" xr:uid="{00000000-0005-0000-0000-0000C30D0000}"/>
    <cellStyle name="Separador de milhares 2 2 4 2 4 2 3 2" xfId="12640" xr:uid="{00000000-0005-0000-0000-0000C40D0000}"/>
    <cellStyle name="Separador de milhares 2 2 4 2 4 2 4" xfId="8356" xr:uid="{00000000-0005-0000-0000-0000C50D0000}"/>
    <cellStyle name="Separador de milhares 2 2 4 2 4 3" xfId="2868" xr:uid="{00000000-0005-0000-0000-0000C60D0000}"/>
    <cellStyle name="Separador de milhares 2 2 4 2 4 3 2" xfId="9384" xr:uid="{00000000-0005-0000-0000-0000C70D0000}"/>
    <cellStyle name="Separador de milhares 2 2 4 2 4 4" xfId="5098" xr:uid="{00000000-0005-0000-0000-0000C80D0000}"/>
    <cellStyle name="Separador de milhares 2 2 4 2 4 4 2" xfId="11612" xr:uid="{00000000-0005-0000-0000-0000C90D0000}"/>
    <cellStyle name="Separador de milhares 2 2 4 2 4 5" xfId="7328" xr:uid="{00000000-0005-0000-0000-0000CA0D0000}"/>
    <cellStyle name="Separador de milhares 2 2 4 2 5" xfId="1324" xr:uid="{00000000-0005-0000-0000-0000CB0D0000}"/>
    <cellStyle name="Separador de milhares 2 2 4 2 5 2" xfId="3382" xr:uid="{00000000-0005-0000-0000-0000CC0D0000}"/>
    <cellStyle name="Separador de milhares 2 2 4 2 5 2 2" xfId="9898" xr:uid="{00000000-0005-0000-0000-0000CD0D0000}"/>
    <cellStyle name="Separador de milhares 2 2 4 2 5 3" xfId="5612" xr:uid="{00000000-0005-0000-0000-0000CE0D0000}"/>
    <cellStyle name="Separador de milhares 2 2 4 2 5 3 2" xfId="12126" xr:uid="{00000000-0005-0000-0000-0000CF0D0000}"/>
    <cellStyle name="Separador de milhares 2 2 4 2 5 4" xfId="7842" xr:uid="{00000000-0005-0000-0000-0000D00D0000}"/>
    <cellStyle name="Separador de milhares 2 2 4 2 6" xfId="2354" xr:uid="{00000000-0005-0000-0000-0000D10D0000}"/>
    <cellStyle name="Separador de milhares 2 2 4 2 6 2" xfId="8870" xr:uid="{00000000-0005-0000-0000-0000D20D0000}"/>
    <cellStyle name="Separador de milhares 2 2 4 2 7" xfId="4496" xr:uid="{00000000-0005-0000-0000-0000D30D0000}"/>
    <cellStyle name="Separador de milhares 2 2 4 2 7 2" xfId="11010" xr:uid="{00000000-0005-0000-0000-0000D40D0000}"/>
    <cellStyle name="Separador de milhares 2 2 4 2 8" xfId="6726" xr:uid="{00000000-0005-0000-0000-0000D50D0000}"/>
    <cellStyle name="Separador de milhares 2 2 4 3" xfId="263" xr:uid="{00000000-0005-0000-0000-0000D60D0000}"/>
    <cellStyle name="Separador de milhares 2 2 4 3 2" xfId="606" xr:uid="{00000000-0005-0000-0000-0000D70D0000}"/>
    <cellStyle name="Separador de milhares 2 2 4 3 2 2" xfId="1130" xr:uid="{00000000-0005-0000-0000-0000D80D0000}"/>
    <cellStyle name="Separador de milhares 2 2 4 3 2 2 2" xfId="2158" xr:uid="{00000000-0005-0000-0000-0000D90D0000}"/>
    <cellStyle name="Separador de milhares 2 2 4 3 2 2 2 2" xfId="4216" xr:uid="{00000000-0005-0000-0000-0000DA0D0000}"/>
    <cellStyle name="Separador de milhares 2 2 4 3 2 2 2 2 2" xfId="10732" xr:uid="{00000000-0005-0000-0000-0000DB0D0000}"/>
    <cellStyle name="Separador de milhares 2 2 4 3 2 2 2 3" xfId="6446" xr:uid="{00000000-0005-0000-0000-0000DC0D0000}"/>
    <cellStyle name="Separador de milhares 2 2 4 3 2 2 2 3 2" xfId="12960" xr:uid="{00000000-0005-0000-0000-0000DD0D0000}"/>
    <cellStyle name="Separador de milhares 2 2 4 3 2 2 2 4" xfId="8676" xr:uid="{00000000-0005-0000-0000-0000DE0D0000}"/>
    <cellStyle name="Separador de milhares 2 2 4 3 2 2 3" xfId="3188" xr:uid="{00000000-0005-0000-0000-0000DF0D0000}"/>
    <cellStyle name="Separador de milhares 2 2 4 3 2 2 3 2" xfId="9704" xr:uid="{00000000-0005-0000-0000-0000E00D0000}"/>
    <cellStyle name="Separador de milhares 2 2 4 3 2 2 4" xfId="5418" xr:uid="{00000000-0005-0000-0000-0000E10D0000}"/>
    <cellStyle name="Separador de milhares 2 2 4 3 2 2 4 2" xfId="11932" xr:uid="{00000000-0005-0000-0000-0000E20D0000}"/>
    <cellStyle name="Separador de milhares 2 2 4 3 2 2 5" xfId="7648" xr:uid="{00000000-0005-0000-0000-0000E30D0000}"/>
    <cellStyle name="Separador de milhares 2 2 4 3 2 3" xfId="1644" xr:uid="{00000000-0005-0000-0000-0000E40D0000}"/>
    <cellStyle name="Separador de milhares 2 2 4 3 2 3 2" xfId="3702" xr:uid="{00000000-0005-0000-0000-0000E50D0000}"/>
    <cellStyle name="Separador de milhares 2 2 4 3 2 3 2 2" xfId="10218" xr:uid="{00000000-0005-0000-0000-0000E60D0000}"/>
    <cellStyle name="Separador de milhares 2 2 4 3 2 3 3" xfId="5932" xr:uid="{00000000-0005-0000-0000-0000E70D0000}"/>
    <cellStyle name="Separador de milhares 2 2 4 3 2 3 3 2" xfId="12446" xr:uid="{00000000-0005-0000-0000-0000E80D0000}"/>
    <cellStyle name="Separador de milhares 2 2 4 3 2 3 4" xfId="8162" xr:uid="{00000000-0005-0000-0000-0000E90D0000}"/>
    <cellStyle name="Separador de milhares 2 2 4 3 2 4" xfId="2674" xr:uid="{00000000-0005-0000-0000-0000EA0D0000}"/>
    <cellStyle name="Separador de milhares 2 2 4 3 2 4 2" xfId="9190" xr:uid="{00000000-0005-0000-0000-0000EB0D0000}"/>
    <cellStyle name="Separador de milhares 2 2 4 3 2 5" xfId="4902" xr:uid="{00000000-0005-0000-0000-0000EC0D0000}"/>
    <cellStyle name="Separador de milhares 2 2 4 3 2 5 2" xfId="11416" xr:uid="{00000000-0005-0000-0000-0000ED0D0000}"/>
    <cellStyle name="Separador de milhares 2 2 4 3 2 6" xfId="7132" xr:uid="{00000000-0005-0000-0000-0000EE0D0000}"/>
    <cellStyle name="Separador de milhares 2 2 4 3 3" xfId="874" xr:uid="{00000000-0005-0000-0000-0000EF0D0000}"/>
    <cellStyle name="Separador de milhares 2 2 4 3 3 2" xfId="1902" xr:uid="{00000000-0005-0000-0000-0000F00D0000}"/>
    <cellStyle name="Separador de milhares 2 2 4 3 3 2 2" xfId="3960" xr:uid="{00000000-0005-0000-0000-0000F10D0000}"/>
    <cellStyle name="Separador de milhares 2 2 4 3 3 2 2 2" xfId="10476" xr:uid="{00000000-0005-0000-0000-0000F20D0000}"/>
    <cellStyle name="Separador de milhares 2 2 4 3 3 2 3" xfId="6190" xr:uid="{00000000-0005-0000-0000-0000F30D0000}"/>
    <cellStyle name="Separador de milhares 2 2 4 3 3 2 3 2" xfId="12704" xr:uid="{00000000-0005-0000-0000-0000F40D0000}"/>
    <cellStyle name="Separador de milhares 2 2 4 3 3 2 4" xfId="8420" xr:uid="{00000000-0005-0000-0000-0000F50D0000}"/>
    <cellStyle name="Separador de milhares 2 2 4 3 3 3" xfId="2932" xr:uid="{00000000-0005-0000-0000-0000F60D0000}"/>
    <cellStyle name="Separador de milhares 2 2 4 3 3 3 2" xfId="9448" xr:uid="{00000000-0005-0000-0000-0000F70D0000}"/>
    <cellStyle name="Separador de milhares 2 2 4 3 3 4" xfId="5162" xr:uid="{00000000-0005-0000-0000-0000F80D0000}"/>
    <cellStyle name="Separador de milhares 2 2 4 3 3 4 2" xfId="11676" xr:uid="{00000000-0005-0000-0000-0000F90D0000}"/>
    <cellStyle name="Separador de milhares 2 2 4 3 3 5" xfId="7392" xr:uid="{00000000-0005-0000-0000-0000FA0D0000}"/>
    <cellStyle name="Separador de milhares 2 2 4 3 4" xfId="1388" xr:uid="{00000000-0005-0000-0000-0000FB0D0000}"/>
    <cellStyle name="Separador de milhares 2 2 4 3 4 2" xfId="3446" xr:uid="{00000000-0005-0000-0000-0000FC0D0000}"/>
    <cellStyle name="Separador de milhares 2 2 4 3 4 2 2" xfId="9962" xr:uid="{00000000-0005-0000-0000-0000FD0D0000}"/>
    <cellStyle name="Separador de milhares 2 2 4 3 4 3" xfId="5676" xr:uid="{00000000-0005-0000-0000-0000FE0D0000}"/>
    <cellStyle name="Separador de milhares 2 2 4 3 4 3 2" xfId="12190" xr:uid="{00000000-0005-0000-0000-0000FF0D0000}"/>
    <cellStyle name="Separador de milhares 2 2 4 3 4 4" xfId="7906" xr:uid="{00000000-0005-0000-0000-0000000E0000}"/>
    <cellStyle name="Separador de milhares 2 2 4 3 5" xfId="2418" xr:uid="{00000000-0005-0000-0000-0000010E0000}"/>
    <cellStyle name="Separador de milhares 2 2 4 3 5 2" xfId="8934" xr:uid="{00000000-0005-0000-0000-0000020E0000}"/>
    <cellStyle name="Separador de milhares 2 2 4 3 6" xfId="4560" xr:uid="{00000000-0005-0000-0000-0000030E0000}"/>
    <cellStyle name="Separador de milhares 2 2 4 3 6 2" xfId="11074" xr:uid="{00000000-0005-0000-0000-0000040E0000}"/>
    <cellStyle name="Separador de milhares 2 2 4 3 7" xfId="6790" xr:uid="{00000000-0005-0000-0000-0000050E0000}"/>
    <cellStyle name="Separador de milhares 2 2 4 4" xfId="439" xr:uid="{00000000-0005-0000-0000-0000060E0000}"/>
    <cellStyle name="Separador de milhares 2 2 4 4 2" xfId="1002" xr:uid="{00000000-0005-0000-0000-0000070E0000}"/>
    <cellStyle name="Separador de milhares 2 2 4 4 2 2" xfId="2030" xr:uid="{00000000-0005-0000-0000-0000080E0000}"/>
    <cellStyle name="Separador de milhares 2 2 4 4 2 2 2" xfId="4088" xr:uid="{00000000-0005-0000-0000-0000090E0000}"/>
    <cellStyle name="Separador de milhares 2 2 4 4 2 2 2 2" xfId="10604" xr:uid="{00000000-0005-0000-0000-00000A0E0000}"/>
    <cellStyle name="Separador de milhares 2 2 4 4 2 2 3" xfId="6318" xr:uid="{00000000-0005-0000-0000-00000B0E0000}"/>
    <cellStyle name="Separador de milhares 2 2 4 4 2 2 3 2" xfId="12832" xr:uid="{00000000-0005-0000-0000-00000C0E0000}"/>
    <cellStyle name="Separador de milhares 2 2 4 4 2 2 4" xfId="8548" xr:uid="{00000000-0005-0000-0000-00000D0E0000}"/>
    <cellStyle name="Separador de milhares 2 2 4 4 2 3" xfId="3060" xr:uid="{00000000-0005-0000-0000-00000E0E0000}"/>
    <cellStyle name="Separador de milhares 2 2 4 4 2 3 2" xfId="9576" xr:uid="{00000000-0005-0000-0000-00000F0E0000}"/>
    <cellStyle name="Separador de milhares 2 2 4 4 2 4" xfId="5290" xr:uid="{00000000-0005-0000-0000-0000100E0000}"/>
    <cellStyle name="Separador de milhares 2 2 4 4 2 4 2" xfId="11804" xr:uid="{00000000-0005-0000-0000-0000110E0000}"/>
    <cellStyle name="Separador de milhares 2 2 4 4 2 5" xfId="7520" xr:uid="{00000000-0005-0000-0000-0000120E0000}"/>
    <cellStyle name="Separador de milhares 2 2 4 4 3" xfId="1516" xr:uid="{00000000-0005-0000-0000-0000130E0000}"/>
    <cellStyle name="Separador de milhares 2 2 4 4 3 2" xfId="3574" xr:uid="{00000000-0005-0000-0000-0000140E0000}"/>
    <cellStyle name="Separador de milhares 2 2 4 4 3 2 2" xfId="10090" xr:uid="{00000000-0005-0000-0000-0000150E0000}"/>
    <cellStyle name="Separador de milhares 2 2 4 4 3 3" xfId="5804" xr:uid="{00000000-0005-0000-0000-0000160E0000}"/>
    <cellStyle name="Separador de milhares 2 2 4 4 3 3 2" xfId="12318" xr:uid="{00000000-0005-0000-0000-0000170E0000}"/>
    <cellStyle name="Separador de milhares 2 2 4 4 3 4" xfId="8034" xr:uid="{00000000-0005-0000-0000-0000180E0000}"/>
    <cellStyle name="Separador de milhares 2 2 4 4 4" xfId="2546" xr:uid="{00000000-0005-0000-0000-0000190E0000}"/>
    <cellStyle name="Separador de milhares 2 2 4 4 4 2" xfId="9062" xr:uid="{00000000-0005-0000-0000-00001A0E0000}"/>
    <cellStyle name="Separador de milhares 2 2 4 4 5" xfId="4735" xr:uid="{00000000-0005-0000-0000-00001B0E0000}"/>
    <cellStyle name="Separador de milhares 2 2 4 4 5 2" xfId="11249" xr:uid="{00000000-0005-0000-0000-00001C0E0000}"/>
    <cellStyle name="Separador de milhares 2 2 4 4 6" xfId="6965" xr:uid="{00000000-0005-0000-0000-00001D0E0000}"/>
    <cellStyle name="Separador de milhares 2 2 4 5" xfId="746" xr:uid="{00000000-0005-0000-0000-00001E0E0000}"/>
    <cellStyle name="Separador de milhares 2 2 4 5 2" xfId="1774" xr:uid="{00000000-0005-0000-0000-00001F0E0000}"/>
    <cellStyle name="Separador de milhares 2 2 4 5 2 2" xfId="3832" xr:uid="{00000000-0005-0000-0000-0000200E0000}"/>
    <cellStyle name="Separador de milhares 2 2 4 5 2 2 2" xfId="10348" xr:uid="{00000000-0005-0000-0000-0000210E0000}"/>
    <cellStyle name="Separador de milhares 2 2 4 5 2 3" xfId="6062" xr:uid="{00000000-0005-0000-0000-0000220E0000}"/>
    <cellStyle name="Separador de milhares 2 2 4 5 2 3 2" xfId="12576" xr:uid="{00000000-0005-0000-0000-0000230E0000}"/>
    <cellStyle name="Separador de milhares 2 2 4 5 2 4" xfId="8292" xr:uid="{00000000-0005-0000-0000-0000240E0000}"/>
    <cellStyle name="Separador de milhares 2 2 4 5 3" xfId="2804" xr:uid="{00000000-0005-0000-0000-0000250E0000}"/>
    <cellStyle name="Separador de milhares 2 2 4 5 3 2" xfId="9320" xr:uid="{00000000-0005-0000-0000-0000260E0000}"/>
    <cellStyle name="Separador de milhares 2 2 4 5 4" xfId="5034" xr:uid="{00000000-0005-0000-0000-0000270E0000}"/>
    <cellStyle name="Separador de milhares 2 2 4 5 4 2" xfId="11548" xr:uid="{00000000-0005-0000-0000-0000280E0000}"/>
    <cellStyle name="Separador de milhares 2 2 4 5 5" xfId="7264" xr:uid="{00000000-0005-0000-0000-0000290E0000}"/>
    <cellStyle name="Separador de milhares 2 2 4 6" xfId="1260" xr:uid="{00000000-0005-0000-0000-00002A0E0000}"/>
    <cellStyle name="Separador de milhares 2 2 4 6 2" xfId="3318" xr:uid="{00000000-0005-0000-0000-00002B0E0000}"/>
    <cellStyle name="Separador de milhares 2 2 4 6 2 2" xfId="9834" xr:uid="{00000000-0005-0000-0000-00002C0E0000}"/>
    <cellStyle name="Separador de milhares 2 2 4 6 3" xfId="5548" xr:uid="{00000000-0005-0000-0000-00002D0E0000}"/>
    <cellStyle name="Separador de milhares 2 2 4 6 3 2" xfId="12062" xr:uid="{00000000-0005-0000-0000-00002E0E0000}"/>
    <cellStyle name="Separador de milhares 2 2 4 6 4" xfId="7778" xr:uid="{00000000-0005-0000-0000-00002F0E0000}"/>
    <cellStyle name="Separador de milhares 2 2 4 7" xfId="2290" xr:uid="{00000000-0005-0000-0000-0000300E0000}"/>
    <cellStyle name="Separador de milhares 2 2 4 7 2" xfId="8806" xr:uid="{00000000-0005-0000-0000-0000310E0000}"/>
    <cellStyle name="Separador de milhares 2 2 4 8" xfId="4393" xr:uid="{00000000-0005-0000-0000-0000320E0000}"/>
    <cellStyle name="Separador de milhares 2 2 4 8 2" xfId="10907" xr:uid="{00000000-0005-0000-0000-0000330E0000}"/>
    <cellStyle name="Separador de milhares 2 2 4 9" xfId="6623" xr:uid="{00000000-0005-0000-0000-0000340E0000}"/>
    <cellStyle name="Separador de milhares 2 2 5" xfId="167" xr:uid="{00000000-0005-0000-0000-0000350E0000}"/>
    <cellStyle name="Separador de milhares 2 2 5 2" xfId="295" xr:uid="{00000000-0005-0000-0000-0000360E0000}"/>
    <cellStyle name="Separador de milhares 2 2 5 2 2" xfId="638" xr:uid="{00000000-0005-0000-0000-0000370E0000}"/>
    <cellStyle name="Separador de milhares 2 2 5 2 2 2" xfId="1162" xr:uid="{00000000-0005-0000-0000-0000380E0000}"/>
    <cellStyle name="Separador de milhares 2 2 5 2 2 2 2" xfId="2190" xr:uid="{00000000-0005-0000-0000-0000390E0000}"/>
    <cellStyle name="Separador de milhares 2 2 5 2 2 2 2 2" xfId="4248" xr:uid="{00000000-0005-0000-0000-00003A0E0000}"/>
    <cellStyle name="Separador de milhares 2 2 5 2 2 2 2 2 2" xfId="10764" xr:uid="{00000000-0005-0000-0000-00003B0E0000}"/>
    <cellStyle name="Separador de milhares 2 2 5 2 2 2 2 3" xfId="6478" xr:uid="{00000000-0005-0000-0000-00003C0E0000}"/>
    <cellStyle name="Separador de milhares 2 2 5 2 2 2 2 3 2" xfId="12992" xr:uid="{00000000-0005-0000-0000-00003D0E0000}"/>
    <cellStyle name="Separador de milhares 2 2 5 2 2 2 2 4" xfId="8708" xr:uid="{00000000-0005-0000-0000-00003E0E0000}"/>
    <cellStyle name="Separador de milhares 2 2 5 2 2 2 3" xfId="3220" xr:uid="{00000000-0005-0000-0000-00003F0E0000}"/>
    <cellStyle name="Separador de milhares 2 2 5 2 2 2 3 2" xfId="9736" xr:uid="{00000000-0005-0000-0000-0000400E0000}"/>
    <cellStyle name="Separador de milhares 2 2 5 2 2 2 4" xfId="5450" xr:uid="{00000000-0005-0000-0000-0000410E0000}"/>
    <cellStyle name="Separador de milhares 2 2 5 2 2 2 4 2" xfId="11964" xr:uid="{00000000-0005-0000-0000-0000420E0000}"/>
    <cellStyle name="Separador de milhares 2 2 5 2 2 2 5" xfId="7680" xr:uid="{00000000-0005-0000-0000-0000430E0000}"/>
    <cellStyle name="Separador de milhares 2 2 5 2 2 3" xfId="1676" xr:uid="{00000000-0005-0000-0000-0000440E0000}"/>
    <cellStyle name="Separador de milhares 2 2 5 2 2 3 2" xfId="3734" xr:uid="{00000000-0005-0000-0000-0000450E0000}"/>
    <cellStyle name="Separador de milhares 2 2 5 2 2 3 2 2" xfId="10250" xr:uid="{00000000-0005-0000-0000-0000460E0000}"/>
    <cellStyle name="Separador de milhares 2 2 5 2 2 3 3" xfId="5964" xr:uid="{00000000-0005-0000-0000-0000470E0000}"/>
    <cellStyle name="Separador de milhares 2 2 5 2 2 3 3 2" xfId="12478" xr:uid="{00000000-0005-0000-0000-0000480E0000}"/>
    <cellStyle name="Separador de milhares 2 2 5 2 2 3 4" xfId="8194" xr:uid="{00000000-0005-0000-0000-0000490E0000}"/>
    <cellStyle name="Separador de milhares 2 2 5 2 2 4" xfId="2706" xr:uid="{00000000-0005-0000-0000-00004A0E0000}"/>
    <cellStyle name="Separador de milhares 2 2 5 2 2 4 2" xfId="9222" xr:uid="{00000000-0005-0000-0000-00004B0E0000}"/>
    <cellStyle name="Separador de milhares 2 2 5 2 2 5" xfId="4934" xr:uid="{00000000-0005-0000-0000-00004C0E0000}"/>
    <cellStyle name="Separador de milhares 2 2 5 2 2 5 2" xfId="11448" xr:uid="{00000000-0005-0000-0000-00004D0E0000}"/>
    <cellStyle name="Separador de milhares 2 2 5 2 2 6" xfId="7164" xr:uid="{00000000-0005-0000-0000-00004E0E0000}"/>
    <cellStyle name="Separador de milhares 2 2 5 2 3" xfId="906" xr:uid="{00000000-0005-0000-0000-00004F0E0000}"/>
    <cellStyle name="Separador de milhares 2 2 5 2 3 2" xfId="1934" xr:uid="{00000000-0005-0000-0000-0000500E0000}"/>
    <cellStyle name="Separador de milhares 2 2 5 2 3 2 2" xfId="3992" xr:uid="{00000000-0005-0000-0000-0000510E0000}"/>
    <cellStyle name="Separador de milhares 2 2 5 2 3 2 2 2" xfId="10508" xr:uid="{00000000-0005-0000-0000-0000520E0000}"/>
    <cellStyle name="Separador de milhares 2 2 5 2 3 2 3" xfId="6222" xr:uid="{00000000-0005-0000-0000-0000530E0000}"/>
    <cellStyle name="Separador de milhares 2 2 5 2 3 2 3 2" xfId="12736" xr:uid="{00000000-0005-0000-0000-0000540E0000}"/>
    <cellStyle name="Separador de milhares 2 2 5 2 3 2 4" xfId="8452" xr:uid="{00000000-0005-0000-0000-0000550E0000}"/>
    <cellStyle name="Separador de milhares 2 2 5 2 3 3" xfId="2964" xr:uid="{00000000-0005-0000-0000-0000560E0000}"/>
    <cellStyle name="Separador de milhares 2 2 5 2 3 3 2" xfId="9480" xr:uid="{00000000-0005-0000-0000-0000570E0000}"/>
    <cellStyle name="Separador de milhares 2 2 5 2 3 4" xfId="5194" xr:uid="{00000000-0005-0000-0000-0000580E0000}"/>
    <cellStyle name="Separador de milhares 2 2 5 2 3 4 2" xfId="11708" xr:uid="{00000000-0005-0000-0000-0000590E0000}"/>
    <cellStyle name="Separador de milhares 2 2 5 2 3 5" xfId="7424" xr:uid="{00000000-0005-0000-0000-00005A0E0000}"/>
    <cellStyle name="Separador de milhares 2 2 5 2 4" xfId="1420" xr:uid="{00000000-0005-0000-0000-00005B0E0000}"/>
    <cellStyle name="Separador de milhares 2 2 5 2 4 2" xfId="3478" xr:uid="{00000000-0005-0000-0000-00005C0E0000}"/>
    <cellStyle name="Separador de milhares 2 2 5 2 4 2 2" xfId="9994" xr:uid="{00000000-0005-0000-0000-00005D0E0000}"/>
    <cellStyle name="Separador de milhares 2 2 5 2 4 3" xfId="5708" xr:uid="{00000000-0005-0000-0000-00005E0E0000}"/>
    <cellStyle name="Separador de milhares 2 2 5 2 4 3 2" xfId="12222" xr:uid="{00000000-0005-0000-0000-00005F0E0000}"/>
    <cellStyle name="Separador de milhares 2 2 5 2 4 4" xfId="7938" xr:uid="{00000000-0005-0000-0000-0000600E0000}"/>
    <cellStyle name="Separador de milhares 2 2 5 2 5" xfId="2450" xr:uid="{00000000-0005-0000-0000-0000610E0000}"/>
    <cellStyle name="Separador de milhares 2 2 5 2 5 2" xfId="8966" xr:uid="{00000000-0005-0000-0000-0000620E0000}"/>
    <cellStyle name="Separador de milhares 2 2 5 2 6" xfId="4592" xr:uid="{00000000-0005-0000-0000-0000630E0000}"/>
    <cellStyle name="Separador de milhares 2 2 5 2 6 2" xfId="11106" xr:uid="{00000000-0005-0000-0000-0000640E0000}"/>
    <cellStyle name="Separador de milhares 2 2 5 2 7" xfId="6822" xr:uid="{00000000-0005-0000-0000-0000650E0000}"/>
    <cellStyle name="Separador de milhares 2 2 5 3" xfId="510" xr:uid="{00000000-0005-0000-0000-0000660E0000}"/>
    <cellStyle name="Separador de milhares 2 2 5 3 2" xfId="1034" xr:uid="{00000000-0005-0000-0000-0000670E0000}"/>
    <cellStyle name="Separador de milhares 2 2 5 3 2 2" xfId="2062" xr:uid="{00000000-0005-0000-0000-0000680E0000}"/>
    <cellStyle name="Separador de milhares 2 2 5 3 2 2 2" xfId="4120" xr:uid="{00000000-0005-0000-0000-0000690E0000}"/>
    <cellStyle name="Separador de milhares 2 2 5 3 2 2 2 2" xfId="10636" xr:uid="{00000000-0005-0000-0000-00006A0E0000}"/>
    <cellStyle name="Separador de milhares 2 2 5 3 2 2 3" xfId="6350" xr:uid="{00000000-0005-0000-0000-00006B0E0000}"/>
    <cellStyle name="Separador de milhares 2 2 5 3 2 2 3 2" xfId="12864" xr:uid="{00000000-0005-0000-0000-00006C0E0000}"/>
    <cellStyle name="Separador de milhares 2 2 5 3 2 2 4" xfId="8580" xr:uid="{00000000-0005-0000-0000-00006D0E0000}"/>
    <cellStyle name="Separador de milhares 2 2 5 3 2 3" xfId="3092" xr:uid="{00000000-0005-0000-0000-00006E0E0000}"/>
    <cellStyle name="Separador de milhares 2 2 5 3 2 3 2" xfId="9608" xr:uid="{00000000-0005-0000-0000-00006F0E0000}"/>
    <cellStyle name="Separador de milhares 2 2 5 3 2 4" xfId="5322" xr:uid="{00000000-0005-0000-0000-0000700E0000}"/>
    <cellStyle name="Separador de milhares 2 2 5 3 2 4 2" xfId="11836" xr:uid="{00000000-0005-0000-0000-0000710E0000}"/>
    <cellStyle name="Separador de milhares 2 2 5 3 2 5" xfId="7552" xr:uid="{00000000-0005-0000-0000-0000720E0000}"/>
    <cellStyle name="Separador de milhares 2 2 5 3 3" xfId="1548" xr:uid="{00000000-0005-0000-0000-0000730E0000}"/>
    <cellStyle name="Separador de milhares 2 2 5 3 3 2" xfId="3606" xr:uid="{00000000-0005-0000-0000-0000740E0000}"/>
    <cellStyle name="Separador de milhares 2 2 5 3 3 2 2" xfId="10122" xr:uid="{00000000-0005-0000-0000-0000750E0000}"/>
    <cellStyle name="Separador de milhares 2 2 5 3 3 3" xfId="5836" xr:uid="{00000000-0005-0000-0000-0000760E0000}"/>
    <cellStyle name="Separador de milhares 2 2 5 3 3 3 2" xfId="12350" xr:uid="{00000000-0005-0000-0000-0000770E0000}"/>
    <cellStyle name="Separador de milhares 2 2 5 3 3 4" xfId="8066" xr:uid="{00000000-0005-0000-0000-0000780E0000}"/>
    <cellStyle name="Separador de milhares 2 2 5 3 4" xfId="2578" xr:uid="{00000000-0005-0000-0000-0000790E0000}"/>
    <cellStyle name="Separador de milhares 2 2 5 3 4 2" xfId="9094" xr:uid="{00000000-0005-0000-0000-00007A0E0000}"/>
    <cellStyle name="Separador de milhares 2 2 5 3 5" xfId="4806" xr:uid="{00000000-0005-0000-0000-00007B0E0000}"/>
    <cellStyle name="Separador de milhares 2 2 5 3 5 2" xfId="11320" xr:uid="{00000000-0005-0000-0000-00007C0E0000}"/>
    <cellStyle name="Separador de milhares 2 2 5 3 6" xfId="7036" xr:uid="{00000000-0005-0000-0000-00007D0E0000}"/>
    <cellStyle name="Separador de milhares 2 2 5 4" xfId="778" xr:uid="{00000000-0005-0000-0000-00007E0E0000}"/>
    <cellStyle name="Separador de milhares 2 2 5 4 2" xfId="1806" xr:uid="{00000000-0005-0000-0000-00007F0E0000}"/>
    <cellStyle name="Separador de milhares 2 2 5 4 2 2" xfId="3864" xr:uid="{00000000-0005-0000-0000-0000800E0000}"/>
    <cellStyle name="Separador de milhares 2 2 5 4 2 2 2" xfId="10380" xr:uid="{00000000-0005-0000-0000-0000810E0000}"/>
    <cellStyle name="Separador de milhares 2 2 5 4 2 3" xfId="6094" xr:uid="{00000000-0005-0000-0000-0000820E0000}"/>
    <cellStyle name="Separador de milhares 2 2 5 4 2 3 2" xfId="12608" xr:uid="{00000000-0005-0000-0000-0000830E0000}"/>
    <cellStyle name="Separador de milhares 2 2 5 4 2 4" xfId="8324" xr:uid="{00000000-0005-0000-0000-0000840E0000}"/>
    <cellStyle name="Separador de milhares 2 2 5 4 3" xfId="2836" xr:uid="{00000000-0005-0000-0000-0000850E0000}"/>
    <cellStyle name="Separador de milhares 2 2 5 4 3 2" xfId="9352" xr:uid="{00000000-0005-0000-0000-0000860E0000}"/>
    <cellStyle name="Separador de milhares 2 2 5 4 4" xfId="5066" xr:uid="{00000000-0005-0000-0000-0000870E0000}"/>
    <cellStyle name="Separador de milhares 2 2 5 4 4 2" xfId="11580" xr:uid="{00000000-0005-0000-0000-0000880E0000}"/>
    <cellStyle name="Separador de milhares 2 2 5 4 5" xfId="7296" xr:uid="{00000000-0005-0000-0000-0000890E0000}"/>
    <cellStyle name="Separador de milhares 2 2 5 5" xfId="1292" xr:uid="{00000000-0005-0000-0000-00008A0E0000}"/>
    <cellStyle name="Separador de milhares 2 2 5 5 2" xfId="3350" xr:uid="{00000000-0005-0000-0000-00008B0E0000}"/>
    <cellStyle name="Separador de milhares 2 2 5 5 2 2" xfId="9866" xr:uid="{00000000-0005-0000-0000-00008C0E0000}"/>
    <cellStyle name="Separador de milhares 2 2 5 5 3" xfId="5580" xr:uid="{00000000-0005-0000-0000-00008D0E0000}"/>
    <cellStyle name="Separador de milhares 2 2 5 5 3 2" xfId="12094" xr:uid="{00000000-0005-0000-0000-00008E0E0000}"/>
    <cellStyle name="Separador de milhares 2 2 5 5 4" xfId="7810" xr:uid="{00000000-0005-0000-0000-00008F0E0000}"/>
    <cellStyle name="Separador de milhares 2 2 5 6" xfId="2322" xr:uid="{00000000-0005-0000-0000-0000900E0000}"/>
    <cellStyle name="Separador de milhares 2 2 5 6 2" xfId="8838" xr:uid="{00000000-0005-0000-0000-0000910E0000}"/>
    <cellStyle name="Separador de milhares 2 2 5 7" xfId="4464" xr:uid="{00000000-0005-0000-0000-0000920E0000}"/>
    <cellStyle name="Separador de milhares 2 2 5 7 2" xfId="10978" xr:uid="{00000000-0005-0000-0000-0000930E0000}"/>
    <cellStyle name="Separador de milhares 2 2 5 8" xfId="6694" xr:uid="{00000000-0005-0000-0000-0000940E0000}"/>
    <cellStyle name="Separador de milhares 2 2 6" xfId="231" xr:uid="{00000000-0005-0000-0000-0000950E0000}"/>
    <cellStyle name="Separador de milhares 2 2 6 2" xfId="574" xr:uid="{00000000-0005-0000-0000-0000960E0000}"/>
    <cellStyle name="Separador de milhares 2 2 6 2 2" xfId="1098" xr:uid="{00000000-0005-0000-0000-0000970E0000}"/>
    <cellStyle name="Separador de milhares 2 2 6 2 2 2" xfId="2126" xr:uid="{00000000-0005-0000-0000-0000980E0000}"/>
    <cellStyle name="Separador de milhares 2 2 6 2 2 2 2" xfId="4184" xr:uid="{00000000-0005-0000-0000-0000990E0000}"/>
    <cellStyle name="Separador de milhares 2 2 6 2 2 2 2 2" xfId="10700" xr:uid="{00000000-0005-0000-0000-00009A0E0000}"/>
    <cellStyle name="Separador de milhares 2 2 6 2 2 2 3" xfId="6414" xr:uid="{00000000-0005-0000-0000-00009B0E0000}"/>
    <cellStyle name="Separador de milhares 2 2 6 2 2 2 3 2" xfId="12928" xr:uid="{00000000-0005-0000-0000-00009C0E0000}"/>
    <cellStyle name="Separador de milhares 2 2 6 2 2 2 4" xfId="8644" xr:uid="{00000000-0005-0000-0000-00009D0E0000}"/>
    <cellStyle name="Separador de milhares 2 2 6 2 2 3" xfId="3156" xr:uid="{00000000-0005-0000-0000-00009E0E0000}"/>
    <cellStyle name="Separador de milhares 2 2 6 2 2 3 2" xfId="9672" xr:uid="{00000000-0005-0000-0000-00009F0E0000}"/>
    <cellStyle name="Separador de milhares 2 2 6 2 2 4" xfId="5386" xr:uid="{00000000-0005-0000-0000-0000A00E0000}"/>
    <cellStyle name="Separador de milhares 2 2 6 2 2 4 2" xfId="11900" xr:uid="{00000000-0005-0000-0000-0000A10E0000}"/>
    <cellStyle name="Separador de milhares 2 2 6 2 2 5" xfId="7616" xr:uid="{00000000-0005-0000-0000-0000A20E0000}"/>
    <cellStyle name="Separador de milhares 2 2 6 2 3" xfId="1612" xr:uid="{00000000-0005-0000-0000-0000A30E0000}"/>
    <cellStyle name="Separador de milhares 2 2 6 2 3 2" xfId="3670" xr:uid="{00000000-0005-0000-0000-0000A40E0000}"/>
    <cellStyle name="Separador de milhares 2 2 6 2 3 2 2" xfId="10186" xr:uid="{00000000-0005-0000-0000-0000A50E0000}"/>
    <cellStyle name="Separador de milhares 2 2 6 2 3 3" xfId="5900" xr:uid="{00000000-0005-0000-0000-0000A60E0000}"/>
    <cellStyle name="Separador de milhares 2 2 6 2 3 3 2" xfId="12414" xr:uid="{00000000-0005-0000-0000-0000A70E0000}"/>
    <cellStyle name="Separador de milhares 2 2 6 2 3 4" xfId="8130" xr:uid="{00000000-0005-0000-0000-0000A80E0000}"/>
    <cellStyle name="Separador de milhares 2 2 6 2 4" xfId="2642" xr:uid="{00000000-0005-0000-0000-0000A90E0000}"/>
    <cellStyle name="Separador de milhares 2 2 6 2 4 2" xfId="9158" xr:uid="{00000000-0005-0000-0000-0000AA0E0000}"/>
    <cellStyle name="Separador de milhares 2 2 6 2 5" xfId="4870" xr:uid="{00000000-0005-0000-0000-0000AB0E0000}"/>
    <cellStyle name="Separador de milhares 2 2 6 2 5 2" xfId="11384" xr:uid="{00000000-0005-0000-0000-0000AC0E0000}"/>
    <cellStyle name="Separador de milhares 2 2 6 2 6" xfId="7100" xr:uid="{00000000-0005-0000-0000-0000AD0E0000}"/>
    <cellStyle name="Separador de milhares 2 2 6 3" xfId="842" xr:uid="{00000000-0005-0000-0000-0000AE0E0000}"/>
    <cellStyle name="Separador de milhares 2 2 6 3 2" xfId="1870" xr:uid="{00000000-0005-0000-0000-0000AF0E0000}"/>
    <cellStyle name="Separador de milhares 2 2 6 3 2 2" xfId="3928" xr:uid="{00000000-0005-0000-0000-0000B00E0000}"/>
    <cellStyle name="Separador de milhares 2 2 6 3 2 2 2" xfId="10444" xr:uid="{00000000-0005-0000-0000-0000B10E0000}"/>
    <cellStyle name="Separador de milhares 2 2 6 3 2 3" xfId="6158" xr:uid="{00000000-0005-0000-0000-0000B20E0000}"/>
    <cellStyle name="Separador de milhares 2 2 6 3 2 3 2" xfId="12672" xr:uid="{00000000-0005-0000-0000-0000B30E0000}"/>
    <cellStyle name="Separador de milhares 2 2 6 3 2 4" xfId="8388" xr:uid="{00000000-0005-0000-0000-0000B40E0000}"/>
    <cellStyle name="Separador de milhares 2 2 6 3 3" xfId="2900" xr:uid="{00000000-0005-0000-0000-0000B50E0000}"/>
    <cellStyle name="Separador de milhares 2 2 6 3 3 2" xfId="9416" xr:uid="{00000000-0005-0000-0000-0000B60E0000}"/>
    <cellStyle name="Separador de milhares 2 2 6 3 4" xfId="5130" xr:uid="{00000000-0005-0000-0000-0000B70E0000}"/>
    <cellStyle name="Separador de milhares 2 2 6 3 4 2" xfId="11644" xr:uid="{00000000-0005-0000-0000-0000B80E0000}"/>
    <cellStyle name="Separador de milhares 2 2 6 3 5" xfId="7360" xr:uid="{00000000-0005-0000-0000-0000B90E0000}"/>
    <cellStyle name="Separador de milhares 2 2 6 4" xfId="1356" xr:uid="{00000000-0005-0000-0000-0000BA0E0000}"/>
    <cellStyle name="Separador de milhares 2 2 6 4 2" xfId="3414" xr:uid="{00000000-0005-0000-0000-0000BB0E0000}"/>
    <cellStyle name="Separador de milhares 2 2 6 4 2 2" xfId="9930" xr:uid="{00000000-0005-0000-0000-0000BC0E0000}"/>
    <cellStyle name="Separador de milhares 2 2 6 4 3" xfId="5644" xr:uid="{00000000-0005-0000-0000-0000BD0E0000}"/>
    <cellStyle name="Separador de milhares 2 2 6 4 3 2" xfId="12158" xr:uid="{00000000-0005-0000-0000-0000BE0E0000}"/>
    <cellStyle name="Separador de milhares 2 2 6 4 4" xfId="7874" xr:uid="{00000000-0005-0000-0000-0000BF0E0000}"/>
    <cellStyle name="Separador de milhares 2 2 6 5" xfId="2386" xr:uid="{00000000-0005-0000-0000-0000C00E0000}"/>
    <cellStyle name="Separador de milhares 2 2 6 5 2" xfId="8902" xr:uid="{00000000-0005-0000-0000-0000C10E0000}"/>
    <cellStyle name="Separador de milhares 2 2 6 6" xfId="4528" xr:uid="{00000000-0005-0000-0000-0000C20E0000}"/>
    <cellStyle name="Separador de milhares 2 2 6 6 2" xfId="11042" xr:uid="{00000000-0005-0000-0000-0000C30E0000}"/>
    <cellStyle name="Separador de milhares 2 2 6 7" xfId="6758" xr:uid="{00000000-0005-0000-0000-0000C40E0000}"/>
    <cellStyle name="Separador de milhares 2 2 7" xfId="365" xr:uid="{00000000-0005-0000-0000-0000C50E0000}"/>
    <cellStyle name="Separador de milhares 2 2 7 2" xfId="970" xr:uid="{00000000-0005-0000-0000-0000C60E0000}"/>
    <cellStyle name="Separador de milhares 2 2 7 2 2" xfId="1998" xr:uid="{00000000-0005-0000-0000-0000C70E0000}"/>
    <cellStyle name="Separador de milhares 2 2 7 2 2 2" xfId="4056" xr:uid="{00000000-0005-0000-0000-0000C80E0000}"/>
    <cellStyle name="Separador de milhares 2 2 7 2 2 2 2" xfId="10572" xr:uid="{00000000-0005-0000-0000-0000C90E0000}"/>
    <cellStyle name="Separador de milhares 2 2 7 2 2 3" xfId="6286" xr:uid="{00000000-0005-0000-0000-0000CA0E0000}"/>
    <cellStyle name="Separador de milhares 2 2 7 2 2 3 2" xfId="12800" xr:uid="{00000000-0005-0000-0000-0000CB0E0000}"/>
    <cellStyle name="Separador de milhares 2 2 7 2 2 4" xfId="8516" xr:uid="{00000000-0005-0000-0000-0000CC0E0000}"/>
    <cellStyle name="Separador de milhares 2 2 7 2 3" xfId="3028" xr:uid="{00000000-0005-0000-0000-0000CD0E0000}"/>
    <cellStyle name="Separador de milhares 2 2 7 2 3 2" xfId="9544" xr:uid="{00000000-0005-0000-0000-0000CE0E0000}"/>
    <cellStyle name="Separador de milhares 2 2 7 2 4" xfId="5258" xr:uid="{00000000-0005-0000-0000-0000CF0E0000}"/>
    <cellStyle name="Separador de milhares 2 2 7 2 4 2" xfId="11772" xr:uid="{00000000-0005-0000-0000-0000D00E0000}"/>
    <cellStyle name="Separador de milhares 2 2 7 2 5" xfId="7488" xr:uid="{00000000-0005-0000-0000-0000D10E0000}"/>
    <cellStyle name="Separador de milhares 2 2 7 3" xfId="1484" xr:uid="{00000000-0005-0000-0000-0000D20E0000}"/>
    <cellStyle name="Separador de milhares 2 2 7 3 2" xfId="3542" xr:uid="{00000000-0005-0000-0000-0000D30E0000}"/>
    <cellStyle name="Separador de milhares 2 2 7 3 2 2" xfId="10058" xr:uid="{00000000-0005-0000-0000-0000D40E0000}"/>
    <cellStyle name="Separador de milhares 2 2 7 3 3" xfId="5772" xr:uid="{00000000-0005-0000-0000-0000D50E0000}"/>
    <cellStyle name="Separador de milhares 2 2 7 3 3 2" xfId="12286" xr:uid="{00000000-0005-0000-0000-0000D60E0000}"/>
    <cellStyle name="Separador de milhares 2 2 7 3 4" xfId="8002" xr:uid="{00000000-0005-0000-0000-0000D70E0000}"/>
    <cellStyle name="Separador de milhares 2 2 7 4" xfId="2514" xr:uid="{00000000-0005-0000-0000-0000D80E0000}"/>
    <cellStyle name="Separador de milhares 2 2 7 4 2" xfId="9030" xr:uid="{00000000-0005-0000-0000-0000D90E0000}"/>
    <cellStyle name="Separador de milhares 2 2 7 5" xfId="4661" xr:uid="{00000000-0005-0000-0000-0000DA0E0000}"/>
    <cellStyle name="Separador de milhares 2 2 7 5 2" xfId="11175" xr:uid="{00000000-0005-0000-0000-0000DB0E0000}"/>
    <cellStyle name="Separador de milhares 2 2 7 6" xfId="6891" xr:uid="{00000000-0005-0000-0000-0000DC0E0000}"/>
    <cellStyle name="Separador de milhares 2 2 8" xfId="711" xr:uid="{00000000-0005-0000-0000-0000DD0E0000}"/>
    <cellStyle name="Separador de milhares 2 2 8 2" xfId="1742" xr:uid="{00000000-0005-0000-0000-0000DE0E0000}"/>
    <cellStyle name="Separador de milhares 2 2 8 2 2" xfId="3800" xr:uid="{00000000-0005-0000-0000-0000DF0E0000}"/>
    <cellStyle name="Separador de milhares 2 2 8 2 2 2" xfId="10316" xr:uid="{00000000-0005-0000-0000-0000E00E0000}"/>
    <cellStyle name="Separador de milhares 2 2 8 2 3" xfId="6030" xr:uid="{00000000-0005-0000-0000-0000E10E0000}"/>
    <cellStyle name="Separador de milhares 2 2 8 2 3 2" xfId="12544" xr:uid="{00000000-0005-0000-0000-0000E20E0000}"/>
    <cellStyle name="Separador de milhares 2 2 8 2 4" xfId="8260" xr:uid="{00000000-0005-0000-0000-0000E30E0000}"/>
    <cellStyle name="Separador de milhares 2 2 8 3" xfId="2772" xr:uid="{00000000-0005-0000-0000-0000E40E0000}"/>
    <cellStyle name="Separador de milhares 2 2 8 3 2" xfId="9288" xr:uid="{00000000-0005-0000-0000-0000E50E0000}"/>
    <cellStyle name="Separador de milhares 2 2 8 4" xfId="5002" xr:uid="{00000000-0005-0000-0000-0000E60E0000}"/>
    <cellStyle name="Separador de milhares 2 2 8 4 2" xfId="11516" xr:uid="{00000000-0005-0000-0000-0000E70E0000}"/>
    <cellStyle name="Separador de milhares 2 2 8 5" xfId="7232" xr:uid="{00000000-0005-0000-0000-0000E80E0000}"/>
    <cellStyle name="Separador de milhares 2 2 9" xfId="1228" xr:uid="{00000000-0005-0000-0000-0000E90E0000}"/>
    <cellStyle name="Separador de milhares 2 2 9 2" xfId="3286" xr:uid="{00000000-0005-0000-0000-0000EA0E0000}"/>
    <cellStyle name="Separador de milhares 2 2 9 2 2" xfId="9802" xr:uid="{00000000-0005-0000-0000-0000EB0E0000}"/>
    <cellStyle name="Separador de milhares 2 2 9 3" xfId="5516" xr:uid="{00000000-0005-0000-0000-0000EC0E0000}"/>
    <cellStyle name="Separador de milhares 2 2 9 3 2" xfId="12030" xr:uid="{00000000-0005-0000-0000-0000ED0E0000}"/>
    <cellStyle name="Separador de milhares 2 2 9 4" xfId="7746" xr:uid="{00000000-0005-0000-0000-0000EE0E0000}"/>
    <cellStyle name="Separador de milhares 2 3" xfId="704" xr:uid="{00000000-0005-0000-0000-0000EF0E0000}"/>
    <cellStyle name="Separador de milhares 2 3 2" xfId="1739" xr:uid="{00000000-0005-0000-0000-0000F00E0000}"/>
    <cellStyle name="Separador de milhares 2 3 2 2" xfId="3797" xr:uid="{00000000-0005-0000-0000-0000F10E0000}"/>
    <cellStyle name="Separador de milhares 2 3 2 2 2" xfId="10313" xr:uid="{00000000-0005-0000-0000-0000F20E0000}"/>
    <cellStyle name="Separador de milhares 2 3 2 3" xfId="6027" xr:uid="{00000000-0005-0000-0000-0000F30E0000}"/>
    <cellStyle name="Separador de milhares 2 3 2 3 2" xfId="12541" xr:uid="{00000000-0005-0000-0000-0000F40E0000}"/>
    <cellStyle name="Separador de milhares 2 3 2 4" xfId="8257" xr:uid="{00000000-0005-0000-0000-0000F50E0000}"/>
    <cellStyle name="Separador de milhares 2 3 3" xfId="2769" xr:uid="{00000000-0005-0000-0000-0000F60E0000}"/>
    <cellStyle name="Separador de milhares 2 3 3 2" xfId="9285" xr:uid="{00000000-0005-0000-0000-0000F70E0000}"/>
    <cellStyle name="Separador de milhares 2 3 4" xfId="4999" xr:uid="{00000000-0005-0000-0000-0000F80E0000}"/>
    <cellStyle name="Separador de milhares 2 3 4 2" xfId="11513" xr:uid="{00000000-0005-0000-0000-0000F90E0000}"/>
    <cellStyle name="Separador de milhares 2 3 5" xfId="7229" xr:uid="{00000000-0005-0000-0000-0000FA0E0000}"/>
    <cellStyle name="Separador de milhares 2 4" xfId="1225" xr:uid="{00000000-0005-0000-0000-0000FB0E0000}"/>
    <cellStyle name="Separador de milhares 2 4 2" xfId="3283" xr:uid="{00000000-0005-0000-0000-0000FC0E0000}"/>
    <cellStyle name="Separador de milhares 2 4 2 2" xfId="9799" xr:uid="{00000000-0005-0000-0000-0000FD0E0000}"/>
    <cellStyle name="Separador de milhares 2 4 3" xfId="5513" xr:uid="{00000000-0005-0000-0000-0000FE0E0000}"/>
    <cellStyle name="Separador de milhares 2 4 3 2" xfId="12027" xr:uid="{00000000-0005-0000-0000-0000FF0E0000}"/>
    <cellStyle name="Separador de milhares 2 4 4" xfId="7743" xr:uid="{00000000-0005-0000-0000-0000000F0000}"/>
    <cellStyle name="Separador de milhares 2 5" xfId="2255" xr:uid="{00000000-0005-0000-0000-0000010F0000}"/>
    <cellStyle name="Separador de milhares 2 5 2" xfId="8771" xr:uid="{00000000-0005-0000-0000-0000020F0000}"/>
    <cellStyle name="Separador de milhares 2 6" xfId="4314" xr:uid="{00000000-0005-0000-0000-0000030F0000}"/>
    <cellStyle name="Separador de milhares 2 6 2" xfId="10828" xr:uid="{00000000-0005-0000-0000-0000040F0000}"/>
    <cellStyle name="Separador de milhares 2 7" xfId="6544" xr:uid="{00000000-0005-0000-0000-0000050F0000}"/>
    <cellStyle name="Vírgula 2" xfId="10" xr:uid="{00000000-0005-0000-0000-0000060F0000}"/>
    <cellStyle name="Vírgula 3" xfId="15" xr:uid="{00000000-0005-0000-0000-0000070F0000}"/>
    <cellStyle name="Vírgula 3 10" xfId="229" xr:uid="{00000000-0005-0000-0000-0000080F0000}"/>
    <cellStyle name="Vírgula 3 10 2" xfId="572" xr:uid="{00000000-0005-0000-0000-0000090F0000}"/>
    <cellStyle name="Vírgula 3 10 2 2" xfId="1096" xr:uid="{00000000-0005-0000-0000-00000A0F0000}"/>
    <cellStyle name="Vírgula 3 10 2 2 2" xfId="2124" xr:uid="{00000000-0005-0000-0000-00000B0F0000}"/>
    <cellStyle name="Vírgula 3 10 2 2 2 2" xfId="4182" xr:uid="{00000000-0005-0000-0000-00000C0F0000}"/>
    <cellStyle name="Vírgula 3 10 2 2 2 2 2" xfId="10698" xr:uid="{00000000-0005-0000-0000-00000D0F0000}"/>
    <cellStyle name="Vírgula 3 10 2 2 2 3" xfId="6412" xr:uid="{00000000-0005-0000-0000-00000E0F0000}"/>
    <cellStyle name="Vírgula 3 10 2 2 2 3 2" xfId="12926" xr:uid="{00000000-0005-0000-0000-00000F0F0000}"/>
    <cellStyle name="Vírgula 3 10 2 2 2 4" xfId="8642" xr:uid="{00000000-0005-0000-0000-0000100F0000}"/>
    <cellStyle name="Vírgula 3 10 2 2 3" xfId="3154" xr:uid="{00000000-0005-0000-0000-0000110F0000}"/>
    <cellStyle name="Vírgula 3 10 2 2 3 2" xfId="9670" xr:uid="{00000000-0005-0000-0000-0000120F0000}"/>
    <cellStyle name="Vírgula 3 10 2 2 4" xfId="5384" xr:uid="{00000000-0005-0000-0000-0000130F0000}"/>
    <cellStyle name="Vírgula 3 10 2 2 4 2" xfId="11898" xr:uid="{00000000-0005-0000-0000-0000140F0000}"/>
    <cellStyle name="Vírgula 3 10 2 2 5" xfId="7614" xr:uid="{00000000-0005-0000-0000-0000150F0000}"/>
    <cellStyle name="Vírgula 3 10 2 3" xfId="1610" xr:uid="{00000000-0005-0000-0000-0000160F0000}"/>
    <cellStyle name="Vírgula 3 10 2 3 2" xfId="3668" xr:uid="{00000000-0005-0000-0000-0000170F0000}"/>
    <cellStyle name="Vírgula 3 10 2 3 2 2" xfId="10184" xr:uid="{00000000-0005-0000-0000-0000180F0000}"/>
    <cellStyle name="Vírgula 3 10 2 3 3" xfId="5898" xr:uid="{00000000-0005-0000-0000-0000190F0000}"/>
    <cellStyle name="Vírgula 3 10 2 3 3 2" xfId="12412" xr:uid="{00000000-0005-0000-0000-00001A0F0000}"/>
    <cellStyle name="Vírgula 3 10 2 3 4" xfId="8128" xr:uid="{00000000-0005-0000-0000-00001B0F0000}"/>
    <cellStyle name="Vírgula 3 10 2 4" xfId="2640" xr:uid="{00000000-0005-0000-0000-00001C0F0000}"/>
    <cellStyle name="Vírgula 3 10 2 4 2" xfId="9156" xr:uid="{00000000-0005-0000-0000-00001D0F0000}"/>
    <cellStyle name="Vírgula 3 10 2 5" xfId="4868" xr:uid="{00000000-0005-0000-0000-00001E0F0000}"/>
    <cellStyle name="Vírgula 3 10 2 5 2" xfId="11382" xr:uid="{00000000-0005-0000-0000-00001F0F0000}"/>
    <cellStyle name="Vírgula 3 10 2 6" xfId="7098" xr:uid="{00000000-0005-0000-0000-0000200F0000}"/>
    <cellStyle name="Vírgula 3 10 3" xfId="840" xr:uid="{00000000-0005-0000-0000-0000210F0000}"/>
    <cellStyle name="Vírgula 3 10 3 2" xfId="1868" xr:uid="{00000000-0005-0000-0000-0000220F0000}"/>
    <cellStyle name="Vírgula 3 10 3 2 2" xfId="3926" xr:uid="{00000000-0005-0000-0000-0000230F0000}"/>
    <cellStyle name="Vírgula 3 10 3 2 2 2" xfId="10442" xr:uid="{00000000-0005-0000-0000-0000240F0000}"/>
    <cellStyle name="Vírgula 3 10 3 2 3" xfId="6156" xr:uid="{00000000-0005-0000-0000-0000250F0000}"/>
    <cellStyle name="Vírgula 3 10 3 2 3 2" xfId="12670" xr:uid="{00000000-0005-0000-0000-0000260F0000}"/>
    <cellStyle name="Vírgula 3 10 3 2 4" xfId="8386" xr:uid="{00000000-0005-0000-0000-0000270F0000}"/>
    <cellStyle name="Vírgula 3 10 3 3" xfId="2898" xr:uid="{00000000-0005-0000-0000-0000280F0000}"/>
    <cellStyle name="Vírgula 3 10 3 3 2" xfId="9414" xr:uid="{00000000-0005-0000-0000-0000290F0000}"/>
    <cellStyle name="Vírgula 3 10 3 4" xfId="5128" xr:uid="{00000000-0005-0000-0000-00002A0F0000}"/>
    <cellStyle name="Vírgula 3 10 3 4 2" xfId="11642" xr:uid="{00000000-0005-0000-0000-00002B0F0000}"/>
    <cellStyle name="Vírgula 3 10 3 5" xfId="7358" xr:uid="{00000000-0005-0000-0000-00002C0F0000}"/>
    <cellStyle name="Vírgula 3 10 4" xfId="1354" xr:uid="{00000000-0005-0000-0000-00002D0F0000}"/>
    <cellStyle name="Vírgula 3 10 4 2" xfId="3412" xr:uid="{00000000-0005-0000-0000-00002E0F0000}"/>
    <cellStyle name="Vírgula 3 10 4 2 2" xfId="9928" xr:uid="{00000000-0005-0000-0000-00002F0F0000}"/>
    <cellStyle name="Vírgula 3 10 4 3" xfId="5642" xr:uid="{00000000-0005-0000-0000-0000300F0000}"/>
    <cellStyle name="Vírgula 3 10 4 3 2" xfId="12156" xr:uid="{00000000-0005-0000-0000-0000310F0000}"/>
    <cellStyle name="Vírgula 3 10 4 4" xfId="7872" xr:uid="{00000000-0005-0000-0000-0000320F0000}"/>
    <cellStyle name="Vírgula 3 10 5" xfId="2384" xr:uid="{00000000-0005-0000-0000-0000330F0000}"/>
    <cellStyle name="Vírgula 3 10 5 2" xfId="8900" xr:uid="{00000000-0005-0000-0000-0000340F0000}"/>
    <cellStyle name="Vírgula 3 10 6" xfId="4526" xr:uid="{00000000-0005-0000-0000-0000350F0000}"/>
    <cellStyle name="Vírgula 3 10 6 2" xfId="11040" xr:uid="{00000000-0005-0000-0000-0000360F0000}"/>
    <cellStyle name="Vírgula 3 10 7" xfId="6756" xr:uid="{00000000-0005-0000-0000-0000370F0000}"/>
    <cellStyle name="Vírgula 3 11" xfId="362" xr:uid="{00000000-0005-0000-0000-0000380F0000}"/>
    <cellStyle name="Vírgula 3 11 2" xfId="968" xr:uid="{00000000-0005-0000-0000-0000390F0000}"/>
    <cellStyle name="Vírgula 3 11 2 2" xfId="1996" xr:uid="{00000000-0005-0000-0000-00003A0F0000}"/>
    <cellStyle name="Vírgula 3 11 2 2 2" xfId="4054" xr:uid="{00000000-0005-0000-0000-00003B0F0000}"/>
    <cellStyle name="Vírgula 3 11 2 2 2 2" xfId="10570" xr:uid="{00000000-0005-0000-0000-00003C0F0000}"/>
    <cellStyle name="Vírgula 3 11 2 2 3" xfId="6284" xr:uid="{00000000-0005-0000-0000-00003D0F0000}"/>
    <cellStyle name="Vírgula 3 11 2 2 3 2" xfId="12798" xr:uid="{00000000-0005-0000-0000-00003E0F0000}"/>
    <cellStyle name="Vírgula 3 11 2 2 4" xfId="8514" xr:uid="{00000000-0005-0000-0000-00003F0F0000}"/>
    <cellStyle name="Vírgula 3 11 2 3" xfId="3026" xr:uid="{00000000-0005-0000-0000-0000400F0000}"/>
    <cellStyle name="Vírgula 3 11 2 3 2" xfId="9542" xr:uid="{00000000-0005-0000-0000-0000410F0000}"/>
    <cellStyle name="Vírgula 3 11 2 4" xfId="5256" xr:uid="{00000000-0005-0000-0000-0000420F0000}"/>
    <cellStyle name="Vírgula 3 11 2 4 2" xfId="11770" xr:uid="{00000000-0005-0000-0000-0000430F0000}"/>
    <cellStyle name="Vírgula 3 11 2 5" xfId="7486" xr:uid="{00000000-0005-0000-0000-0000440F0000}"/>
    <cellStyle name="Vírgula 3 11 3" xfId="1482" xr:uid="{00000000-0005-0000-0000-0000450F0000}"/>
    <cellStyle name="Vírgula 3 11 3 2" xfId="3540" xr:uid="{00000000-0005-0000-0000-0000460F0000}"/>
    <cellStyle name="Vírgula 3 11 3 2 2" xfId="10056" xr:uid="{00000000-0005-0000-0000-0000470F0000}"/>
    <cellStyle name="Vírgula 3 11 3 3" xfId="5770" xr:uid="{00000000-0005-0000-0000-0000480F0000}"/>
    <cellStyle name="Vírgula 3 11 3 3 2" xfId="12284" xr:uid="{00000000-0005-0000-0000-0000490F0000}"/>
    <cellStyle name="Vírgula 3 11 3 4" xfId="8000" xr:uid="{00000000-0005-0000-0000-00004A0F0000}"/>
    <cellStyle name="Vírgula 3 11 4" xfId="2512" xr:uid="{00000000-0005-0000-0000-00004B0F0000}"/>
    <cellStyle name="Vírgula 3 11 4 2" xfId="9028" xr:uid="{00000000-0005-0000-0000-00004C0F0000}"/>
    <cellStyle name="Vírgula 3 11 5" xfId="4658" xr:uid="{00000000-0005-0000-0000-00004D0F0000}"/>
    <cellStyle name="Vírgula 3 11 5 2" xfId="11172" xr:uid="{00000000-0005-0000-0000-00004E0F0000}"/>
    <cellStyle name="Vírgula 3 11 6" xfId="6888" xr:uid="{00000000-0005-0000-0000-00004F0F0000}"/>
    <cellStyle name="Vírgula 3 12" xfId="709" xr:uid="{00000000-0005-0000-0000-0000500F0000}"/>
    <cellStyle name="Vírgula 3 12 2" xfId="1740" xr:uid="{00000000-0005-0000-0000-0000510F0000}"/>
    <cellStyle name="Vírgula 3 12 2 2" xfId="3798" xr:uid="{00000000-0005-0000-0000-0000520F0000}"/>
    <cellStyle name="Vírgula 3 12 2 2 2" xfId="10314" xr:uid="{00000000-0005-0000-0000-0000530F0000}"/>
    <cellStyle name="Vírgula 3 12 2 3" xfId="6028" xr:uid="{00000000-0005-0000-0000-0000540F0000}"/>
    <cellStyle name="Vírgula 3 12 2 3 2" xfId="12542" xr:uid="{00000000-0005-0000-0000-0000550F0000}"/>
    <cellStyle name="Vírgula 3 12 2 4" xfId="8258" xr:uid="{00000000-0005-0000-0000-0000560F0000}"/>
    <cellStyle name="Vírgula 3 12 3" xfId="2770" xr:uid="{00000000-0005-0000-0000-0000570F0000}"/>
    <cellStyle name="Vírgula 3 12 3 2" xfId="9286" xr:uid="{00000000-0005-0000-0000-0000580F0000}"/>
    <cellStyle name="Vírgula 3 12 4" xfId="5000" xr:uid="{00000000-0005-0000-0000-0000590F0000}"/>
    <cellStyle name="Vírgula 3 12 4 2" xfId="11514" xr:uid="{00000000-0005-0000-0000-00005A0F0000}"/>
    <cellStyle name="Vírgula 3 12 5" xfId="7230" xr:uid="{00000000-0005-0000-0000-00005B0F0000}"/>
    <cellStyle name="Vírgula 3 13" xfId="1226" xr:uid="{00000000-0005-0000-0000-00005C0F0000}"/>
    <cellStyle name="Vírgula 3 13 2" xfId="3284" xr:uid="{00000000-0005-0000-0000-00005D0F0000}"/>
    <cellStyle name="Vírgula 3 13 2 2" xfId="9800" xr:uid="{00000000-0005-0000-0000-00005E0F0000}"/>
    <cellStyle name="Vírgula 3 13 3" xfId="5514" xr:uid="{00000000-0005-0000-0000-00005F0F0000}"/>
    <cellStyle name="Vírgula 3 13 3 2" xfId="12028" xr:uid="{00000000-0005-0000-0000-0000600F0000}"/>
    <cellStyle name="Vírgula 3 13 4" xfId="7744" xr:uid="{00000000-0005-0000-0000-0000610F0000}"/>
    <cellStyle name="Vírgula 3 14" xfId="2256" xr:uid="{00000000-0005-0000-0000-0000620F0000}"/>
    <cellStyle name="Vírgula 3 14 2" xfId="8772" xr:uid="{00000000-0005-0000-0000-0000630F0000}"/>
    <cellStyle name="Vírgula 3 15" xfId="4316" xr:uid="{00000000-0005-0000-0000-0000640F0000}"/>
    <cellStyle name="Vírgula 3 15 2" xfId="10830" xr:uid="{00000000-0005-0000-0000-0000650F0000}"/>
    <cellStyle name="Vírgula 3 16" xfId="6546" xr:uid="{00000000-0005-0000-0000-0000660F0000}"/>
    <cellStyle name="Vírgula 3 2" xfId="23" xr:uid="{00000000-0005-0000-0000-0000670F0000}"/>
    <cellStyle name="Vírgula 3 2 10" xfId="1229" xr:uid="{00000000-0005-0000-0000-0000680F0000}"/>
    <cellStyle name="Vírgula 3 2 10 2" xfId="3287" xr:uid="{00000000-0005-0000-0000-0000690F0000}"/>
    <cellStyle name="Vírgula 3 2 10 2 2" xfId="9803" xr:uid="{00000000-0005-0000-0000-00006A0F0000}"/>
    <cellStyle name="Vírgula 3 2 10 3" xfId="5517" xr:uid="{00000000-0005-0000-0000-00006B0F0000}"/>
    <cellStyle name="Vírgula 3 2 10 3 2" xfId="12031" xr:uid="{00000000-0005-0000-0000-00006C0F0000}"/>
    <cellStyle name="Vírgula 3 2 10 4" xfId="7747" xr:uid="{00000000-0005-0000-0000-00006D0F0000}"/>
    <cellStyle name="Vírgula 3 2 11" xfId="2259" xr:uid="{00000000-0005-0000-0000-00006E0F0000}"/>
    <cellStyle name="Vírgula 3 2 11 2" xfId="8775" xr:uid="{00000000-0005-0000-0000-00006F0F0000}"/>
    <cellStyle name="Vírgula 3 2 12" xfId="4321" xr:uid="{00000000-0005-0000-0000-0000700F0000}"/>
    <cellStyle name="Vírgula 3 2 12 2" xfId="10835" xr:uid="{00000000-0005-0000-0000-0000710F0000}"/>
    <cellStyle name="Vírgula 3 2 13" xfId="6551" xr:uid="{00000000-0005-0000-0000-0000720F0000}"/>
    <cellStyle name="Vírgula 3 2 2" xfId="38" xr:uid="{00000000-0005-0000-0000-0000730F0000}"/>
    <cellStyle name="Vírgula 3 2 2 10" xfId="4336" xr:uid="{00000000-0005-0000-0000-0000740F0000}"/>
    <cellStyle name="Vírgula 3 2 2 10 2" xfId="10850" xr:uid="{00000000-0005-0000-0000-0000750F0000}"/>
    <cellStyle name="Vírgula 3 2 2 11" xfId="6566" xr:uid="{00000000-0005-0000-0000-0000760F0000}"/>
    <cellStyle name="Vírgula 3 2 2 2" xfId="76" xr:uid="{00000000-0005-0000-0000-0000770F0000}"/>
    <cellStyle name="Vírgula 3 2 2 2 10" xfId="6603" xr:uid="{00000000-0005-0000-0000-0000780F0000}"/>
    <cellStyle name="Vírgula 3 2 2 2 2" xfId="150" xr:uid="{00000000-0005-0000-0000-0000790F0000}"/>
    <cellStyle name="Vírgula 3 2 2 2 2 2" xfId="222" xr:uid="{00000000-0005-0000-0000-00007A0F0000}"/>
    <cellStyle name="Vírgula 3 2 2 2 2 2 2" xfId="350" xr:uid="{00000000-0005-0000-0000-00007B0F0000}"/>
    <cellStyle name="Vírgula 3 2 2 2 2 2 2 2" xfId="693" xr:uid="{00000000-0005-0000-0000-00007C0F0000}"/>
    <cellStyle name="Vírgula 3 2 2 2 2 2 2 2 2" xfId="1217" xr:uid="{00000000-0005-0000-0000-00007D0F0000}"/>
    <cellStyle name="Vírgula 3 2 2 2 2 2 2 2 2 2" xfId="2245" xr:uid="{00000000-0005-0000-0000-00007E0F0000}"/>
    <cellStyle name="Vírgula 3 2 2 2 2 2 2 2 2 2 2" xfId="4303" xr:uid="{00000000-0005-0000-0000-00007F0F0000}"/>
    <cellStyle name="Vírgula 3 2 2 2 2 2 2 2 2 2 2 2" xfId="10819" xr:uid="{00000000-0005-0000-0000-0000800F0000}"/>
    <cellStyle name="Vírgula 3 2 2 2 2 2 2 2 2 2 3" xfId="6533" xr:uid="{00000000-0005-0000-0000-0000810F0000}"/>
    <cellStyle name="Vírgula 3 2 2 2 2 2 2 2 2 2 3 2" xfId="13047" xr:uid="{00000000-0005-0000-0000-0000820F0000}"/>
    <cellStyle name="Vírgula 3 2 2 2 2 2 2 2 2 2 4" xfId="8763" xr:uid="{00000000-0005-0000-0000-0000830F0000}"/>
    <cellStyle name="Vírgula 3 2 2 2 2 2 2 2 2 3" xfId="3275" xr:uid="{00000000-0005-0000-0000-0000840F0000}"/>
    <cellStyle name="Vírgula 3 2 2 2 2 2 2 2 2 3 2" xfId="9791" xr:uid="{00000000-0005-0000-0000-0000850F0000}"/>
    <cellStyle name="Vírgula 3 2 2 2 2 2 2 2 2 4" xfId="5505" xr:uid="{00000000-0005-0000-0000-0000860F0000}"/>
    <cellStyle name="Vírgula 3 2 2 2 2 2 2 2 2 4 2" xfId="12019" xr:uid="{00000000-0005-0000-0000-0000870F0000}"/>
    <cellStyle name="Vírgula 3 2 2 2 2 2 2 2 2 5" xfId="7735" xr:uid="{00000000-0005-0000-0000-0000880F0000}"/>
    <cellStyle name="Vírgula 3 2 2 2 2 2 2 2 3" xfId="1731" xr:uid="{00000000-0005-0000-0000-0000890F0000}"/>
    <cellStyle name="Vírgula 3 2 2 2 2 2 2 2 3 2" xfId="3789" xr:uid="{00000000-0005-0000-0000-00008A0F0000}"/>
    <cellStyle name="Vírgula 3 2 2 2 2 2 2 2 3 2 2" xfId="10305" xr:uid="{00000000-0005-0000-0000-00008B0F0000}"/>
    <cellStyle name="Vírgula 3 2 2 2 2 2 2 2 3 3" xfId="6019" xr:uid="{00000000-0005-0000-0000-00008C0F0000}"/>
    <cellStyle name="Vírgula 3 2 2 2 2 2 2 2 3 3 2" xfId="12533" xr:uid="{00000000-0005-0000-0000-00008D0F0000}"/>
    <cellStyle name="Vírgula 3 2 2 2 2 2 2 2 3 4" xfId="8249" xr:uid="{00000000-0005-0000-0000-00008E0F0000}"/>
    <cellStyle name="Vírgula 3 2 2 2 2 2 2 2 4" xfId="2761" xr:uid="{00000000-0005-0000-0000-00008F0F0000}"/>
    <cellStyle name="Vírgula 3 2 2 2 2 2 2 2 4 2" xfId="9277" xr:uid="{00000000-0005-0000-0000-0000900F0000}"/>
    <cellStyle name="Vírgula 3 2 2 2 2 2 2 2 5" xfId="4989" xr:uid="{00000000-0005-0000-0000-0000910F0000}"/>
    <cellStyle name="Vírgula 3 2 2 2 2 2 2 2 5 2" xfId="11503" xr:uid="{00000000-0005-0000-0000-0000920F0000}"/>
    <cellStyle name="Vírgula 3 2 2 2 2 2 2 2 6" xfId="7219" xr:uid="{00000000-0005-0000-0000-0000930F0000}"/>
    <cellStyle name="Vírgula 3 2 2 2 2 2 2 3" xfId="961" xr:uid="{00000000-0005-0000-0000-0000940F0000}"/>
    <cellStyle name="Vírgula 3 2 2 2 2 2 2 3 2" xfId="1989" xr:uid="{00000000-0005-0000-0000-0000950F0000}"/>
    <cellStyle name="Vírgula 3 2 2 2 2 2 2 3 2 2" xfId="4047" xr:uid="{00000000-0005-0000-0000-0000960F0000}"/>
    <cellStyle name="Vírgula 3 2 2 2 2 2 2 3 2 2 2" xfId="10563" xr:uid="{00000000-0005-0000-0000-0000970F0000}"/>
    <cellStyle name="Vírgula 3 2 2 2 2 2 2 3 2 3" xfId="6277" xr:uid="{00000000-0005-0000-0000-0000980F0000}"/>
    <cellStyle name="Vírgula 3 2 2 2 2 2 2 3 2 3 2" xfId="12791" xr:uid="{00000000-0005-0000-0000-0000990F0000}"/>
    <cellStyle name="Vírgula 3 2 2 2 2 2 2 3 2 4" xfId="8507" xr:uid="{00000000-0005-0000-0000-00009A0F0000}"/>
    <cellStyle name="Vírgula 3 2 2 2 2 2 2 3 3" xfId="3019" xr:uid="{00000000-0005-0000-0000-00009B0F0000}"/>
    <cellStyle name="Vírgula 3 2 2 2 2 2 2 3 3 2" xfId="9535" xr:uid="{00000000-0005-0000-0000-00009C0F0000}"/>
    <cellStyle name="Vírgula 3 2 2 2 2 2 2 3 4" xfId="5249" xr:uid="{00000000-0005-0000-0000-00009D0F0000}"/>
    <cellStyle name="Vírgula 3 2 2 2 2 2 2 3 4 2" xfId="11763" xr:uid="{00000000-0005-0000-0000-00009E0F0000}"/>
    <cellStyle name="Vírgula 3 2 2 2 2 2 2 3 5" xfId="7479" xr:uid="{00000000-0005-0000-0000-00009F0F0000}"/>
    <cellStyle name="Vírgula 3 2 2 2 2 2 2 4" xfId="1475" xr:uid="{00000000-0005-0000-0000-0000A00F0000}"/>
    <cellStyle name="Vírgula 3 2 2 2 2 2 2 4 2" xfId="3533" xr:uid="{00000000-0005-0000-0000-0000A10F0000}"/>
    <cellStyle name="Vírgula 3 2 2 2 2 2 2 4 2 2" xfId="10049" xr:uid="{00000000-0005-0000-0000-0000A20F0000}"/>
    <cellStyle name="Vírgula 3 2 2 2 2 2 2 4 3" xfId="5763" xr:uid="{00000000-0005-0000-0000-0000A30F0000}"/>
    <cellStyle name="Vírgula 3 2 2 2 2 2 2 4 3 2" xfId="12277" xr:uid="{00000000-0005-0000-0000-0000A40F0000}"/>
    <cellStyle name="Vírgula 3 2 2 2 2 2 2 4 4" xfId="7993" xr:uid="{00000000-0005-0000-0000-0000A50F0000}"/>
    <cellStyle name="Vírgula 3 2 2 2 2 2 2 5" xfId="2505" xr:uid="{00000000-0005-0000-0000-0000A60F0000}"/>
    <cellStyle name="Vírgula 3 2 2 2 2 2 2 5 2" xfId="9021" xr:uid="{00000000-0005-0000-0000-0000A70F0000}"/>
    <cellStyle name="Vírgula 3 2 2 2 2 2 2 6" xfId="4647" xr:uid="{00000000-0005-0000-0000-0000A80F0000}"/>
    <cellStyle name="Vírgula 3 2 2 2 2 2 2 6 2" xfId="11161" xr:uid="{00000000-0005-0000-0000-0000A90F0000}"/>
    <cellStyle name="Vírgula 3 2 2 2 2 2 2 7" xfId="6877" xr:uid="{00000000-0005-0000-0000-0000AA0F0000}"/>
    <cellStyle name="Vírgula 3 2 2 2 2 2 3" xfId="565" xr:uid="{00000000-0005-0000-0000-0000AB0F0000}"/>
    <cellStyle name="Vírgula 3 2 2 2 2 2 3 2" xfId="1089" xr:uid="{00000000-0005-0000-0000-0000AC0F0000}"/>
    <cellStyle name="Vírgula 3 2 2 2 2 2 3 2 2" xfId="2117" xr:uid="{00000000-0005-0000-0000-0000AD0F0000}"/>
    <cellStyle name="Vírgula 3 2 2 2 2 2 3 2 2 2" xfId="4175" xr:uid="{00000000-0005-0000-0000-0000AE0F0000}"/>
    <cellStyle name="Vírgula 3 2 2 2 2 2 3 2 2 2 2" xfId="10691" xr:uid="{00000000-0005-0000-0000-0000AF0F0000}"/>
    <cellStyle name="Vírgula 3 2 2 2 2 2 3 2 2 3" xfId="6405" xr:uid="{00000000-0005-0000-0000-0000B00F0000}"/>
    <cellStyle name="Vírgula 3 2 2 2 2 2 3 2 2 3 2" xfId="12919" xr:uid="{00000000-0005-0000-0000-0000B10F0000}"/>
    <cellStyle name="Vírgula 3 2 2 2 2 2 3 2 2 4" xfId="8635" xr:uid="{00000000-0005-0000-0000-0000B20F0000}"/>
    <cellStyle name="Vírgula 3 2 2 2 2 2 3 2 3" xfId="3147" xr:uid="{00000000-0005-0000-0000-0000B30F0000}"/>
    <cellStyle name="Vírgula 3 2 2 2 2 2 3 2 3 2" xfId="9663" xr:uid="{00000000-0005-0000-0000-0000B40F0000}"/>
    <cellStyle name="Vírgula 3 2 2 2 2 2 3 2 4" xfId="5377" xr:uid="{00000000-0005-0000-0000-0000B50F0000}"/>
    <cellStyle name="Vírgula 3 2 2 2 2 2 3 2 4 2" xfId="11891" xr:uid="{00000000-0005-0000-0000-0000B60F0000}"/>
    <cellStyle name="Vírgula 3 2 2 2 2 2 3 2 5" xfId="7607" xr:uid="{00000000-0005-0000-0000-0000B70F0000}"/>
    <cellStyle name="Vírgula 3 2 2 2 2 2 3 3" xfId="1603" xr:uid="{00000000-0005-0000-0000-0000B80F0000}"/>
    <cellStyle name="Vírgula 3 2 2 2 2 2 3 3 2" xfId="3661" xr:uid="{00000000-0005-0000-0000-0000B90F0000}"/>
    <cellStyle name="Vírgula 3 2 2 2 2 2 3 3 2 2" xfId="10177" xr:uid="{00000000-0005-0000-0000-0000BA0F0000}"/>
    <cellStyle name="Vírgula 3 2 2 2 2 2 3 3 3" xfId="5891" xr:uid="{00000000-0005-0000-0000-0000BB0F0000}"/>
    <cellStyle name="Vírgula 3 2 2 2 2 2 3 3 3 2" xfId="12405" xr:uid="{00000000-0005-0000-0000-0000BC0F0000}"/>
    <cellStyle name="Vírgula 3 2 2 2 2 2 3 3 4" xfId="8121" xr:uid="{00000000-0005-0000-0000-0000BD0F0000}"/>
    <cellStyle name="Vírgula 3 2 2 2 2 2 3 4" xfId="2633" xr:uid="{00000000-0005-0000-0000-0000BE0F0000}"/>
    <cellStyle name="Vírgula 3 2 2 2 2 2 3 4 2" xfId="9149" xr:uid="{00000000-0005-0000-0000-0000BF0F0000}"/>
    <cellStyle name="Vírgula 3 2 2 2 2 2 3 5" xfId="4861" xr:uid="{00000000-0005-0000-0000-0000C00F0000}"/>
    <cellStyle name="Vírgula 3 2 2 2 2 2 3 5 2" xfId="11375" xr:uid="{00000000-0005-0000-0000-0000C10F0000}"/>
    <cellStyle name="Vírgula 3 2 2 2 2 2 3 6" xfId="7091" xr:uid="{00000000-0005-0000-0000-0000C20F0000}"/>
    <cellStyle name="Vírgula 3 2 2 2 2 2 4" xfId="833" xr:uid="{00000000-0005-0000-0000-0000C30F0000}"/>
    <cellStyle name="Vírgula 3 2 2 2 2 2 4 2" xfId="1861" xr:uid="{00000000-0005-0000-0000-0000C40F0000}"/>
    <cellStyle name="Vírgula 3 2 2 2 2 2 4 2 2" xfId="3919" xr:uid="{00000000-0005-0000-0000-0000C50F0000}"/>
    <cellStyle name="Vírgula 3 2 2 2 2 2 4 2 2 2" xfId="10435" xr:uid="{00000000-0005-0000-0000-0000C60F0000}"/>
    <cellStyle name="Vírgula 3 2 2 2 2 2 4 2 3" xfId="6149" xr:uid="{00000000-0005-0000-0000-0000C70F0000}"/>
    <cellStyle name="Vírgula 3 2 2 2 2 2 4 2 3 2" xfId="12663" xr:uid="{00000000-0005-0000-0000-0000C80F0000}"/>
    <cellStyle name="Vírgula 3 2 2 2 2 2 4 2 4" xfId="8379" xr:uid="{00000000-0005-0000-0000-0000C90F0000}"/>
    <cellStyle name="Vírgula 3 2 2 2 2 2 4 3" xfId="2891" xr:uid="{00000000-0005-0000-0000-0000CA0F0000}"/>
    <cellStyle name="Vírgula 3 2 2 2 2 2 4 3 2" xfId="9407" xr:uid="{00000000-0005-0000-0000-0000CB0F0000}"/>
    <cellStyle name="Vírgula 3 2 2 2 2 2 4 4" xfId="5121" xr:uid="{00000000-0005-0000-0000-0000CC0F0000}"/>
    <cellStyle name="Vírgula 3 2 2 2 2 2 4 4 2" xfId="11635" xr:uid="{00000000-0005-0000-0000-0000CD0F0000}"/>
    <cellStyle name="Vírgula 3 2 2 2 2 2 4 5" xfId="7351" xr:uid="{00000000-0005-0000-0000-0000CE0F0000}"/>
    <cellStyle name="Vírgula 3 2 2 2 2 2 5" xfId="1347" xr:uid="{00000000-0005-0000-0000-0000CF0F0000}"/>
    <cellStyle name="Vírgula 3 2 2 2 2 2 5 2" xfId="3405" xr:uid="{00000000-0005-0000-0000-0000D00F0000}"/>
    <cellStyle name="Vírgula 3 2 2 2 2 2 5 2 2" xfId="9921" xr:uid="{00000000-0005-0000-0000-0000D10F0000}"/>
    <cellStyle name="Vírgula 3 2 2 2 2 2 5 3" xfId="5635" xr:uid="{00000000-0005-0000-0000-0000D20F0000}"/>
    <cellStyle name="Vírgula 3 2 2 2 2 2 5 3 2" xfId="12149" xr:uid="{00000000-0005-0000-0000-0000D30F0000}"/>
    <cellStyle name="Vírgula 3 2 2 2 2 2 5 4" xfId="7865" xr:uid="{00000000-0005-0000-0000-0000D40F0000}"/>
    <cellStyle name="Vírgula 3 2 2 2 2 2 6" xfId="2377" xr:uid="{00000000-0005-0000-0000-0000D50F0000}"/>
    <cellStyle name="Vírgula 3 2 2 2 2 2 6 2" xfId="8893" xr:uid="{00000000-0005-0000-0000-0000D60F0000}"/>
    <cellStyle name="Vírgula 3 2 2 2 2 2 7" xfId="4519" xr:uid="{00000000-0005-0000-0000-0000D70F0000}"/>
    <cellStyle name="Vírgula 3 2 2 2 2 2 7 2" xfId="11033" xr:uid="{00000000-0005-0000-0000-0000D80F0000}"/>
    <cellStyle name="Vírgula 3 2 2 2 2 2 8" xfId="6749" xr:uid="{00000000-0005-0000-0000-0000D90F0000}"/>
    <cellStyle name="Vírgula 3 2 2 2 2 3" xfId="286" xr:uid="{00000000-0005-0000-0000-0000DA0F0000}"/>
    <cellStyle name="Vírgula 3 2 2 2 2 3 2" xfId="629" xr:uid="{00000000-0005-0000-0000-0000DB0F0000}"/>
    <cellStyle name="Vírgula 3 2 2 2 2 3 2 2" xfId="1153" xr:uid="{00000000-0005-0000-0000-0000DC0F0000}"/>
    <cellStyle name="Vírgula 3 2 2 2 2 3 2 2 2" xfId="2181" xr:uid="{00000000-0005-0000-0000-0000DD0F0000}"/>
    <cellStyle name="Vírgula 3 2 2 2 2 3 2 2 2 2" xfId="4239" xr:uid="{00000000-0005-0000-0000-0000DE0F0000}"/>
    <cellStyle name="Vírgula 3 2 2 2 2 3 2 2 2 2 2" xfId="10755" xr:uid="{00000000-0005-0000-0000-0000DF0F0000}"/>
    <cellStyle name="Vírgula 3 2 2 2 2 3 2 2 2 3" xfId="6469" xr:uid="{00000000-0005-0000-0000-0000E00F0000}"/>
    <cellStyle name="Vírgula 3 2 2 2 2 3 2 2 2 3 2" xfId="12983" xr:uid="{00000000-0005-0000-0000-0000E10F0000}"/>
    <cellStyle name="Vírgula 3 2 2 2 2 3 2 2 2 4" xfId="8699" xr:uid="{00000000-0005-0000-0000-0000E20F0000}"/>
    <cellStyle name="Vírgula 3 2 2 2 2 3 2 2 3" xfId="3211" xr:uid="{00000000-0005-0000-0000-0000E30F0000}"/>
    <cellStyle name="Vírgula 3 2 2 2 2 3 2 2 3 2" xfId="9727" xr:uid="{00000000-0005-0000-0000-0000E40F0000}"/>
    <cellStyle name="Vírgula 3 2 2 2 2 3 2 2 4" xfId="5441" xr:uid="{00000000-0005-0000-0000-0000E50F0000}"/>
    <cellStyle name="Vírgula 3 2 2 2 2 3 2 2 4 2" xfId="11955" xr:uid="{00000000-0005-0000-0000-0000E60F0000}"/>
    <cellStyle name="Vírgula 3 2 2 2 2 3 2 2 5" xfId="7671" xr:uid="{00000000-0005-0000-0000-0000E70F0000}"/>
    <cellStyle name="Vírgula 3 2 2 2 2 3 2 3" xfId="1667" xr:uid="{00000000-0005-0000-0000-0000E80F0000}"/>
    <cellStyle name="Vírgula 3 2 2 2 2 3 2 3 2" xfId="3725" xr:uid="{00000000-0005-0000-0000-0000E90F0000}"/>
    <cellStyle name="Vírgula 3 2 2 2 2 3 2 3 2 2" xfId="10241" xr:uid="{00000000-0005-0000-0000-0000EA0F0000}"/>
    <cellStyle name="Vírgula 3 2 2 2 2 3 2 3 3" xfId="5955" xr:uid="{00000000-0005-0000-0000-0000EB0F0000}"/>
    <cellStyle name="Vírgula 3 2 2 2 2 3 2 3 3 2" xfId="12469" xr:uid="{00000000-0005-0000-0000-0000EC0F0000}"/>
    <cellStyle name="Vírgula 3 2 2 2 2 3 2 3 4" xfId="8185" xr:uid="{00000000-0005-0000-0000-0000ED0F0000}"/>
    <cellStyle name="Vírgula 3 2 2 2 2 3 2 4" xfId="2697" xr:uid="{00000000-0005-0000-0000-0000EE0F0000}"/>
    <cellStyle name="Vírgula 3 2 2 2 2 3 2 4 2" xfId="9213" xr:uid="{00000000-0005-0000-0000-0000EF0F0000}"/>
    <cellStyle name="Vírgula 3 2 2 2 2 3 2 5" xfId="4925" xr:uid="{00000000-0005-0000-0000-0000F00F0000}"/>
    <cellStyle name="Vírgula 3 2 2 2 2 3 2 5 2" xfId="11439" xr:uid="{00000000-0005-0000-0000-0000F10F0000}"/>
    <cellStyle name="Vírgula 3 2 2 2 2 3 2 6" xfId="7155" xr:uid="{00000000-0005-0000-0000-0000F20F0000}"/>
    <cellStyle name="Vírgula 3 2 2 2 2 3 3" xfId="897" xr:uid="{00000000-0005-0000-0000-0000F30F0000}"/>
    <cellStyle name="Vírgula 3 2 2 2 2 3 3 2" xfId="1925" xr:uid="{00000000-0005-0000-0000-0000F40F0000}"/>
    <cellStyle name="Vírgula 3 2 2 2 2 3 3 2 2" xfId="3983" xr:uid="{00000000-0005-0000-0000-0000F50F0000}"/>
    <cellStyle name="Vírgula 3 2 2 2 2 3 3 2 2 2" xfId="10499" xr:uid="{00000000-0005-0000-0000-0000F60F0000}"/>
    <cellStyle name="Vírgula 3 2 2 2 2 3 3 2 3" xfId="6213" xr:uid="{00000000-0005-0000-0000-0000F70F0000}"/>
    <cellStyle name="Vírgula 3 2 2 2 2 3 3 2 3 2" xfId="12727" xr:uid="{00000000-0005-0000-0000-0000F80F0000}"/>
    <cellStyle name="Vírgula 3 2 2 2 2 3 3 2 4" xfId="8443" xr:uid="{00000000-0005-0000-0000-0000F90F0000}"/>
    <cellStyle name="Vírgula 3 2 2 2 2 3 3 3" xfId="2955" xr:uid="{00000000-0005-0000-0000-0000FA0F0000}"/>
    <cellStyle name="Vírgula 3 2 2 2 2 3 3 3 2" xfId="9471" xr:uid="{00000000-0005-0000-0000-0000FB0F0000}"/>
    <cellStyle name="Vírgula 3 2 2 2 2 3 3 4" xfId="5185" xr:uid="{00000000-0005-0000-0000-0000FC0F0000}"/>
    <cellStyle name="Vírgula 3 2 2 2 2 3 3 4 2" xfId="11699" xr:uid="{00000000-0005-0000-0000-0000FD0F0000}"/>
    <cellStyle name="Vírgula 3 2 2 2 2 3 3 5" xfId="7415" xr:uid="{00000000-0005-0000-0000-0000FE0F0000}"/>
    <cellStyle name="Vírgula 3 2 2 2 2 3 4" xfId="1411" xr:uid="{00000000-0005-0000-0000-0000FF0F0000}"/>
    <cellStyle name="Vírgula 3 2 2 2 2 3 4 2" xfId="3469" xr:uid="{00000000-0005-0000-0000-000000100000}"/>
    <cellStyle name="Vírgula 3 2 2 2 2 3 4 2 2" xfId="9985" xr:uid="{00000000-0005-0000-0000-000001100000}"/>
    <cellStyle name="Vírgula 3 2 2 2 2 3 4 3" xfId="5699" xr:uid="{00000000-0005-0000-0000-000002100000}"/>
    <cellStyle name="Vírgula 3 2 2 2 2 3 4 3 2" xfId="12213" xr:uid="{00000000-0005-0000-0000-000003100000}"/>
    <cellStyle name="Vírgula 3 2 2 2 2 3 4 4" xfId="7929" xr:uid="{00000000-0005-0000-0000-000004100000}"/>
    <cellStyle name="Vírgula 3 2 2 2 2 3 5" xfId="2441" xr:uid="{00000000-0005-0000-0000-000005100000}"/>
    <cellStyle name="Vírgula 3 2 2 2 2 3 5 2" xfId="8957" xr:uid="{00000000-0005-0000-0000-000006100000}"/>
    <cellStyle name="Vírgula 3 2 2 2 2 3 6" xfId="4583" xr:uid="{00000000-0005-0000-0000-000007100000}"/>
    <cellStyle name="Vírgula 3 2 2 2 2 3 6 2" xfId="11097" xr:uid="{00000000-0005-0000-0000-000008100000}"/>
    <cellStyle name="Vírgula 3 2 2 2 2 3 7" xfId="6813" xr:uid="{00000000-0005-0000-0000-000009100000}"/>
    <cellStyle name="Vírgula 3 2 2 2 2 4" xfId="493" xr:uid="{00000000-0005-0000-0000-00000A100000}"/>
    <cellStyle name="Vírgula 3 2 2 2 2 4 2" xfId="1025" xr:uid="{00000000-0005-0000-0000-00000B100000}"/>
    <cellStyle name="Vírgula 3 2 2 2 2 4 2 2" xfId="2053" xr:uid="{00000000-0005-0000-0000-00000C100000}"/>
    <cellStyle name="Vírgula 3 2 2 2 2 4 2 2 2" xfId="4111" xr:uid="{00000000-0005-0000-0000-00000D100000}"/>
    <cellStyle name="Vírgula 3 2 2 2 2 4 2 2 2 2" xfId="10627" xr:uid="{00000000-0005-0000-0000-00000E100000}"/>
    <cellStyle name="Vírgula 3 2 2 2 2 4 2 2 3" xfId="6341" xr:uid="{00000000-0005-0000-0000-00000F100000}"/>
    <cellStyle name="Vírgula 3 2 2 2 2 4 2 2 3 2" xfId="12855" xr:uid="{00000000-0005-0000-0000-000010100000}"/>
    <cellStyle name="Vírgula 3 2 2 2 2 4 2 2 4" xfId="8571" xr:uid="{00000000-0005-0000-0000-000011100000}"/>
    <cellStyle name="Vírgula 3 2 2 2 2 4 2 3" xfId="3083" xr:uid="{00000000-0005-0000-0000-000012100000}"/>
    <cellStyle name="Vírgula 3 2 2 2 2 4 2 3 2" xfId="9599" xr:uid="{00000000-0005-0000-0000-000013100000}"/>
    <cellStyle name="Vírgula 3 2 2 2 2 4 2 4" xfId="5313" xr:uid="{00000000-0005-0000-0000-000014100000}"/>
    <cellStyle name="Vírgula 3 2 2 2 2 4 2 4 2" xfId="11827" xr:uid="{00000000-0005-0000-0000-000015100000}"/>
    <cellStyle name="Vírgula 3 2 2 2 2 4 2 5" xfId="7543" xr:uid="{00000000-0005-0000-0000-000016100000}"/>
    <cellStyle name="Vírgula 3 2 2 2 2 4 3" xfId="1539" xr:uid="{00000000-0005-0000-0000-000017100000}"/>
    <cellStyle name="Vírgula 3 2 2 2 2 4 3 2" xfId="3597" xr:uid="{00000000-0005-0000-0000-000018100000}"/>
    <cellStyle name="Vírgula 3 2 2 2 2 4 3 2 2" xfId="10113" xr:uid="{00000000-0005-0000-0000-000019100000}"/>
    <cellStyle name="Vírgula 3 2 2 2 2 4 3 3" xfId="5827" xr:uid="{00000000-0005-0000-0000-00001A100000}"/>
    <cellStyle name="Vírgula 3 2 2 2 2 4 3 3 2" xfId="12341" xr:uid="{00000000-0005-0000-0000-00001B100000}"/>
    <cellStyle name="Vírgula 3 2 2 2 2 4 3 4" xfId="8057" xr:uid="{00000000-0005-0000-0000-00001C100000}"/>
    <cellStyle name="Vírgula 3 2 2 2 2 4 4" xfId="2569" xr:uid="{00000000-0005-0000-0000-00001D100000}"/>
    <cellStyle name="Vírgula 3 2 2 2 2 4 4 2" xfId="9085" xr:uid="{00000000-0005-0000-0000-00001E100000}"/>
    <cellStyle name="Vírgula 3 2 2 2 2 4 5" xfId="4789" xr:uid="{00000000-0005-0000-0000-00001F100000}"/>
    <cellStyle name="Vírgula 3 2 2 2 2 4 5 2" xfId="11303" xr:uid="{00000000-0005-0000-0000-000020100000}"/>
    <cellStyle name="Vírgula 3 2 2 2 2 4 6" xfId="7019" xr:uid="{00000000-0005-0000-0000-000021100000}"/>
    <cellStyle name="Vírgula 3 2 2 2 2 5" xfId="769" xr:uid="{00000000-0005-0000-0000-000022100000}"/>
    <cellStyle name="Vírgula 3 2 2 2 2 5 2" xfId="1797" xr:uid="{00000000-0005-0000-0000-000023100000}"/>
    <cellStyle name="Vírgula 3 2 2 2 2 5 2 2" xfId="3855" xr:uid="{00000000-0005-0000-0000-000024100000}"/>
    <cellStyle name="Vírgula 3 2 2 2 2 5 2 2 2" xfId="10371" xr:uid="{00000000-0005-0000-0000-000025100000}"/>
    <cellStyle name="Vírgula 3 2 2 2 2 5 2 3" xfId="6085" xr:uid="{00000000-0005-0000-0000-000026100000}"/>
    <cellStyle name="Vírgula 3 2 2 2 2 5 2 3 2" xfId="12599" xr:uid="{00000000-0005-0000-0000-000027100000}"/>
    <cellStyle name="Vírgula 3 2 2 2 2 5 2 4" xfId="8315" xr:uid="{00000000-0005-0000-0000-000028100000}"/>
    <cellStyle name="Vírgula 3 2 2 2 2 5 3" xfId="2827" xr:uid="{00000000-0005-0000-0000-000029100000}"/>
    <cellStyle name="Vírgula 3 2 2 2 2 5 3 2" xfId="9343" xr:uid="{00000000-0005-0000-0000-00002A100000}"/>
    <cellStyle name="Vírgula 3 2 2 2 2 5 4" xfId="5057" xr:uid="{00000000-0005-0000-0000-00002B100000}"/>
    <cellStyle name="Vírgula 3 2 2 2 2 5 4 2" xfId="11571" xr:uid="{00000000-0005-0000-0000-00002C100000}"/>
    <cellStyle name="Vírgula 3 2 2 2 2 5 5" xfId="7287" xr:uid="{00000000-0005-0000-0000-00002D100000}"/>
    <cellStyle name="Vírgula 3 2 2 2 2 6" xfId="1283" xr:uid="{00000000-0005-0000-0000-00002E100000}"/>
    <cellStyle name="Vírgula 3 2 2 2 2 6 2" xfId="3341" xr:uid="{00000000-0005-0000-0000-00002F100000}"/>
    <cellStyle name="Vírgula 3 2 2 2 2 6 2 2" xfId="9857" xr:uid="{00000000-0005-0000-0000-000030100000}"/>
    <cellStyle name="Vírgula 3 2 2 2 2 6 3" xfId="5571" xr:uid="{00000000-0005-0000-0000-000031100000}"/>
    <cellStyle name="Vírgula 3 2 2 2 2 6 3 2" xfId="12085" xr:uid="{00000000-0005-0000-0000-000032100000}"/>
    <cellStyle name="Vírgula 3 2 2 2 2 6 4" xfId="7801" xr:uid="{00000000-0005-0000-0000-000033100000}"/>
    <cellStyle name="Vírgula 3 2 2 2 2 7" xfId="2313" xr:uid="{00000000-0005-0000-0000-000034100000}"/>
    <cellStyle name="Vírgula 3 2 2 2 2 7 2" xfId="8829" xr:uid="{00000000-0005-0000-0000-000035100000}"/>
    <cellStyle name="Vírgula 3 2 2 2 2 8" xfId="4447" xr:uid="{00000000-0005-0000-0000-000036100000}"/>
    <cellStyle name="Vírgula 3 2 2 2 2 8 2" xfId="10961" xr:uid="{00000000-0005-0000-0000-000037100000}"/>
    <cellStyle name="Vírgula 3 2 2 2 2 9" xfId="6677" xr:uid="{00000000-0005-0000-0000-000038100000}"/>
    <cellStyle name="Vírgula 3 2 2 2 3" xfId="190" xr:uid="{00000000-0005-0000-0000-000039100000}"/>
    <cellStyle name="Vírgula 3 2 2 2 3 2" xfId="318" xr:uid="{00000000-0005-0000-0000-00003A100000}"/>
    <cellStyle name="Vírgula 3 2 2 2 3 2 2" xfId="661" xr:uid="{00000000-0005-0000-0000-00003B100000}"/>
    <cellStyle name="Vírgula 3 2 2 2 3 2 2 2" xfId="1185" xr:uid="{00000000-0005-0000-0000-00003C100000}"/>
    <cellStyle name="Vírgula 3 2 2 2 3 2 2 2 2" xfId="2213" xr:uid="{00000000-0005-0000-0000-00003D100000}"/>
    <cellStyle name="Vírgula 3 2 2 2 3 2 2 2 2 2" xfId="4271" xr:uid="{00000000-0005-0000-0000-00003E100000}"/>
    <cellStyle name="Vírgula 3 2 2 2 3 2 2 2 2 2 2" xfId="10787" xr:uid="{00000000-0005-0000-0000-00003F100000}"/>
    <cellStyle name="Vírgula 3 2 2 2 3 2 2 2 2 3" xfId="6501" xr:uid="{00000000-0005-0000-0000-000040100000}"/>
    <cellStyle name="Vírgula 3 2 2 2 3 2 2 2 2 3 2" xfId="13015" xr:uid="{00000000-0005-0000-0000-000041100000}"/>
    <cellStyle name="Vírgula 3 2 2 2 3 2 2 2 2 4" xfId="8731" xr:uid="{00000000-0005-0000-0000-000042100000}"/>
    <cellStyle name="Vírgula 3 2 2 2 3 2 2 2 3" xfId="3243" xr:uid="{00000000-0005-0000-0000-000043100000}"/>
    <cellStyle name="Vírgula 3 2 2 2 3 2 2 2 3 2" xfId="9759" xr:uid="{00000000-0005-0000-0000-000044100000}"/>
    <cellStyle name="Vírgula 3 2 2 2 3 2 2 2 4" xfId="5473" xr:uid="{00000000-0005-0000-0000-000045100000}"/>
    <cellStyle name="Vírgula 3 2 2 2 3 2 2 2 4 2" xfId="11987" xr:uid="{00000000-0005-0000-0000-000046100000}"/>
    <cellStyle name="Vírgula 3 2 2 2 3 2 2 2 5" xfId="7703" xr:uid="{00000000-0005-0000-0000-000047100000}"/>
    <cellStyle name="Vírgula 3 2 2 2 3 2 2 3" xfId="1699" xr:uid="{00000000-0005-0000-0000-000048100000}"/>
    <cellStyle name="Vírgula 3 2 2 2 3 2 2 3 2" xfId="3757" xr:uid="{00000000-0005-0000-0000-000049100000}"/>
    <cellStyle name="Vírgula 3 2 2 2 3 2 2 3 2 2" xfId="10273" xr:uid="{00000000-0005-0000-0000-00004A100000}"/>
    <cellStyle name="Vírgula 3 2 2 2 3 2 2 3 3" xfId="5987" xr:uid="{00000000-0005-0000-0000-00004B100000}"/>
    <cellStyle name="Vírgula 3 2 2 2 3 2 2 3 3 2" xfId="12501" xr:uid="{00000000-0005-0000-0000-00004C100000}"/>
    <cellStyle name="Vírgula 3 2 2 2 3 2 2 3 4" xfId="8217" xr:uid="{00000000-0005-0000-0000-00004D100000}"/>
    <cellStyle name="Vírgula 3 2 2 2 3 2 2 4" xfId="2729" xr:uid="{00000000-0005-0000-0000-00004E100000}"/>
    <cellStyle name="Vírgula 3 2 2 2 3 2 2 4 2" xfId="9245" xr:uid="{00000000-0005-0000-0000-00004F100000}"/>
    <cellStyle name="Vírgula 3 2 2 2 3 2 2 5" xfId="4957" xr:uid="{00000000-0005-0000-0000-000050100000}"/>
    <cellStyle name="Vírgula 3 2 2 2 3 2 2 5 2" xfId="11471" xr:uid="{00000000-0005-0000-0000-000051100000}"/>
    <cellStyle name="Vírgula 3 2 2 2 3 2 2 6" xfId="7187" xr:uid="{00000000-0005-0000-0000-000052100000}"/>
    <cellStyle name="Vírgula 3 2 2 2 3 2 3" xfId="929" xr:uid="{00000000-0005-0000-0000-000053100000}"/>
    <cellStyle name="Vírgula 3 2 2 2 3 2 3 2" xfId="1957" xr:uid="{00000000-0005-0000-0000-000054100000}"/>
    <cellStyle name="Vírgula 3 2 2 2 3 2 3 2 2" xfId="4015" xr:uid="{00000000-0005-0000-0000-000055100000}"/>
    <cellStyle name="Vírgula 3 2 2 2 3 2 3 2 2 2" xfId="10531" xr:uid="{00000000-0005-0000-0000-000056100000}"/>
    <cellStyle name="Vírgula 3 2 2 2 3 2 3 2 3" xfId="6245" xr:uid="{00000000-0005-0000-0000-000057100000}"/>
    <cellStyle name="Vírgula 3 2 2 2 3 2 3 2 3 2" xfId="12759" xr:uid="{00000000-0005-0000-0000-000058100000}"/>
    <cellStyle name="Vírgula 3 2 2 2 3 2 3 2 4" xfId="8475" xr:uid="{00000000-0005-0000-0000-000059100000}"/>
    <cellStyle name="Vírgula 3 2 2 2 3 2 3 3" xfId="2987" xr:uid="{00000000-0005-0000-0000-00005A100000}"/>
    <cellStyle name="Vírgula 3 2 2 2 3 2 3 3 2" xfId="9503" xr:uid="{00000000-0005-0000-0000-00005B100000}"/>
    <cellStyle name="Vírgula 3 2 2 2 3 2 3 4" xfId="5217" xr:uid="{00000000-0005-0000-0000-00005C100000}"/>
    <cellStyle name="Vírgula 3 2 2 2 3 2 3 4 2" xfId="11731" xr:uid="{00000000-0005-0000-0000-00005D100000}"/>
    <cellStyle name="Vírgula 3 2 2 2 3 2 3 5" xfId="7447" xr:uid="{00000000-0005-0000-0000-00005E100000}"/>
    <cellStyle name="Vírgula 3 2 2 2 3 2 4" xfId="1443" xr:uid="{00000000-0005-0000-0000-00005F100000}"/>
    <cellStyle name="Vírgula 3 2 2 2 3 2 4 2" xfId="3501" xr:uid="{00000000-0005-0000-0000-000060100000}"/>
    <cellStyle name="Vírgula 3 2 2 2 3 2 4 2 2" xfId="10017" xr:uid="{00000000-0005-0000-0000-000061100000}"/>
    <cellStyle name="Vírgula 3 2 2 2 3 2 4 3" xfId="5731" xr:uid="{00000000-0005-0000-0000-000062100000}"/>
    <cellStyle name="Vírgula 3 2 2 2 3 2 4 3 2" xfId="12245" xr:uid="{00000000-0005-0000-0000-000063100000}"/>
    <cellStyle name="Vírgula 3 2 2 2 3 2 4 4" xfId="7961" xr:uid="{00000000-0005-0000-0000-000064100000}"/>
    <cellStyle name="Vírgula 3 2 2 2 3 2 5" xfId="2473" xr:uid="{00000000-0005-0000-0000-000065100000}"/>
    <cellStyle name="Vírgula 3 2 2 2 3 2 5 2" xfId="8989" xr:uid="{00000000-0005-0000-0000-000066100000}"/>
    <cellStyle name="Vírgula 3 2 2 2 3 2 6" xfId="4615" xr:uid="{00000000-0005-0000-0000-000067100000}"/>
    <cellStyle name="Vírgula 3 2 2 2 3 2 6 2" xfId="11129" xr:uid="{00000000-0005-0000-0000-000068100000}"/>
    <cellStyle name="Vírgula 3 2 2 2 3 2 7" xfId="6845" xr:uid="{00000000-0005-0000-0000-000069100000}"/>
    <cellStyle name="Vírgula 3 2 2 2 3 3" xfId="533" xr:uid="{00000000-0005-0000-0000-00006A100000}"/>
    <cellStyle name="Vírgula 3 2 2 2 3 3 2" xfId="1057" xr:uid="{00000000-0005-0000-0000-00006B100000}"/>
    <cellStyle name="Vírgula 3 2 2 2 3 3 2 2" xfId="2085" xr:uid="{00000000-0005-0000-0000-00006C100000}"/>
    <cellStyle name="Vírgula 3 2 2 2 3 3 2 2 2" xfId="4143" xr:uid="{00000000-0005-0000-0000-00006D100000}"/>
    <cellStyle name="Vírgula 3 2 2 2 3 3 2 2 2 2" xfId="10659" xr:uid="{00000000-0005-0000-0000-00006E100000}"/>
    <cellStyle name="Vírgula 3 2 2 2 3 3 2 2 3" xfId="6373" xr:uid="{00000000-0005-0000-0000-00006F100000}"/>
    <cellStyle name="Vírgula 3 2 2 2 3 3 2 2 3 2" xfId="12887" xr:uid="{00000000-0005-0000-0000-000070100000}"/>
    <cellStyle name="Vírgula 3 2 2 2 3 3 2 2 4" xfId="8603" xr:uid="{00000000-0005-0000-0000-000071100000}"/>
    <cellStyle name="Vírgula 3 2 2 2 3 3 2 3" xfId="3115" xr:uid="{00000000-0005-0000-0000-000072100000}"/>
    <cellStyle name="Vírgula 3 2 2 2 3 3 2 3 2" xfId="9631" xr:uid="{00000000-0005-0000-0000-000073100000}"/>
    <cellStyle name="Vírgula 3 2 2 2 3 3 2 4" xfId="5345" xr:uid="{00000000-0005-0000-0000-000074100000}"/>
    <cellStyle name="Vírgula 3 2 2 2 3 3 2 4 2" xfId="11859" xr:uid="{00000000-0005-0000-0000-000075100000}"/>
    <cellStyle name="Vírgula 3 2 2 2 3 3 2 5" xfId="7575" xr:uid="{00000000-0005-0000-0000-000076100000}"/>
    <cellStyle name="Vírgula 3 2 2 2 3 3 3" xfId="1571" xr:uid="{00000000-0005-0000-0000-000077100000}"/>
    <cellStyle name="Vírgula 3 2 2 2 3 3 3 2" xfId="3629" xr:uid="{00000000-0005-0000-0000-000078100000}"/>
    <cellStyle name="Vírgula 3 2 2 2 3 3 3 2 2" xfId="10145" xr:uid="{00000000-0005-0000-0000-000079100000}"/>
    <cellStyle name="Vírgula 3 2 2 2 3 3 3 3" xfId="5859" xr:uid="{00000000-0005-0000-0000-00007A100000}"/>
    <cellStyle name="Vírgula 3 2 2 2 3 3 3 3 2" xfId="12373" xr:uid="{00000000-0005-0000-0000-00007B100000}"/>
    <cellStyle name="Vírgula 3 2 2 2 3 3 3 4" xfId="8089" xr:uid="{00000000-0005-0000-0000-00007C100000}"/>
    <cellStyle name="Vírgula 3 2 2 2 3 3 4" xfId="2601" xr:uid="{00000000-0005-0000-0000-00007D100000}"/>
    <cellStyle name="Vírgula 3 2 2 2 3 3 4 2" xfId="9117" xr:uid="{00000000-0005-0000-0000-00007E100000}"/>
    <cellStyle name="Vírgula 3 2 2 2 3 3 5" xfId="4829" xr:uid="{00000000-0005-0000-0000-00007F100000}"/>
    <cellStyle name="Vírgula 3 2 2 2 3 3 5 2" xfId="11343" xr:uid="{00000000-0005-0000-0000-000080100000}"/>
    <cellStyle name="Vírgula 3 2 2 2 3 3 6" xfId="7059" xr:uid="{00000000-0005-0000-0000-000081100000}"/>
    <cellStyle name="Vírgula 3 2 2 2 3 4" xfId="801" xr:uid="{00000000-0005-0000-0000-000082100000}"/>
    <cellStyle name="Vírgula 3 2 2 2 3 4 2" xfId="1829" xr:uid="{00000000-0005-0000-0000-000083100000}"/>
    <cellStyle name="Vírgula 3 2 2 2 3 4 2 2" xfId="3887" xr:uid="{00000000-0005-0000-0000-000084100000}"/>
    <cellStyle name="Vírgula 3 2 2 2 3 4 2 2 2" xfId="10403" xr:uid="{00000000-0005-0000-0000-000085100000}"/>
    <cellStyle name="Vírgula 3 2 2 2 3 4 2 3" xfId="6117" xr:uid="{00000000-0005-0000-0000-000086100000}"/>
    <cellStyle name="Vírgula 3 2 2 2 3 4 2 3 2" xfId="12631" xr:uid="{00000000-0005-0000-0000-000087100000}"/>
    <cellStyle name="Vírgula 3 2 2 2 3 4 2 4" xfId="8347" xr:uid="{00000000-0005-0000-0000-000088100000}"/>
    <cellStyle name="Vírgula 3 2 2 2 3 4 3" xfId="2859" xr:uid="{00000000-0005-0000-0000-000089100000}"/>
    <cellStyle name="Vírgula 3 2 2 2 3 4 3 2" xfId="9375" xr:uid="{00000000-0005-0000-0000-00008A100000}"/>
    <cellStyle name="Vírgula 3 2 2 2 3 4 4" xfId="5089" xr:uid="{00000000-0005-0000-0000-00008B100000}"/>
    <cellStyle name="Vírgula 3 2 2 2 3 4 4 2" xfId="11603" xr:uid="{00000000-0005-0000-0000-00008C100000}"/>
    <cellStyle name="Vírgula 3 2 2 2 3 4 5" xfId="7319" xr:uid="{00000000-0005-0000-0000-00008D100000}"/>
    <cellStyle name="Vírgula 3 2 2 2 3 5" xfId="1315" xr:uid="{00000000-0005-0000-0000-00008E100000}"/>
    <cellStyle name="Vírgula 3 2 2 2 3 5 2" xfId="3373" xr:uid="{00000000-0005-0000-0000-00008F100000}"/>
    <cellStyle name="Vírgula 3 2 2 2 3 5 2 2" xfId="9889" xr:uid="{00000000-0005-0000-0000-000090100000}"/>
    <cellStyle name="Vírgula 3 2 2 2 3 5 3" xfId="5603" xr:uid="{00000000-0005-0000-0000-000091100000}"/>
    <cellStyle name="Vírgula 3 2 2 2 3 5 3 2" xfId="12117" xr:uid="{00000000-0005-0000-0000-000092100000}"/>
    <cellStyle name="Vírgula 3 2 2 2 3 5 4" xfId="7833" xr:uid="{00000000-0005-0000-0000-000093100000}"/>
    <cellStyle name="Vírgula 3 2 2 2 3 6" xfId="2345" xr:uid="{00000000-0005-0000-0000-000094100000}"/>
    <cellStyle name="Vírgula 3 2 2 2 3 6 2" xfId="8861" xr:uid="{00000000-0005-0000-0000-000095100000}"/>
    <cellStyle name="Vírgula 3 2 2 2 3 7" xfId="4487" xr:uid="{00000000-0005-0000-0000-000096100000}"/>
    <cellStyle name="Vírgula 3 2 2 2 3 7 2" xfId="11001" xr:uid="{00000000-0005-0000-0000-000097100000}"/>
    <cellStyle name="Vírgula 3 2 2 2 3 8" xfId="6717" xr:uid="{00000000-0005-0000-0000-000098100000}"/>
    <cellStyle name="Vírgula 3 2 2 2 4" xfId="254" xr:uid="{00000000-0005-0000-0000-000099100000}"/>
    <cellStyle name="Vírgula 3 2 2 2 4 2" xfId="597" xr:uid="{00000000-0005-0000-0000-00009A100000}"/>
    <cellStyle name="Vírgula 3 2 2 2 4 2 2" xfId="1121" xr:uid="{00000000-0005-0000-0000-00009B100000}"/>
    <cellStyle name="Vírgula 3 2 2 2 4 2 2 2" xfId="2149" xr:uid="{00000000-0005-0000-0000-00009C100000}"/>
    <cellStyle name="Vírgula 3 2 2 2 4 2 2 2 2" xfId="4207" xr:uid="{00000000-0005-0000-0000-00009D100000}"/>
    <cellStyle name="Vírgula 3 2 2 2 4 2 2 2 2 2" xfId="10723" xr:uid="{00000000-0005-0000-0000-00009E100000}"/>
    <cellStyle name="Vírgula 3 2 2 2 4 2 2 2 3" xfId="6437" xr:uid="{00000000-0005-0000-0000-00009F100000}"/>
    <cellStyle name="Vírgula 3 2 2 2 4 2 2 2 3 2" xfId="12951" xr:uid="{00000000-0005-0000-0000-0000A0100000}"/>
    <cellStyle name="Vírgula 3 2 2 2 4 2 2 2 4" xfId="8667" xr:uid="{00000000-0005-0000-0000-0000A1100000}"/>
    <cellStyle name="Vírgula 3 2 2 2 4 2 2 3" xfId="3179" xr:uid="{00000000-0005-0000-0000-0000A2100000}"/>
    <cellStyle name="Vírgula 3 2 2 2 4 2 2 3 2" xfId="9695" xr:uid="{00000000-0005-0000-0000-0000A3100000}"/>
    <cellStyle name="Vírgula 3 2 2 2 4 2 2 4" xfId="5409" xr:uid="{00000000-0005-0000-0000-0000A4100000}"/>
    <cellStyle name="Vírgula 3 2 2 2 4 2 2 4 2" xfId="11923" xr:uid="{00000000-0005-0000-0000-0000A5100000}"/>
    <cellStyle name="Vírgula 3 2 2 2 4 2 2 5" xfId="7639" xr:uid="{00000000-0005-0000-0000-0000A6100000}"/>
    <cellStyle name="Vírgula 3 2 2 2 4 2 3" xfId="1635" xr:uid="{00000000-0005-0000-0000-0000A7100000}"/>
    <cellStyle name="Vírgula 3 2 2 2 4 2 3 2" xfId="3693" xr:uid="{00000000-0005-0000-0000-0000A8100000}"/>
    <cellStyle name="Vírgula 3 2 2 2 4 2 3 2 2" xfId="10209" xr:uid="{00000000-0005-0000-0000-0000A9100000}"/>
    <cellStyle name="Vírgula 3 2 2 2 4 2 3 3" xfId="5923" xr:uid="{00000000-0005-0000-0000-0000AA100000}"/>
    <cellStyle name="Vírgula 3 2 2 2 4 2 3 3 2" xfId="12437" xr:uid="{00000000-0005-0000-0000-0000AB100000}"/>
    <cellStyle name="Vírgula 3 2 2 2 4 2 3 4" xfId="8153" xr:uid="{00000000-0005-0000-0000-0000AC100000}"/>
    <cellStyle name="Vírgula 3 2 2 2 4 2 4" xfId="2665" xr:uid="{00000000-0005-0000-0000-0000AD100000}"/>
    <cellStyle name="Vírgula 3 2 2 2 4 2 4 2" xfId="9181" xr:uid="{00000000-0005-0000-0000-0000AE100000}"/>
    <cellStyle name="Vírgula 3 2 2 2 4 2 5" xfId="4893" xr:uid="{00000000-0005-0000-0000-0000AF100000}"/>
    <cellStyle name="Vírgula 3 2 2 2 4 2 5 2" xfId="11407" xr:uid="{00000000-0005-0000-0000-0000B0100000}"/>
    <cellStyle name="Vírgula 3 2 2 2 4 2 6" xfId="7123" xr:uid="{00000000-0005-0000-0000-0000B1100000}"/>
    <cellStyle name="Vírgula 3 2 2 2 4 3" xfId="865" xr:uid="{00000000-0005-0000-0000-0000B2100000}"/>
    <cellStyle name="Vírgula 3 2 2 2 4 3 2" xfId="1893" xr:uid="{00000000-0005-0000-0000-0000B3100000}"/>
    <cellStyle name="Vírgula 3 2 2 2 4 3 2 2" xfId="3951" xr:uid="{00000000-0005-0000-0000-0000B4100000}"/>
    <cellStyle name="Vírgula 3 2 2 2 4 3 2 2 2" xfId="10467" xr:uid="{00000000-0005-0000-0000-0000B5100000}"/>
    <cellStyle name="Vírgula 3 2 2 2 4 3 2 3" xfId="6181" xr:uid="{00000000-0005-0000-0000-0000B6100000}"/>
    <cellStyle name="Vírgula 3 2 2 2 4 3 2 3 2" xfId="12695" xr:uid="{00000000-0005-0000-0000-0000B7100000}"/>
    <cellStyle name="Vírgula 3 2 2 2 4 3 2 4" xfId="8411" xr:uid="{00000000-0005-0000-0000-0000B8100000}"/>
    <cellStyle name="Vírgula 3 2 2 2 4 3 3" xfId="2923" xr:uid="{00000000-0005-0000-0000-0000B9100000}"/>
    <cellStyle name="Vírgula 3 2 2 2 4 3 3 2" xfId="9439" xr:uid="{00000000-0005-0000-0000-0000BA100000}"/>
    <cellStyle name="Vírgula 3 2 2 2 4 3 4" xfId="5153" xr:uid="{00000000-0005-0000-0000-0000BB100000}"/>
    <cellStyle name="Vírgula 3 2 2 2 4 3 4 2" xfId="11667" xr:uid="{00000000-0005-0000-0000-0000BC100000}"/>
    <cellStyle name="Vírgula 3 2 2 2 4 3 5" xfId="7383" xr:uid="{00000000-0005-0000-0000-0000BD100000}"/>
    <cellStyle name="Vírgula 3 2 2 2 4 4" xfId="1379" xr:uid="{00000000-0005-0000-0000-0000BE100000}"/>
    <cellStyle name="Vírgula 3 2 2 2 4 4 2" xfId="3437" xr:uid="{00000000-0005-0000-0000-0000BF100000}"/>
    <cellStyle name="Vírgula 3 2 2 2 4 4 2 2" xfId="9953" xr:uid="{00000000-0005-0000-0000-0000C0100000}"/>
    <cellStyle name="Vírgula 3 2 2 2 4 4 3" xfId="5667" xr:uid="{00000000-0005-0000-0000-0000C1100000}"/>
    <cellStyle name="Vírgula 3 2 2 2 4 4 3 2" xfId="12181" xr:uid="{00000000-0005-0000-0000-0000C2100000}"/>
    <cellStyle name="Vírgula 3 2 2 2 4 4 4" xfId="7897" xr:uid="{00000000-0005-0000-0000-0000C3100000}"/>
    <cellStyle name="Vírgula 3 2 2 2 4 5" xfId="2409" xr:uid="{00000000-0005-0000-0000-0000C4100000}"/>
    <cellStyle name="Vírgula 3 2 2 2 4 5 2" xfId="8925" xr:uid="{00000000-0005-0000-0000-0000C5100000}"/>
    <cellStyle name="Vírgula 3 2 2 2 4 6" xfId="4551" xr:uid="{00000000-0005-0000-0000-0000C6100000}"/>
    <cellStyle name="Vírgula 3 2 2 2 4 6 2" xfId="11065" xr:uid="{00000000-0005-0000-0000-0000C7100000}"/>
    <cellStyle name="Vírgula 3 2 2 2 4 7" xfId="6781" xr:uid="{00000000-0005-0000-0000-0000C8100000}"/>
    <cellStyle name="Vírgula 3 2 2 2 5" xfId="419" xr:uid="{00000000-0005-0000-0000-0000C9100000}"/>
    <cellStyle name="Vírgula 3 2 2 2 5 2" xfId="993" xr:uid="{00000000-0005-0000-0000-0000CA100000}"/>
    <cellStyle name="Vírgula 3 2 2 2 5 2 2" xfId="2021" xr:uid="{00000000-0005-0000-0000-0000CB100000}"/>
    <cellStyle name="Vírgula 3 2 2 2 5 2 2 2" xfId="4079" xr:uid="{00000000-0005-0000-0000-0000CC100000}"/>
    <cellStyle name="Vírgula 3 2 2 2 5 2 2 2 2" xfId="10595" xr:uid="{00000000-0005-0000-0000-0000CD100000}"/>
    <cellStyle name="Vírgula 3 2 2 2 5 2 2 3" xfId="6309" xr:uid="{00000000-0005-0000-0000-0000CE100000}"/>
    <cellStyle name="Vírgula 3 2 2 2 5 2 2 3 2" xfId="12823" xr:uid="{00000000-0005-0000-0000-0000CF100000}"/>
    <cellStyle name="Vírgula 3 2 2 2 5 2 2 4" xfId="8539" xr:uid="{00000000-0005-0000-0000-0000D0100000}"/>
    <cellStyle name="Vírgula 3 2 2 2 5 2 3" xfId="3051" xr:uid="{00000000-0005-0000-0000-0000D1100000}"/>
    <cellStyle name="Vírgula 3 2 2 2 5 2 3 2" xfId="9567" xr:uid="{00000000-0005-0000-0000-0000D2100000}"/>
    <cellStyle name="Vírgula 3 2 2 2 5 2 4" xfId="5281" xr:uid="{00000000-0005-0000-0000-0000D3100000}"/>
    <cellStyle name="Vírgula 3 2 2 2 5 2 4 2" xfId="11795" xr:uid="{00000000-0005-0000-0000-0000D4100000}"/>
    <cellStyle name="Vírgula 3 2 2 2 5 2 5" xfId="7511" xr:uid="{00000000-0005-0000-0000-0000D5100000}"/>
    <cellStyle name="Vírgula 3 2 2 2 5 3" xfId="1507" xr:uid="{00000000-0005-0000-0000-0000D6100000}"/>
    <cellStyle name="Vírgula 3 2 2 2 5 3 2" xfId="3565" xr:uid="{00000000-0005-0000-0000-0000D7100000}"/>
    <cellStyle name="Vírgula 3 2 2 2 5 3 2 2" xfId="10081" xr:uid="{00000000-0005-0000-0000-0000D8100000}"/>
    <cellStyle name="Vírgula 3 2 2 2 5 3 3" xfId="5795" xr:uid="{00000000-0005-0000-0000-0000D9100000}"/>
    <cellStyle name="Vírgula 3 2 2 2 5 3 3 2" xfId="12309" xr:uid="{00000000-0005-0000-0000-0000DA100000}"/>
    <cellStyle name="Vírgula 3 2 2 2 5 3 4" xfId="8025" xr:uid="{00000000-0005-0000-0000-0000DB100000}"/>
    <cellStyle name="Vírgula 3 2 2 2 5 4" xfId="2537" xr:uid="{00000000-0005-0000-0000-0000DC100000}"/>
    <cellStyle name="Vírgula 3 2 2 2 5 4 2" xfId="9053" xr:uid="{00000000-0005-0000-0000-0000DD100000}"/>
    <cellStyle name="Vírgula 3 2 2 2 5 5" xfId="4715" xr:uid="{00000000-0005-0000-0000-0000DE100000}"/>
    <cellStyle name="Vírgula 3 2 2 2 5 5 2" xfId="11229" xr:uid="{00000000-0005-0000-0000-0000DF100000}"/>
    <cellStyle name="Vírgula 3 2 2 2 5 6" xfId="6945" xr:uid="{00000000-0005-0000-0000-0000E0100000}"/>
    <cellStyle name="Vírgula 3 2 2 2 6" xfId="737" xr:uid="{00000000-0005-0000-0000-0000E1100000}"/>
    <cellStyle name="Vírgula 3 2 2 2 6 2" xfId="1765" xr:uid="{00000000-0005-0000-0000-0000E2100000}"/>
    <cellStyle name="Vírgula 3 2 2 2 6 2 2" xfId="3823" xr:uid="{00000000-0005-0000-0000-0000E3100000}"/>
    <cellStyle name="Vírgula 3 2 2 2 6 2 2 2" xfId="10339" xr:uid="{00000000-0005-0000-0000-0000E4100000}"/>
    <cellStyle name="Vírgula 3 2 2 2 6 2 3" xfId="6053" xr:uid="{00000000-0005-0000-0000-0000E5100000}"/>
    <cellStyle name="Vírgula 3 2 2 2 6 2 3 2" xfId="12567" xr:uid="{00000000-0005-0000-0000-0000E6100000}"/>
    <cellStyle name="Vírgula 3 2 2 2 6 2 4" xfId="8283" xr:uid="{00000000-0005-0000-0000-0000E7100000}"/>
    <cellStyle name="Vírgula 3 2 2 2 6 3" xfId="2795" xr:uid="{00000000-0005-0000-0000-0000E8100000}"/>
    <cellStyle name="Vírgula 3 2 2 2 6 3 2" xfId="9311" xr:uid="{00000000-0005-0000-0000-0000E9100000}"/>
    <cellStyle name="Vírgula 3 2 2 2 6 4" xfId="5025" xr:uid="{00000000-0005-0000-0000-0000EA100000}"/>
    <cellStyle name="Vírgula 3 2 2 2 6 4 2" xfId="11539" xr:uid="{00000000-0005-0000-0000-0000EB100000}"/>
    <cellStyle name="Vírgula 3 2 2 2 6 5" xfId="7255" xr:uid="{00000000-0005-0000-0000-0000EC100000}"/>
    <cellStyle name="Vírgula 3 2 2 2 7" xfId="1251" xr:uid="{00000000-0005-0000-0000-0000ED100000}"/>
    <cellStyle name="Vírgula 3 2 2 2 7 2" xfId="3309" xr:uid="{00000000-0005-0000-0000-0000EE100000}"/>
    <cellStyle name="Vírgula 3 2 2 2 7 2 2" xfId="9825" xr:uid="{00000000-0005-0000-0000-0000EF100000}"/>
    <cellStyle name="Vírgula 3 2 2 2 7 3" xfId="5539" xr:uid="{00000000-0005-0000-0000-0000F0100000}"/>
    <cellStyle name="Vírgula 3 2 2 2 7 3 2" xfId="12053" xr:uid="{00000000-0005-0000-0000-0000F1100000}"/>
    <cellStyle name="Vírgula 3 2 2 2 7 4" xfId="7769" xr:uid="{00000000-0005-0000-0000-0000F2100000}"/>
    <cellStyle name="Vírgula 3 2 2 2 8" xfId="2281" xr:uid="{00000000-0005-0000-0000-0000F3100000}"/>
    <cellStyle name="Vírgula 3 2 2 2 8 2" xfId="8797" xr:uid="{00000000-0005-0000-0000-0000F4100000}"/>
    <cellStyle name="Vírgula 3 2 2 2 9" xfId="4373" xr:uid="{00000000-0005-0000-0000-0000F5100000}"/>
    <cellStyle name="Vírgula 3 2 2 2 9 2" xfId="10887" xr:uid="{00000000-0005-0000-0000-0000F6100000}"/>
    <cellStyle name="Vírgula 3 2 2 3" xfId="113" xr:uid="{00000000-0005-0000-0000-0000F7100000}"/>
    <cellStyle name="Vírgula 3 2 2 3 2" xfId="206" xr:uid="{00000000-0005-0000-0000-0000F8100000}"/>
    <cellStyle name="Vírgula 3 2 2 3 2 2" xfId="334" xr:uid="{00000000-0005-0000-0000-0000F9100000}"/>
    <cellStyle name="Vírgula 3 2 2 3 2 2 2" xfId="677" xr:uid="{00000000-0005-0000-0000-0000FA100000}"/>
    <cellStyle name="Vírgula 3 2 2 3 2 2 2 2" xfId="1201" xr:uid="{00000000-0005-0000-0000-0000FB100000}"/>
    <cellStyle name="Vírgula 3 2 2 3 2 2 2 2 2" xfId="2229" xr:uid="{00000000-0005-0000-0000-0000FC100000}"/>
    <cellStyle name="Vírgula 3 2 2 3 2 2 2 2 2 2" xfId="4287" xr:uid="{00000000-0005-0000-0000-0000FD100000}"/>
    <cellStyle name="Vírgula 3 2 2 3 2 2 2 2 2 2 2" xfId="10803" xr:uid="{00000000-0005-0000-0000-0000FE100000}"/>
    <cellStyle name="Vírgula 3 2 2 3 2 2 2 2 2 3" xfId="6517" xr:uid="{00000000-0005-0000-0000-0000FF100000}"/>
    <cellStyle name="Vírgula 3 2 2 3 2 2 2 2 2 3 2" xfId="13031" xr:uid="{00000000-0005-0000-0000-000000110000}"/>
    <cellStyle name="Vírgula 3 2 2 3 2 2 2 2 2 4" xfId="8747" xr:uid="{00000000-0005-0000-0000-000001110000}"/>
    <cellStyle name="Vírgula 3 2 2 3 2 2 2 2 3" xfId="3259" xr:uid="{00000000-0005-0000-0000-000002110000}"/>
    <cellStyle name="Vírgula 3 2 2 3 2 2 2 2 3 2" xfId="9775" xr:uid="{00000000-0005-0000-0000-000003110000}"/>
    <cellStyle name="Vírgula 3 2 2 3 2 2 2 2 4" xfId="5489" xr:uid="{00000000-0005-0000-0000-000004110000}"/>
    <cellStyle name="Vírgula 3 2 2 3 2 2 2 2 4 2" xfId="12003" xr:uid="{00000000-0005-0000-0000-000005110000}"/>
    <cellStyle name="Vírgula 3 2 2 3 2 2 2 2 5" xfId="7719" xr:uid="{00000000-0005-0000-0000-000006110000}"/>
    <cellStyle name="Vírgula 3 2 2 3 2 2 2 3" xfId="1715" xr:uid="{00000000-0005-0000-0000-000007110000}"/>
    <cellStyle name="Vírgula 3 2 2 3 2 2 2 3 2" xfId="3773" xr:uid="{00000000-0005-0000-0000-000008110000}"/>
    <cellStyle name="Vírgula 3 2 2 3 2 2 2 3 2 2" xfId="10289" xr:uid="{00000000-0005-0000-0000-000009110000}"/>
    <cellStyle name="Vírgula 3 2 2 3 2 2 2 3 3" xfId="6003" xr:uid="{00000000-0005-0000-0000-00000A110000}"/>
    <cellStyle name="Vírgula 3 2 2 3 2 2 2 3 3 2" xfId="12517" xr:uid="{00000000-0005-0000-0000-00000B110000}"/>
    <cellStyle name="Vírgula 3 2 2 3 2 2 2 3 4" xfId="8233" xr:uid="{00000000-0005-0000-0000-00000C110000}"/>
    <cellStyle name="Vírgula 3 2 2 3 2 2 2 4" xfId="2745" xr:uid="{00000000-0005-0000-0000-00000D110000}"/>
    <cellStyle name="Vírgula 3 2 2 3 2 2 2 4 2" xfId="9261" xr:uid="{00000000-0005-0000-0000-00000E110000}"/>
    <cellStyle name="Vírgula 3 2 2 3 2 2 2 5" xfId="4973" xr:uid="{00000000-0005-0000-0000-00000F110000}"/>
    <cellStyle name="Vírgula 3 2 2 3 2 2 2 5 2" xfId="11487" xr:uid="{00000000-0005-0000-0000-000010110000}"/>
    <cellStyle name="Vírgula 3 2 2 3 2 2 2 6" xfId="7203" xr:uid="{00000000-0005-0000-0000-000011110000}"/>
    <cellStyle name="Vírgula 3 2 2 3 2 2 3" xfId="945" xr:uid="{00000000-0005-0000-0000-000012110000}"/>
    <cellStyle name="Vírgula 3 2 2 3 2 2 3 2" xfId="1973" xr:uid="{00000000-0005-0000-0000-000013110000}"/>
    <cellStyle name="Vírgula 3 2 2 3 2 2 3 2 2" xfId="4031" xr:uid="{00000000-0005-0000-0000-000014110000}"/>
    <cellStyle name="Vírgula 3 2 2 3 2 2 3 2 2 2" xfId="10547" xr:uid="{00000000-0005-0000-0000-000015110000}"/>
    <cellStyle name="Vírgula 3 2 2 3 2 2 3 2 3" xfId="6261" xr:uid="{00000000-0005-0000-0000-000016110000}"/>
    <cellStyle name="Vírgula 3 2 2 3 2 2 3 2 3 2" xfId="12775" xr:uid="{00000000-0005-0000-0000-000017110000}"/>
    <cellStyle name="Vírgula 3 2 2 3 2 2 3 2 4" xfId="8491" xr:uid="{00000000-0005-0000-0000-000018110000}"/>
    <cellStyle name="Vírgula 3 2 2 3 2 2 3 3" xfId="3003" xr:uid="{00000000-0005-0000-0000-000019110000}"/>
    <cellStyle name="Vírgula 3 2 2 3 2 2 3 3 2" xfId="9519" xr:uid="{00000000-0005-0000-0000-00001A110000}"/>
    <cellStyle name="Vírgula 3 2 2 3 2 2 3 4" xfId="5233" xr:uid="{00000000-0005-0000-0000-00001B110000}"/>
    <cellStyle name="Vírgula 3 2 2 3 2 2 3 4 2" xfId="11747" xr:uid="{00000000-0005-0000-0000-00001C110000}"/>
    <cellStyle name="Vírgula 3 2 2 3 2 2 3 5" xfId="7463" xr:uid="{00000000-0005-0000-0000-00001D110000}"/>
    <cellStyle name="Vírgula 3 2 2 3 2 2 4" xfId="1459" xr:uid="{00000000-0005-0000-0000-00001E110000}"/>
    <cellStyle name="Vírgula 3 2 2 3 2 2 4 2" xfId="3517" xr:uid="{00000000-0005-0000-0000-00001F110000}"/>
    <cellStyle name="Vírgula 3 2 2 3 2 2 4 2 2" xfId="10033" xr:uid="{00000000-0005-0000-0000-000020110000}"/>
    <cellStyle name="Vírgula 3 2 2 3 2 2 4 3" xfId="5747" xr:uid="{00000000-0005-0000-0000-000021110000}"/>
    <cellStyle name="Vírgula 3 2 2 3 2 2 4 3 2" xfId="12261" xr:uid="{00000000-0005-0000-0000-000022110000}"/>
    <cellStyle name="Vírgula 3 2 2 3 2 2 4 4" xfId="7977" xr:uid="{00000000-0005-0000-0000-000023110000}"/>
    <cellStyle name="Vírgula 3 2 2 3 2 2 5" xfId="2489" xr:uid="{00000000-0005-0000-0000-000024110000}"/>
    <cellStyle name="Vírgula 3 2 2 3 2 2 5 2" xfId="9005" xr:uid="{00000000-0005-0000-0000-000025110000}"/>
    <cellStyle name="Vírgula 3 2 2 3 2 2 6" xfId="4631" xr:uid="{00000000-0005-0000-0000-000026110000}"/>
    <cellStyle name="Vírgula 3 2 2 3 2 2 6 2" xfId="11145" xr:uid="{00000000-0005-0000-0000-000027110000}"/>
    <cellStyle name="Vírgula 3 2 2 3 2 2 7" xfId="6861" xr:uid="{00000000-0005-0000-0000-000028110000}"/>
    <cellStyle name="Vírgula 3 2 2 3 2 3" xfId="549" xr:uid="{00000000-0005-0000-0000-000029110000}"/>
    <cellStyle name="Vírgula 3 2 2 3 2 3 2" xfId="1073" xr:uid="{00000000-0005-0000-0000-00002A110000}"/>
    <cellStyle name="Vírgula 3 2 2 3 2 3 2 2" xfId="2101" xr:uid="{00000000-0005-0000-0000-00002B110000}"/>
    <cellStyle name="Vírgula 3 2 2 3 2 3 2 2 2" xfId="4159" xr:uid="{00000000-0005-0000-0000-00002C110000}"/>
    <cellStyle name="Vírgula 3 2 2 3 2 3 2 2 2 2" xfId="10675" xr:uid="{00000000-0005-0000-0000-00002D110000}"/>
    <cellStyle name="Vírgula 3 2 2 3 2 3 2 2 3" xfId="6389" xr:uid="{00000000-0005-0000-0000-00002E110000}"/>
    <cellStyle name="Vírgula 3 2 2 3 2 3 2 2 3 2" xfId="12903" xr:uid="{00000000-0005-0000-0000-00002F110000}"/>
    <cellStyle name="Vírgula 3 2 2 3 2 3 2 2 4" xfId="8619" xr:uid="{00000000-0005-0000-0000-000030110000}"/>
    <cellStyle name="Vírgula 3 2 2 3 2 3 2 3" xfId="3131" xr:uid="{00000000-0005-0000-0000-000031110000}"/>
    <cellStyle name="Vírgula 3 2 2 3 2 3 2 3 2" xfId="9647" xr:uid="{00000000-0005-0000-0000-000032110000}"/>
    <cellStyle name="Vírgula 3 2 2 3 2 3 2 4" xfId="5361" xr:uid="{00000000-0005-0000-0000-000033110000}"/>
    <cellStyle name="Vírgula 3 2 2 3 2 3 2 4 2" xfId="11875" xr:uid="{00000000-0005-0000-0000-000034110000}"/>
    <cellStyle name="Vírgula 3 2 2 3 2 3 2 5" xfId="7591" xr:uid="{00000000-0005-0000-0000-000035110000}"/>
    <cellStyle name="Vírgula 3 2 2 3 2 3 3" xfId="1587" xr:uid="{00000000-0005-0000-0000-000036110000}"/>
    <cellStyle name="Vírgula 3 2 2 3 2 3 3 2" xfId="3645" xr:uid="{00000000-0005-0000-0000-000037110000}"/>
    <cellStyle name="Vírgula 3 2 2 3 2 3 3 2 2" xfId="10161" xr:uid="{00000000-0005-0000-0000-000038110000}"/>
    <cellStyle name="Vírgula 3 2 2 3 2 3 3 3" xfId="5875" xr:uid="{00000000-0005-0000-0000-000039110000}"/>
    <cellStyle name="Vírgula 3 2 2 3 2 3 3 3 2" xfId="12389" xr:uid="{00000000-0005-0000-0000-00003A110000}"/>
    <cellStyle name="Vírgula 3 2 2 3 2 3 3 4" xfId="8105" xr:uid="{00000000-0005-0000-0000-00003B110000}"/>
    <cellStyle name="Vírgula 3 2 2 3 2 3 4" xfId="2617" xr:uid="{00000000-0005-0000-0000-00003C110000}"/>
    <cellStyle name="Vírgula 3 2 2 3 2 3 4 2" xfId="9133" xr:uid="{00000000-0005-0000-0000-00003D110000}"/>
    <cellStyle name="Vírgula 3 2 2 3 2 3 5" xfId="4845" xr:uid="{00000000-0005-0000-0000-00003E110000}"/>
    <cellStyle name="Vírgula 3 2 2 3 2 3 5 2" xfId="11359" xr:uid="{00000000-0005-0000-0000-00003F110000}"/>
    <cellStyle name="Vírgula 3 2 2 3 2 3 6" xfId="7075" xr:uid="{00000000-0005-0000-0000-000040110000}"/>
    <cellStyle name="Vírgula 3 2 2 3 2 4" xfId="817" xr:uid="{00000000-0005-0000-0000-000041110000}"/>
    <cellStyle name="Vírgula 3 2 2 3 2 4 2" xfId="1845" xr:uid="{00000000-0005-0000-0000-000042110000}"/>
    <cellStyle name="Vírgula 3 2 2 3 2 4 2 2" xfId="3903" xr:uid="{00000000-0005-0000-0000-000043110000}"/>
    <cellStyle name="Vírgula 3 2 2 3 2 4 2 2 2" xfId="10419" xr:uid="{00000000-0005-0000-0000-000044110000}"/>
    <cellStyle name="Vírgula 3 2 2 3 2 4 2 3" xfId="6133" xr:uid="{00000000-0005-0000-0000-000045110000}"/>
    <cellStyle name="Vírgula 3 2 2 3 2 4 2 3 2" xfId="12647" xr:uid="{00000000-0005-0000-0000-000046110000}"/>
    <cellStyle name="Vírgula 3 2 2 3 2 4 2 4" xfId="8363" xr:uid="{00000000-0005-0000-0000-000047110000}"/>
    <cellStyle name="Vírgula 3 2 2 3 2 4 3" xfId="2875" xr:uid="{00000000-0005-0000-0000-000048110000}"/>
    <cellStyle name="Vírgula 3 2 2 3 2 4 3 2" xfId="9391" xr:uid="{00000000-0005-0000-0000-000049110000}"/>
    <cellStyle name="Vírgula 3 2 2 3 2 4 4" xfId="5105" xr:uid="{00000000-0005-0000-0000-00004A110000}"/>
    <cellStyle name="Vírgula 3 2 2 3 2 4 4 2" xfId="11619" xr:uid="{00000000-0005-0000-0000-00004B110000}"/>
    <cellStyle name="Vírgula 3 2 2 3 2 4 5" xfId="7335" xr:uid="{00000000-0005-0000-0000-00004C110000}"/>
    <cellStyle name="Vírgula 3 2 2 3 2 5" xfId="1331" xr:uid="{00000000-0005-0000-0000-00004D110000}"/>
    <cellStyle name="Vírgula 3 2 2 3 2 5 2" xfId="3389" xr:uid="{00000000-0005-0000-0000-00004E110000}"/>
    <cellStyle name="Vírgula 3 2 2 3 2 5 2 2" xfId="9905" xr:uid="{00000000-0005-0000-0000-00004F110000}"/>
    <cellStyle name="Vírgula 3 2 2 3 2 5 3" xfId="5619" xr:uid="{00000000-0005-0000-0000-000050110000}"/>
    <cellStyle name="Vírgula 3 2 2 3 2 5 3 2" xfId="12133" xr:uid="{00000000-0005-0000-0000-000051110000}"/>
    <cellStyle name="Vírgula 3 2 2 3 2 5 4" xfId="7849" xr:uid="{00000000-0005-0000-0000-000052110000}"/>
    <cellStyle name="Vírgula 3 2 2 3 2 6" xfId="2361" xr:uid="{00000000-0005-0000-0000-000053110000}"/>
    <cellStyle name="Vírgula 3 2 2 3 2 6 2" xfId="8877" xr:uid="{00000000-0005-0000-0000-000054110000}"/>
    <cellStyle name="Vírgula 3 2 2 3 2 7" xfId="4503" xr:uid="{00000000-0005-0000-0000-000055110000}"/>
    <cellStyle name="Vírgula 3 2 2 3 2 7 2" xfId="11017" xr:uid="{00000000-0005-0000-0000-000056110000}"/>
    <cellStyle name="Vírgula 3 2 2 3 2 8" xfId="6733" xr:uid="{00000000-0005-0000-0000-000057110000}"/>
    <cellStyle name="Vírgula 3 2 2 3 3" xfId="270" xr:uid="{00000000-0005-0000-0000-000058110000}"/>
    <cellStyle name="Vírgula 3 2 2 3 3 2" xfId="613" xr:uid="{00000000-0005-0000-0000-000059110000}"/>
    <cellStyle name="Vírgula 3 2 2 3 3 2 2" xfId="1137" xr:uid="{00000000-0005-0000-0000-00005A110000}"/>
    <cellStyle name="Vírgula 3 2 2 3 3 2 2 2" xfId="2165" xr:uid="{00000000-0005-0000-0000-00005B110000}"/>
    <cellStyle name="Vírgula 3 2 2 3 3 2 2 2 2" xfId="4223" xr:uid="{00000000-0005-0000-0000-00005C110000}"/>
    <cellStyle name="Vírgula 3 2 2 3 3 2 2 2 2 2" xfId="10739" xr:uid="{00000000-0005-0000-0000-00005D110000}"/>
    <cellStyle name="Vírgula 3 2 2 3 3 2 2 2 3" xfId="6453" xr:uid="{00000000-0005-0000-0000-00005E110000}"/>
    <cellStyle name="Vírgula 3 2 2 3 3 2 2 2 3 2" xfId="12967" xr:uid="{00000000-0005-0000-0000-00005F110000}"/>
    <cellStyle name="Vírgula 3 2 2 3 3 2 2 2 4" xfId="8683" xr:uid="{00000000-0005-0000-0000-000060110000}"/>
    <cellStyle name="Vírgula 3 2 2 3 3 2 2 3" xfId="3195" xr:uid="{00000000-0005-0000-0000-000061110000}"/>
    <cellStyle name="Vírgula 3 2 2 3 3 2 2 3 2" xfId="9711" xr:uid="{00000000-0005-0000-0000-000062110000}"/>
    <cellStyle name="Vírgula 3 2 2 3 3 2 2 4" xfId="5425" xr:uid="{00000000-0005-0000-0000-000063110000}"/>
    <cellStyle name="Vírgula 3 2 2 3 3 2 2 4 2" xfId="11939" xr:uid="{00000000-0005-0000-0000-000064110000}"/>
    <cellStyle name="Vírgula 3 2 2 3 3 2 2 5" xfId="7655" xr:uid="{00000000-0005-0000-0000-000065110000}"/>
    <cellStyle name="Vírgula 3 2 2 3 3 2 3" xfId="1651" xr:uid="{00000000-0005-0000-0000-000066110000}"/>
    <cellStyle name="Vírgula 3 2 2 3 3 2 3 2" xfId="3709" xr:uid="{00000000-0005-0000-0000-000067110000}"/>
    <cellStyle name="Vírgula 3 2 2 3 3 2 3 2 2" xfId="10225" xr:uid="{00000000-0005-0000-0000-000068110000}"/>
    <cellStyle name="Vírgula 3 2 2 3 3 2 3 3" xfId="5939" xr:uid="{00000000-0005-0000-0000-000069110000}"/>
    <cellStyle name="Vírgula 3 2 2 3 3 2 3 3 2" xfId="12453" xr:uid="{00000000-0005-0000-0000-00006A110000}"/>
    <cellStyle name="Vírgula 3 2 2 3 3 2 3 4" xfId="8169" xr:uid="{00000000-0005-0000-0000-00006B110000}"/>
    <cellStyle name="Vírgula 3 2 2 3 3 2 4" xfId="2681" xr:uid="{00000000-0005-0000-0000-00006C110000}"/>
    <cellStyle name="Vírgula 3 2 2 3 3 2 4 2" xfId="9197" xr:uid="{00000000-0005-0000-0000-00006D110000}"/>
    <cellStyle name="Vírgula 3 2 2 3 3 2 5" xfId="4909" xr:uid="{00000000-0005-0000-0000-00006E110000}"/>
    <cellStyle name="Vírgula 3 2 2 3 3 2 5 2" xfId="11423" xr:uid="{00000000-0005-0000-0000-00006F110000}"/>
    <cellStyle name="Vírgula 3 2 2 3 3 2 6" xfId="7139" xr:uid="{00000000-0005-0000-0000-000070110000}"/>
    <cellStyle name="Vírgula 3 2 2 3 3 3" xfId="881" xr:uid="{00000000-0005-0000-0000-000071110000}"/>
    <cellStyle name="Vírgula 3 2 2 3 3 3 2" xfId="1909" xr:uid="{00000000-0005-0000-0000-000072110000}"/>
    <cellStyle name="Vírgula 3 2 2 3 3 3 2 2" xfId="3967" xr:uid="{00000000-0005-0000-0000-000073110000}"/>
    <cellStyle name="Vírgula 3 2 2 3 3 3 2 2 2" xfId="10483" xr:uid="{00000000-0005-0000-0000-000074110000}"/>
    <cellStyle name="Vírgula 3 2 2 3 3 3 2 3" xfId="6197" xr:uid="{00000000-0005-0000-0000-000075110000}"/>
    <cellStyle name="Vírgula 3 2 2 3 3 3 2 3 2" xfId="12711" xr:uid="{00000000-0005-0000-0000-000076110000}"/>
    <cellStyle name="Vírgula 3 2 2 3 3 3 2 4" xfId="8427" xr:uid="{00000000-0005-0000-0000-000077110000}"/>
    <cellStyle name="Vírgula 3 2 2 3 3 3 3" xfId="2939" xr:uid="{00000000-0005-0000-0000-000078110000}"/>
    <cellStyle name="Vírgula 3 2 2 3 3 3 3 2" xfId="9455" xr:uid="{00000000-0005-0000-0000-000079110000}"/>
    <cellStyle name="Vírgula 3 2 2 3 3 3 4" xfId="5169" xr:uid="{00000000-0005-0000-0000-00007A110000}"/>
    <cellStyle name="Vírgula 3 2 2 3 3 3 4 2" xfId="11683" xr:uid="{00000000-0005-0000-0000-00007B110000}"/>
    <cellStyle name="Vírgula 3 2 2 3 3 3 5" xfId="7399" xr:uid="{00000000-0005-0000-0000-00007C110000}"/>
    <cellStyle name="Vírgula 3 2 2 3 3 4" xfId="1395" xr:uid="{00000000-0005-0000-0000-00007D110000}"/>
    <cellStyle name="Vírgula 3 2 2 3 3 4 2" xfId="3453" xr:uid="{00000000-0005-0000-0000-00007E110000}"/>
    <cellStyle name="Vírgula 3 2 2 3 3 4 2 2" xfId="9969" xr:uid="{00000000-0005-0000-0000-00007F110000}"/>
    <cellStyle name="Vírgula 3 2 2 3 3 4 3" xfId="5683" xr:uid="{00000000-0005-0000-0000-000080110000}"/>
    <cellStyle name="Vírgula 3 2 2 3 3 4 3 2" xfId="12197" xr:uid="{00000000-0005-0000-0000-000081110000}"/>
    <cellStyle name="Vírgula 3 2 2 3 3 4 4" xfId="7913" xr:uid="{00000000-0005-0000-0000-000082110000}"/>
    <cellStyle name="Vírgula 3 2 2 3 3 5" xfId="2425" xr:uid="{00000000-0005-0000-0000-000083110000}"/>
    <cellStyle name="Vírgula 3 2 2 3 3 5 2" xfId="8941" xr:uid="{00000000-0005-0000-0000-000084110000}"/>
    <cellStyle name="Vírgula 3 2 2 3 3 6" xfId="4567" xr:uid="{00000000-0005-0000-0000-000085110000}"/>
    <cellStyle name="Vírgula 3 2 2 3 3 6 2" xfId="11081" xr:uid="{00000000-0005-0000-0000-000086110000}"/>
    <cellStyle name="Vírgula 3 2 2 3 3 7" xfId="6797" xr:uid="{00000000-0005-0000-0000-000087110000}"/>
    <cellStyle name="Vírgula 3 2 2 3 4" xfId="456" xr:uid="{00000000-0005-0000-0000-000088110000}"/>
    <cellStyle name="Vírgula 3 2 2 3 4 2" xfId="1009" xr:uid="{00000000-0005-0000-0000-000089110000}"/>
    <cellStyle name="Vírgula 3 2 2 3 4 2 2" xfId="2037" xr:uid="{00000000-0005-0000-0000-00008A110000}"/>
    <cellStyle name="Vírgula 3 2 2 3 4 2 2 2" xfId="4095" xr:uid="{00000000-0005-0000-0000-00008B110000}"/>
    <cellStyle name="Vírgula 3 2 2 3 4 2 2 2 2" xfId="10611" xr:uid="{00000000-0005-0000-0000-00008C110000}"/>
    <cellStyle name="Vírgula 3 2 2 3 4 2 2 3" xfId="6325" xr:uid="{00000000-0005-0000-0000-00008D110000}"/>
    <cellStyle name="Vírgula 3 2 2 3 4 2 2 3 2" xfId="12839" xr:uid="{00000000-0005-0000-0000-00008E110000}"/>
    <cellStyle name="Vírgula 3 2 2 3 4 2 2 4" xfId="8555" xr:uid="{00000000-0005-0000-0000-00008F110000}"/>
    <cellStyle name="Vírgula 3 2 2 3 4 2 3" xfId="3067" xr:uid="{00000000-0005-0000-0000-000090110000}"/>
    <cellStyle name="Vírgula 3 2 2 3 4 2 3 2" xfId="9583" xr:uid="{00000000-0005-0000-0000-000091110000}"/>
    <cellStyle name="Vírgula 3 2 2 3 4 2 4" xfId="5297" xr:uid="{00000000-0005-0000-0000-000092110000}"/>
    <cellStyle name="Vírgula 3 2 2 3 4 2 4 2" xfId="11811" xr:uid="{00000000-0005-0000-0000-000093110000}"/>
    <cellStyle name="Vírgula 3 2 2 3 4 2 5" xfId="7527" xr:uid="{00000000-0005-0000-0000-000094110000}"/>
    <cellStyle name="Vírgula 3 2 2 3 4 3" xfId="1523" xr:uid="{00000000-0005-0000-0000-000095110000}"/>
    <cellStyle name="Vírgula 3 2 2 3 4 3 2" xfId="3581" xr:uid="{00000000-0005-0000-0000-000096110000}"/>
    <cellStyle name="Vírgula 3 2 2 3 4 3 2 2" xfId="10097" xr:uid="{00000000-0005-0000-0000-000097110000}"/>
    <cellStyle name="Vírgula 3 2 2 3 4 3 3" xfId="5811" xr:uid="{00000000-0005-0000-0000-000098110000}"/>
    <cellStyle name="Vírgula 3 2 2 3 4 3 3 2" xfId="12325" xr:uid="{00000000-0005-0000-0000-000099110000}"/>
    <cellStyle name="Vírgula 3 2 2 3 4 3 4" xfId="8041" xr:uid="{00000000-0005-0000-0000-00009A110000}"/>
    <cellStyle name="Vírgula 3 2 2 3 4 4" xfId="2553" xr:uid="{00000000-0005-0000-0000-00009B110000}"/>
    <cellStyle name="Vírgula 3 2 2 3 4 4 2" xfId="9069" xr:uid="{00000000-0005-0000-0000-00009C110000}"/>
    <cellStyle name="Vírgula 3 2 2 3 4 5" xfId="4752" xr:uid="{00000000-0005-0000-0000-00009D110000}"/>
    <cellStyle name="Vírgula 3 2 2 3 4 5 2" xfId="11266" xr:uid="{00000000-0005-0000-0000-00009E110000}"/>
    <cellStyle name="Vírgula 3 2 2 3 4 6" xfId="6982" xr:uid="{00000000-0005-0000-0000-00009F110000}"/>
    <cellStyle name="Vírgula 3 2 2 3 5" xfId="753" xr:uid="{00000000-0005-0000-0000-0000A0110000}"/>
    <cellStyle name="Vírgula 3 2 2 3 5 2" xfId="1781" xr:uid="{00000000-0005-0000-0000-0000A1110000}"/>
    <cellStyle name="Vírgula 3 2 2 3 5 2 2" xfId="3839" xr:uid="{00000000-0005-0000-0000-0000A2110000}"/>
    <cellStyle name="Vírgula 3 2 2 3 5 2 2 2" xfId="10355" xr:uid="{00000000-0005-0000-0000-0000A3110000}"/>
    <cellStyle name="Vírgula 3 2 2 3 5 2 3" xfId="6069" xr:uid="{00000000-0005-0000-0000-0000A4110000}"/>
    <cellStyle name="Vírgula 3 2 2 3 5 2 3 2" xfId="12583" xr:uid="{00000000-0005-0000-0000-0000A5110000}"/>
    <cellStyle name="Vírgula 3 2 2 3 5 2 4" xfId="8299" xr:uid="{00000000-0005-0000-0000-0000A6110000}"/>
    <cellStyle name="Vírgula 3 2 2 3 5 3" xfId="2811" xr:uid="{00000000-0005-0000-0000-0000A7110000}"/>
    <cellStyle name="Vírgula 3 2 2 3 5 3 2" xfId="9327" xr:uid="{00000000-0005-0000-0000-0000A8110000}"/>
    <cellStyle name="Vírgula 3 2 2 3 5 4" xfId="5041" xr:uid="{00000000-0005-0000-0000-0000A9110000}"/>
    <cellStyle name="Vírgula 3 2 2 3 5 4 2" xfId="11555" xr:uid="{00000000-0005-0000-0000-0000AA110000}"/>
    <cellStyle name="Vírgula 3 2 2 3 5 5" xfId="7271" xr:uid="{00000000-0005-0000-0000-0000AB110000}"/>
    <cellStyle name="Vírgula 3 2 2 3 6" xfId="1267" xr:uid="{00000000-0005-0000-0000-0000AC110000}"/>
    <cellStyle name="Vírgula 3 2 2 3 6 2" xfId="3325" xr:uid="{00000000-0005-0000-0000-0000AD110000}"/>
    <cellStyle name="Vírgula 3 2 2 3 6 2 2" xfId="9841" xr:uid="{00000000-0005-0000-0000-0000AE110000}"/>
    <cellStyle name="Vírgula 3 2 2 3 6 3" xfId="5555" xr:uid="{00000000-0005-0000-0000-0000AF110000}"/>
    <cellStyle name="Vírgula 3 2 2 3 6 3 2" xfId="12069" xr:uid="{00000000-0005-0000-0000-0000B0110000}"/>
    <cellStyle name="Vírgula 3 2 2 3 6 4" xfId="7785" xr:uid="{00000000-0005-0000-0000-0000B1110000}"/>
    <cellStyle name="Vírgula 3 2 2 3 7" xfId="2297" xr:uid="{00000000-0005-0000-0000-0000B2110000}"/>
    <cellStyle name="Vírgula 3 2 2 3 7 2" xfId="8813" xr:uid="{00000000-0005-0000-0000-0000B3110000}"/>
    <cellStyle name="Vírgula 3 2 2 3 8" xfId="4410" xr:uid="{00000000-0005-0000-0000-0000B4110000}"/>
    <cellStyle name="Vírgula 3 2 2 3 8 2" xfId="10924" xr:uid="{00000000-0005-0000-0000-0000B5110000}"/>
    <cellStyle name="Vírgula 3 2 2 3 9" xfId="6640" xr:uid="{00000000-0005-0000-0000-0000B6110000}"/>
    <cellStyle name="Vírgula 3 2 2 4" xfId="174" xr:uid="{00000000-0005-0000-0000-0000B7110000}"/>
    <cellStyle name="Vírgula 3 2 2 4 2" xfId="302" xr:uid="{00000000-0005-0000-0000-0000B8110000}"/>
    <cellStyle name="Vírgula 3 2 2 4 2 2" xfId="645" xr:uid="{00000000-0005-0000-0000-0000B9110000}"/>
    <cellStyle name="Vírgula 3 2 2 4 2 2 2" xfId="1169" xr:uid="{00000000-0005-0000-0000-0000BA110000}"/>
    <cellStyle name="Vírgula 3 2 2 4 2 2 2 2" xfId="2197" xr:uid="{00000000-0005-0000-0000-0000BB110000}"/>
    <cellStyle name="Vírgula 3 2 2 4 2 2 2 2 2" xfId="4255" xr:uid="{00000000-0005-0000-0000-0000BC110000}"/>
    <cellStyle name="Vírgula 3 2 2 4 2 2 2 2 2 2" xfId="10771" xr:uid="{00000000-0005-0000-0000-0000BD110000}"/>
    <cellStyle name="Vírgula 3 2 2 4 2 2 2 2 3" xfId="6485" xr:uid="{00000000-0005-0000-0000-0000BE110000}"/>
    <cellStyle name="Vírgula 3 2 2 4 2 2 2 2 3 2" xfId="12999" xr:uid="{00000000-0005-0000-0000-0000BF110000}"/>
    <cellStyle name="Vírgula 3 2 2 4 2 2 2 2 4" xfId="8715" xr:uid="{00000000-0005-0000-0000-0000C0110000}"/>
    <cellStyle name="Vírgula 3 2 2 4 2 2 2 3" xfId="3227" xr:uid="{00000000-0005-0000-0000-0000C1110000}"/>
    <cellStyle name="Vírgula 3 2 2 4 2 2 2 3 2" xfId="9743" xr:uid="{00000000-0005-0000-0000-0000C2110000}"/>
    <cellStyle name="Vírgula 3 2 2 4 2 2 2 4" xfId="5457" xr:uid="{00000000-0005-0000-0000-0000C3110000}"/>
    <cellStyle name="Vírgula 3 2 2 4 2 2 2 4 2" xfId="11971" xr:uid="{00000000-0005-0000-0000-0000C4110000}"/>
    <cellStyle name="Vírgula 3 2 2 4 2 2 2 5" xfId="7687" xr:uid="{00000000-0005-0000-0000-0000C5110000}"/>
    <cellStyle name="Vírgula 3 2 2 4 2 2 3" xfId="1683" xr:uid="{00000000-0005-0000-0000-0000C6110000}"/>
    <cellStyle name="Vírgula 3 2 2 4 2 2 3 2" xfId="3741" xr:uid="{00000000-0005-0000-0000-0000C7110000}"/>
    <cellStyle name="Vírgula 3 2 2 4 2 2 3 2 2" xfId="10257" xr:uid="{00000000-0005-0000-0000-0000C8110000}"/>
    <cellStyle name="Vírgula 3 2 2 4 2 2 3 3" xfId="5971" xr:uid="{00000000-0005-0000-0000-0000C9110000}"/>
    <cellStyle name="Vírgula 3 2 2 4 2 2 3 3 2" xfId="12485" xr:uid="{00000000-0005-0000-0000-0000CA110000}"/>
    <cellStyle name="Vírgula 3 2 2 4 2 2 3 4" xfId="8201" xr:uid="{00000000-0005-0000-0000-0000CB110000}"/>
    <cellStyle name="Vírgula 3 2 2 4 2 2 4" xfId="2713" xr:uid="{00000000-0005-0000-0000-0000CC110000}"/>
    <cellStyle name="Vírgula 3 2 2 4 2 2 4 2" xfId="9229" xr:uid="{00000000-0005-0000-0000-0000CD110000}"/>
    <cellStyle name="Vírgula 3 2 2 4 2 2 5" xfId="4941" xr:uid="{00000000-0005-0000-0000-0000CE110000}"/>
    <cellStyle name="Vírgula 3 2 2 4 2 2 5 2" xfId="11455" xr:uid="{00000000-0005-0000-0000-0000CF110000}"/>
    <cellStyle name="Vírgula 3 2 2 4 2 2 6" xfId="7171" xr:uid="{00000000-0005-0000-0000-0000D0110000}"/>
    <cellStyle name="Vírgula 3 2 2 4 2 3" xfId="913" xr:uid="{00000000-0005-0000-0000-0000D1110000}"/>
    <cellStyle name="Vírgula 3 2 2 4 2 3 2" xfId="1941" xr:uid="{00000000-0005-0000-0000-0000D2110000}"/>
    <cellStyle name="Vírgula 3 2 2 4 2 3 2 2" xfId="3999" xr:uid="{00000000-0005-0000-0000-0000D3110000}"/>
    <cellStyle name="Vírgula 3 2 2 4 2 3 2 2 2" xfId="10515" xr:uid="{00000000-0005-0000-0000-0000D4110000}"/>
    <cellStyle name="Vírgula 3 2 2 4 2 3 2 3" xfId="6229" xr:uid="{00000000-0005-0000-0000-0000D5110000}"/>
    <cellStyle name="Vírgula 3 2 2 4 2 3 2 3 2" xfId="12743" xr:uid="{00000000-0005-0000-0000-0000D6110000}"/>
    <cellStyle name="Vírgula 3 2 2 4 2 3 2 4" xfId="8459" xr:uid="{00000000-0005-0000-0000-0000D7110000}"/>
    <cellStyle name="Vírgula 3 2 2 4 2 3 3" xfId="2971" xr:uid="{00000000-0005-0000-0000-0000D8110000}"/>
    <cellStyle name="Vírgula 3 2 2 4 2 3 3 2" xfId="9487" xr:uid="{00000000-0005-0000-0000-0000D9110000}"/>
    <cellStyle name="Vírgula 3 2 2 4 2 3 4" xfId="5201" xr:uid="{00000000-0005-0000-0000-0000DA110000}"/>
    <cellStyle name="Vírgula 3 2 2 4 2 3 4 2" xfId="11715" xr:uid="{00000000-0005-0000-0000-0000DB110000}"/>
    <cellStyle name="Vírgula 3 2 2 4 2 3 5" xfId="7431" xr:uid="{00000000-0005-0000-0000-0000DC110000}"/>
    <cellStyle name="Vírgula 3 2 2 4 2 4" xfId="1427" xr:uid="{00000000-0005-0000-0000-0000DD110000}"/>
    <cellStyle name="Vírgula 3 2 2 4 2 4 2" xfId="3485" xr:uid="{00000000-0005-0000-0000-0000DE110000}"/>
    <cellStyle name="Vírgula 3 2 2 4 2 4 2 2" xfId="10001" xr:uid="{00000000-0005-0000-0000-0000DF110000}"/>
    <cellStyle name="Vírgula 3 2 2 4 2 4 3" xfId="5715" xr:uid="{00000000-0005-0000-0000-0000E0110000}"/>
    <cellStyle name="Vírgula 3 2 2 4 2 4 3 2" xfId="12229" xr:uid="{00000000-0005-0000-0000-0000E1110000}"/>
    <cellStyle name="Vírgula 3 2 2 4 2 4 4" xfId="7945" xr:uid="{00000000-0005-0000-0000-0000E2110000}"/>
    <cellStyle name="Vírgula 3 2 2 4 2 5" xfId="2457" xr:uid="{00000000-0005-0000-0000-0000E3110000}"/>
    <cellStyle name="Vírgula 3 2 2 4 2 5 2" xfId="8973" xr:uid="{00000000-0005-0000-0000-0000E4110000}"/>
    <cellStyle name="Vírgula 3 2 2 4 2 6" xfId="4599" xr:uid="{00000000-0005-0000-0000-0000E5110000}"/>
    <cellStyle name="Vírgula 3 2 2 4 2 6 2" xfId="11113" xr:uid="{00000000-0005-0000-0000-0000E6110000}"/>
    <cellStyle name="Vírgula 3 2 2 4 2 7" xfId="6829" xr:uid="{00000000-0005-0000-0000-0000E7110000}"/>
    <cellStyle name="Vírgula 3 2 2 4 3" xfId="517" xr:uid="{00000000-0005-0000-0000-0000E8110000}"/>
    <cellStyle name="Vírgula 3 2 2 4 3 2" xfId="1041" xr:uid="{00000000-0005-0000-0000-0000E9110000}"/>
    <cellStyle name="Vírgula 3 2 2 4 3 2 2" xfId="2069" xr:uid="{00000000-0005-0000-0000-0000EA110000}"/>
    <cellStyle name="Vírgula 3 2 2 4 3 2 2 2" xfId="4127" xr:uid="{00000000-0005-0000-0000-0000EB110000}"/>
    <cellStyle name="Vírgula 3 2 2 4 3 2 2 2 2" xfId="10643" xr:uid="{00000000-0005-0000-0000-0000EC110000}"/>
    <cellStyle name="Vírgula 3 2 2 4 3 2 2 3" xfId="6357" xr:uid="{00000000-0005-0000-0000-0000ED110000}"/>
    <cellStyle name="Vírgula 3 2 2 4 3 2 2 3 2" xfId="12871" xr:uid="{00000000-0005-0000-0000-0000EE110000}"/>
    <cellStyle name="Vírgula 3 2 2 4 3 2 2 4" xfId="8587" xr:uid="{00000000-0005-0000-0000-0000EF110000}"/>
    <cellStyle name="Vírgula 3 2 2 4 3 2 3" xfId="3099" xr:uid="{00000000-0005-0000-0000-0000F0110000}"/>
    <cellStyle name="Vírgula 3 2 2 4 3 2 3 2" xfId="9615" xr:uid="{00000000-0005-0000-0000-0000F1110000}"/>
    <cellStyle name="Vírgula 3 2 2 4 3 2 4" xfId="5329" xr:uid="{00000000-0005-0000-0000-0000F2110000}"/>
    <cellStyle name="Vírgula 3 2 2 4 3 2 4 2" xfId="11843" xr:uid="{00000000-0005-0000-0000-0000F3110000}"/>
    <cellStyle name="Vírgula 3 2 2 4 3 2 5" xfId="7559" xr:uid="{00000000-0005-0000-0000-0000F4110000}"/>
    <cellStyle name="Vírgula 3 2 2 4 3 3" xfId="1555" xr:uid="{00000000-0005-0000-0000-0000F5110000}"/>
    <cellStyle name="Vírgula 3 2 2 4 3 3 2" xfId="3613" xr:uid="{00000000-0005-0000-0000-0000F6110000}"/>
    <cellStyle name="Vírgula 3 2 2 4 3 3 2 2" xfId="10129" xr:uid="{00000000-0005-0000-0000-0000F7110000}"/>
    <cellStyle name="Vírgula 3 2 2 4 3 3 3" xfId="5843" xr:uid="{00000000-0005-0000-0000-0000F8110000}"/>
    <cellStyle name="Vírgula 3 2 2 4 3 3 3 2" xfId="12357" xr:uid="{00000000-0005-0000-0000-0000F9110000}"/>
    <cellStyle name="Vírgula 3 2 2 4 3 3 4" xfId="8073" xr:uid="{00000000-0005-0000-0000-0000FA110000}"/>
    <cellStyle name="Vírgula 3 2 2 4 3 4" xfId="2585" xr:uid="{00000000-0005-0000-0000-0000FB110000}"/>
    <cellStyle name="Vírgula 3 2 2 4 3 4 2" xfId="9101" xr:uid="{00000000-0005-0000-0000-0000FC110000}"/>
    <cellStyle name="Vírgula 3 2 2 4 3 5" xfId="4813" xr:uid="{00000000-0005-0000-0000-0000FD110000}"/>
    <cellStyle name="Vírgula 3 2 2 4 3 5 2" xfId="11327" xr:uid="{00000000-0005-0000-0000-0000FE110000}"/>
    <cellStyle name="Vírgula 3 2 2 4 3 6" xfId="7043" xr:uid="{00000000-0005-0000-0000-0000FF110000}"/>
    <cellStyle name="Vírgula 3 2 2 4 4" xfId="785" xr:uid="{00000000-0005-0000-0000-000000120000}"/>
    <cellStyle name="Vírgula 3 2 2 4 4 2" xfId="1813" xr:uid="{00000000-0005-0000-0000-000001120000}"/>
    <cellStyle name="Vírgula 3 2 2 4 4 2 2" xfId="3871" xr:uid="{00000000-0005-0000-0000-000002120000}"/>
    <cellStyle name="Vírgula 3 2 2 4 4 2 2 2" xfId="10387" xr:uid="{00000000-0005-0000-0000-000003120000}"/>
    <cellStyle name="Vírgula 3 2 2 4 4 2 3" xfId="6101" xr:uid="{00000000-0005-0000-0000-000004120000}"/>
    <cellStyle name="Vírgula 3 2 2 4 4 2 3 2" xfId="12615" xr:uid="{00000000-0005-0000-0000-000005120000}"/>
    <cellStyle name="Vírgula 3 2 2 4 4 2 4" xfId="8331" xr:uid="{00000000-0005-0000-0000-000006120000}"/>
    <cellStyle name="Vírgula 3 2 2 4 4 3" xfId="2843" xr:uid="{00000000-0005-0000-0000-000007120000}"/>
    <cellStyle name="Vírgula 3 2 2 4 4 3 2" xfId="9359" xr:uid="{00000000-0005-0000-0000-000008120000}"/>
    <cellStyle name="Vírgula 3 2 2 4 4 4" xfId="5073" xr:uid="{00000000-0005-0000-0000-000009120000}"/>
    <cellStyle name="Vírgula 3 2 2 4 4 4 2" xfId="11587" xr:uid="{00000000-0005-0000-0000-00000A120000}"/>
    <cellStyle name="Vírgula 3 2 2 4 4 5" xfId="7303" xr:uid="{00000000-0005-0000-0000-00000B120000}"/>
    <cellStyle name="Vírgula 3 2 2 4 5" xfId="1299" xr:uid="{00000000-0005-0000-0000-00000C120000}"/>
    <cellStyle name="Vírgula 3 2 2 4 5 2" xfId="3357" xr:uid="{00000000-0005-0000-0000-00000D120000}"/>
    <cellStyle name="Vírgula 3 2 2 4 5 2 2" xfId="9873" xr:uid="{00000000-0005-0000-0000-00000E120000}"/>
    <cellStyle name="Vírgula 3 2 2 4 5 3" xfId="5587" xr:uid="{00000000-0005-0000-0000-00000F120000}"/>
    <cellStyle name="Vírgula 3 2 2 4 5 3 2" xfId="12101" xr:uid="{00000000-0005-0000-0000-000010120000}"/>
    <cellStyle name="Vírgula 3 2 2 4 5 4" xfId="7817" xr:uid="{00000000-0005-0000-0000-000011120000}"/>
    <cellStyle name="Vírgula 3 2 2 4 6" xfId="2329" xr:uid="{00000000-0005-0000-0000-000012120000}"/>
    <cellStyle name="Vírgula 3 2 2 4 6 2" xfId="8845" xr:uid="{00000000-0005-0000-0000-000013120000}"/>
    <cellStyle name="Vírgula 3 2 2 4 7" xfId="4471" xr:uid="{00000000-0005-0000-0000-000014120000}"/>
    <cellStyle name="Vírgula 3 2 2 4 7 2" xfId="10985" xr:uid="{00000000-0005-0000-0000-000015120000}"/>
    <cellStyle name="Vírgula 3 2 2 4 8" xfId="6701" xr:uid="{00000000-0005-0000-0000-000016120000}"/>
    <cellStyle name="Vírgula 3 2 2 5" xfId="238" xr:uid="{00000000-0005-0000-0000-000017120000}"/>
    <cellStyle name="Vírgula 3 2 2 5 2" xfId="581" xr:uid="{00000000-0005-0000-0000-000018120000}"/>
    <cellStyle name="Vírgula 3 2 2 5 2 2" xfId="1105" xr:uid="{00000000-0005-0000-0000-000019120000}"/>
    <cellStyle name="Vírgula 3 2 2 5 2 2 2" xfId="2133" xr:uid="{00000000-0005-0000-0000-00001A120000}"/>
    <cellStyle name="Vírgula 3 2 2 5 2 2 2 2" xfId="4191" xr:uid="{00000000-0005-0000-0000-00001B120000}"/>
    <cellStyle name="Vírgula 3 2 2 5 2 2 2 2 2" xfId="10707" xr:uid="{00000000-0005-0000-0000-00001C120000}"/>
    <cellStyle name="Vírgula 3 2 2 5 2 2 2 3" xfId="6421" xr:uid="{00000000-0005-0000-0000-00001D120000}"/>
    <cellStyle name="Vírgula 3 2 2 5 2 2 2 3 2" xfId="12935" xr:uid="{00000000-0005-0000-0000-00001E120000}"/>
    <cellStyle name="Vírgula 3 2 2 5 2 2 2 4" xfId="8651" xr:uid="{00000000-0005-0000-0000-00001F120000}"/>
    <cellStyle name="Vírgula 3 2 2 5 2 2 3" xfId="3163" xr:uid="{00000000-0005-0000-0000-000020120000}"/>
    <cellStyle name="Vírgula 3 2 2 5 2 2 3 2" xfId="9679" xr:uid="{00000000-0005-0000-0000-000021120000}"/>
    <cellStyle name="Vírgula 3 2 2 5 2 2 4" xfId="5393" xr:uid="{00000000-0005-0000-0000-000022120000}"/>
    <cellStyle name="Vírgula 3 2 2 5 2 2 4 2" xfId="11907" xr:uid="{00000000-0005-0000-0000-000023120000}"/>
    <cellStyle name="Vírgula 3 2 2 5 2 2 5" xfId="7623" xr:uid="{00000000-0005-0000-0000-000024120000}"/>
    <cellStyle name="Vírgula 3 2 2 5 2 3" xfId="1619" xr:uid="{00000000-0005-0000-0000-000025120000}"/>
    <cellStyle name="Vírgula 3 2 2 5 2 3 2" xfId="3677" xr:uid="{00000000-0005-0000-0000-000026120000}"/>
    <cellStyle name="Vírgula 3 2 2 5 2 3 2 2" xfId="10193" xr:uid="{00000000-0005-0000-0000-000027120000}"/>
    <cellStyle name="Vírgula 3 2 2 5 2 3 3" xfId="5907" xr:uid="{00000000-0005-0000-0000-000028120000}"/>
    <cellStyle name="Vírgula 3 2 2 5 2 3 3 2" xfId="12421" xr:uid="{00000000-0005-0000-0000-000029120000}"/>
    <cellStyle name="Vírgula 3 2 2 5 2 3 4" xfId="8137" xr:uid="{00000000-0005-0000-0000-00002A120000}"/>
    <cellStyle name="Vírgula 3 2 2 5 2 4" xfId="2649" xr:uid="{00000000-0005-0000-0000-00002B120000}"/>
    <cellStyle name="Vírgula 3 2 2 5 2 4 2" xfId="9165" xr:uid="{00000000-0005-0000-0000-00002C120000}"/>
    <cellStyle name="Vírgula 3 2 2 5 2 5" xfId="4877" xr:uid="{00000000-0005-0000-0000-00002D120000}"/>
    <cellStyle name="Vírgula 3 2 2 5 2 5 2" xfId="11391" xr:uid="{00000000-0005-0000-0000-00002E120000}"/>
    <cellStyle name="Vírgula 3 2 2 5 2 6" xfId="7107" xr:uid="{00000000-0005-0000-0000-00002F120000}"/>
    <cellStyle name="Vírgula 3 2 2 5 3" xfId="849" xr:uid="{00000000-0005-0000-0000-000030120000}"/>
    <cellStyle name="Vírgula 3 2 2 5 3 2" xfId="1877" xr:uid="{00000000-0005-0000-0000-000031120000}"/>
    <cellStyle name="Vírgula 3 2 2 5 3 2 2" xfId="3935" xr:uid="{00000000-0005-0000-0000-000032120000}"/>
    <cellStyle name="Vírgula 3 2 2 5 3 2 2 2" xfId="10451" xr:uid="{00000000-0005-0000-0000-000033120000}"/>
    <cellStyle name="Vírgula 3 2 2 5 3 2 3" xfId="6165" xr:uid="{00000000-0005-0000-0000-000034120000}"/>
    <cellStyle name="Vírgula 3 2 2 5 3 2 3 2" xfId="12679" xr:uid="{00000000-0005-0000-0000-000035120000}"/>
    <cellStyle name="Vírgula 3 2 2 5 3 2 4" xfId="8395" xr:uid="{00000000-0005-0000-0000-000036120000}"/>
    <cellStyle name="Vírgula 3 2 2 5 3 3" xfId="2907" xr:uid="{00000000-0005-0000-0000-000037120000}"/>
    <cellStyle name="Vírgula 3 2 2 5 3 3 2" xfId="9423" xr:uid="{00000000-0005-0000-0000-000038120000}"/>
    <cellStyle name="Vírgula 3 2 2 5 3 4" xfId="5137" xr:uid="{00000000-0005-0000-0000-000039120000}"/>
    <cellStyle name="Vírgula 3 2 2 5 3 4 2" xfId="11651" xr:uid="{00000000-0005-0000-0000-00003A120000}"/>
    <cellStyle name="Vírgula 3 2 2 5 3 5" xfId="7367" xr:uid="{00000000-0005-0000-0000-00003B120000}"/>
    <cellStyle name="Vírgula 3 2 2 5 4" xfId="1363" xr:uid="{00000000-0005-0000-0000-00003C120000}"/>
    <cellStyle name="Vírgula 3 2 2 5 4 2" xfId="3421" xr:uid="{00000000-0005-0000-0000-00003D120000}"/>
    <cellStyle name="Vírgula 3 2 2 5 4 2 2" xfId="9937" xr:uid="{00000000-0005-0000-0000-00003E120000}"/>
    <cellStyle name="Vírgula 3 2 2 5 4 3" xfId="5651" xr:uid="{00000000-0005-0000-0000-00003F120000}"/>
    <cellStyle name="Vírgula 3 2 2 5 4 3 2" xfId="12165" xr:uid="{00000000-0005-0000-0000-000040120000}"/>
    <cellStyle name="Vírgula 3 2 2 5 4 4" xfId="7881" xr:uid="{00000000-0005-0000-0000-000041120000}"/>
    <cellStyle name="Vírgula 3 2 2 5 5" xfId="2393" xr:uid="{00000000-0005-0000-0000-000042120000}"/>
    <cellStyle name="Vírgula 3 2 2 5 5 2" xfId="8909" xr:uid="{00000000-0005-0000-0000-000043120000}"/>
    <cellStyle name="Vírgula 3 2 2 5 6" xfId="4535" xr:uid="{00000000-0005-0000-0000-000044120000}"/>
    <cellStyle name="Vírgula 3 2 2 5 6 2" xfId="11049" xr:uid="{00000000-0005-0000-0000-000045120000}"/>
    <cellStyle name="Vírgula 3 2 2 5 7" xfId="6765" xr:uid="{00000000-0005-0000-0000-000046120000}"/>
    <cellStyle name="Vírgula 3 2 2 6" xfId="382" xr:uid="{00000000-0005-0000-0000-000047120000}"/>
    <cellStyle name="Vírgula 3 2 2 6 2" xfId="977" xr:uid="{00000000-0005-0000-0000-000048120000}"/>
    <cellStyle name="Vírgula 3 2 2 6 2 2" xfId="2005" xr:uid="{00000000-0005-0000-0000-000049120000}"/>
    <cellStyle name="Vírgula 3 2 2 6 2 2 2" xfId="4063" xr:uid="{00000000-0005-0000-0000-00004A120000}"/>
    <cellStyle name="Vírgula 3 2 2 6 2 2 2 2" xfId="10579" xr:uid="{00000000-0005-0000-0000-00004B120000}"/>
    <cellStyle name="Vírgula 3 2 2 6 2 2 3" xfId="6293" xr:uid="{00000000-0005-0000-0000-00004C120000}"/>
    <cellStyle name="Vírgula 3 2 2 6 2 2 3 2" xfId="12807" xr:uid="{00000000-0005-0000-0000-00004D120000}"/>
    <cellStyle name="Vírgula 3 2 2 6 2 2 4" xfId="8523" xr:uid="{00000000-0005-0000-0000-00004E120000}"/>
    <cellStyle name="Vírgula 3 2 2 6 2 3" xfId="3035" xr:uid="{00000000-0005-0000-0000-00004F120000}"/>
    <cellStyle name="Vírgula 3 2 2 6 2 3 2" xfId="9551" xr:uid="{00000000-0005-0000-0000-000050120000}"/>
    <cellStyle name="Vírgula 3 2 2 6 2 4" xfId="5265" xr:uid="{00000000-0005-0000-0000-000051120000}"/>
    <cellStyle name="Vírgula 3 2 2 6 2 4 2" xfId="11779" xr:uid="{00000000-0005-0000-0000-000052120000}"/>
    <cellStyle name="Vírgula 3 2 2 6 2 5" xfId="7495" xr:uid="{00000000-0005-0000-0000-000053120000}"/>
    <cellStyle name="Vírgula 3 2 2 6 3" xfId="1491" xr:uid="{00000000-0005-0000-0000-000054120000}"/>
    <cellStyle name="Vírgula 3 2 2 6 3 2" xfId="3549" xr:uid="{00000000-0005-0000-0000-000055120000}"/>
    <cellStyle name="Vírgula 3 2 2 6 3 2 2" xfId="10065" xr:uid="{00000000-0005-0000-0000-000056120000}"/>
    <cellStyle name="Vírgula 3 2 2 6 3 3" xfId="5779" xr:uid="{00000000-0005-0000-0000-000057120000}"/>
    <cellStyle name="Vírgula 3 2 2 6 3 3 2" xfId="12293" xr:uid="{00000000-0005-0000-0000-000058120000}"/>
    <cellStyle name="Vírgula 3 2 2 6 3 4" xfId="8009" xr:uid="{00000000-0005-0000-0000-000059120000}"/>
    <cellStyle name="Vírgula 3 2 2 6 4" xfId="2521" xr:uid="{00000000-0005-0000-0000-00005A120000}"/>
    <cellStyle name="Vírgula 3 2 2 6 4 2" xfId="9037" xr:uid="{00000000-0005-0000-0000-00005B120000}"/>
    <cellStyle name="Vírgula 3 2 2 6 5" xfId="4678" xr:uid="{00000000-0005-0000-0000-00005C120000}"/>
    <cellStyle name="Vírgula 3 2 2 6 5 2" xfId="11192" xr:uid="{00000000-0005-0000-0000-00005D120000}"/>
    <cellStyle name="Vírgula 3 2 2 6 6" xfId="6908" xr:uid="{00000000-0005-0000-0000-00005E120000}"/>
    <cellStyle name="Vírgula 3 2 2 7" xfId="721" xr:uid="{00000000-0005-0000-0000-00005F120000}"/>
    <cellStyle name="Vírgula 3 2 2 7 2" xfId="1749" xr:uid="{00000000-0005-0000-0000-000060120000}"/>
    <cellStyle name="Vírgula 3 2 2 7 2 2" xfId="3807" xr:uid="{00000000-0005-0000-0000-000061120000}"/>
    <cellStyle name="Vírgula 3 2 2 7 2 2 2" xfId="10323" xr:uid="{00000000-0005-0000-0000-000062120000}"/>
    <cellStyle name="Vírgula 3 2 2 7 2 3" xfId="6037" xr:uid="{00000000-0005-0000-0000-000063120000}"/>
    <cellStyle name="Vírgula 3 2 2 7 2 3 2" xfId="12551" xr:uid="{00000000-0005-0000-0000-000064120000}"/>
    <cellStyle name="Vírgula 3 2 2 7 2 4" xfId="8267" xr:uid="{00000000-0005-0000-0000-000065120000}"/>
    <cellStyle name="Vírgula 3 2 2 7 3" xfId="2779" xr:uid="{00000000-0005-0000-0000-000066120000}"/>
    <cellStyle name="Vírgula 3 2 2 7 3 2" xfId="9295" xr:uid="{00000000-0005-0000-0000-000067120000}"/>
    <cellStyle name="Vírgula 3 2 2 7 4" xfId="5009" xr:uid="{00000000-0005-0000-0000-000068120000}"/>
    <cellStyle name="Vírgula 3 2 2 7 4 2" xfId="11523" xr:uid="{00000000-0005-0000-0000-000069120000}"/>
    <cellStyle name="Vírgula 3 2 2 7 5" xfId="7239" xr:uid="{00000000-0005-0000-0000-00006A120000}"/>
    <cellStyle name="Vírgula 3 2 2 8" xfId="1235" xr:uid="{00000000-0005-0000-0000-00006B120000}"/>
    <cellStyle name="Vírgula 3 2 2 8 2" xfId="3293" xr:uid="{00000000-0005-0000-0000-00006C120000}"/>
    <cellStyle name="Vírgula 3 2 2 8 2 2" xfId="9809" xr:uid="{00000000-0005-0000-0000-00006D120000}"/>
    <cellStyle name="Vírgula 3 2 2 8 3" xfId="5523" xr:uid="{00000000-0005-0000-0000-00006E120000}"/>
    <cellStyle name="Vírgula 3 2 2 8 3 2" xfId="12037" xr:uid="{00000000-0005-0000-0000-00006F120000}"/>
    <cellStyle name="Vírgula 3 2 2 8 4" xfId="7753" xr:uid="{00000000-0005-0000-0000-000070120000}"/>
    <cellStyle name="Vírgula 3 2 2 9" xfId="2265" xr:uid="{00000000-0005-0000-0000-000071120000}"/>
    <cellStyle name="Vírgula 3 2 2 9 2" xfId="8781" xr:uid="{00000000-0005-0000-0000-000072120000}"/>
    <cellStyle name="Vírgula 3 2 3" xfId="55" xr:uid="{00000000-0005-0000-0000-000073120000}"/>
    <cellStyle name="Vírgula 3 2 3 10" xfId="4352" xr:uid="{00000000-0005-0000-0000-000074120000}"/>
    <cellStyle name="Vírgula 3 2 3 10 2" xfId="10866" xr:uid="{00000000-0005-0000-0000-000075120000}"/>
    <cellStyle name="Vírgula 3 2 3 11" xfId="6582" xr:uid="{00000000-0005-0000-0000-000076120000}"/>
    <cellStyle name="Vírgula 3 2 3 2" xfId="88" xr:uid="{00000000-0005-0000-0000-000077120000}"/>
    <cellStyle name="Vírgula 3 2 3 2 10" xfId="6615" xr:uid="{00000000-0005-0000-0000-000078120000}"/>
    <cellStyle name="Vírgula 3 2 3 2 2" xfId="162" xr:uid="{00000000-0005-0000-0000-000079120000}"/>
    <cellStyle name="Vírgula 3 2 3 2 2 2" xfId="226" xr:uid="{00000000-0005-0000-0000-00007A120000}"/>
    <cellStyle name="Vírgula 3 2 3 2 2 2 2" xfId="354" xr:uid="{00000000-0005-0000-0000-00007B120000}"/>
    <cellStyle name="Vírgula 3 2 3 2 2 2 2 2" xfId="697" xr:uid="{00000000-0005-0000-0000-00007C120000}"/>
    <cellStyle name="Vírgula 3 2 3 2 2 2 2 2 2" xfId="1221" xr:uid="{00000000-0005-0000-0000-00007D120000}"/>
    <cellStyle name="Vírgula 3 2 3 2 2 2 2 2 2 2" xfId="2249" xr:uid="{00000000-0005-0000-0000-00007E120000}"/>
    <cellStyle name="Vírgula 3 2 3 2 2 2 2 2 2 2 2" xfId="4307" xr:uid="{00000000-0005-0000-0000-00007F120000}"/>
    <cellStyle name="Vírgula 3 2 3 2 2 2 2 2 2 2 2 2" xfId="10823" xr:uid="{00000000-0005-0000-0000-000080120000}"/>
    <cellStyle name="Vírgula 3 2 3 2 2 2 2 2 2 2 3" xfId="6537" xr:uid="{00000000-0005-0000-0000-000081120000}"/>
    <cellStyle name="Vírgula 3 2 3 2 2 2 2 2 2 2 3 2" xfId="13051" xr:uid="{00000000-0005-0000-0000-000082120000}"/>
    <cellStyle name="Vírgula 3 2 3 2 2 2 2 2 2 2 4" xfId="8767" xr:uid="{00000000-0005-0000-0000-000083120000}"/>
    <cellStyle name="Vírgula 3 2 3 2 2 2 2 2 2 3" xfId="3279" xr:uid="{00000000-0005-0000-0000-000084120000}"/>
    <cellStyle name="Vírgula 3 2 3 2 2 2 2 2 2 3 2" xfId="9795" xr:uid="{00000000-0005-0000-0000-000085120000}"/>
    <cellStyle name="Vírgula 3 2 3 2 2 2 2 2 2 4" xfId="5509" xr:uid="{00000000-0005-0000-0000-000086120000}"/>
    <cellStyle name="Vírgula 3 2 3 2 2 2 2 2 2 4 2" xfId="12023" xr:uid="{00000000-0005-0000-0000-000087120000}"/>
    <cellStyle name="Vírgula 3 2 3 2 2 2 2 2 2 5" xfId="7739" xr:uid="{00000000-0005-0000-0000-000088120000}"/>
    <cellStyle name="Vírgula 3 2 3 2 2 2 2 2 3" xfId="1735" xr:uid="{00000000-0005-0000-0000-000089120000}"/>
    <cellStyle name="Vírgula 3 2 3 2 2 2 2 2 3 2" xfId="3793" xr:uid="{00000000-0005-0000-0000-00008A120000}"/>
    <cellStyle name="Vírgula 3 2 3 2 2 2 2 2 3 2 2" xfId="10309" xr:uid="{00000000-0005-0000-0000-00008B120000}"/>
    <cellStyle name="Vírgula 3 2 3 2 2 2 2 2 3 3" xfId="6023" xr:uid="{00000000-0005-0000-0000-00008C120000}"/>
    <cellStyle name="Vírgula 3 2 3 2 2 2 2 2 3 3 2" xfId="12537" xr:uid="{00000000-0005-0000-0000-00008D120000}"/>
    <cellStyle name="Vírgula 3 2 3 2 2 2 2 2 3 4" xfId="8253" xr:uid="{00000000-0005-0000-0000-00008E120000}"/>
    <cellStyle name="Vírgula 3 2 3 2 2 2 2 2 4" xfId="2765" xr:uid="{00000000-0005-0000-0000-00008F120000}"/>
    <cellStyle name="Vírgula 3 2 3 2 2 2 2 2 4 2" xfId="9281" xr:uid="{00000000-0005-0000-0000-000090120000}"/>
    <cellStyle name="Vírgula 3 2 3 2 2 2 2 2 5" xfId="4993" xr:uid="{00000000-0005-0000-0000-000091120000}"/>
    <cellStyle name="Vírgula 3 2 3 2 2 2 2 2 5 2" xfId="11507" xr:uid="{00000000-0005-0000-0000-000092120000}"/>
    <cellStyle name="Vírgula 3 2 3 2 2 2 2 2 6" xfId="7223" xr:uid="{00000000-0005-0000-0000-000093120000}"/>
    <cellStyle name="Vírgula 3 2 3 2 2 2 2 3" xfId="965" xr:uid="{00000000-0005-0000-0000-000094120000}"/>
    <cellStyle name="Vírgula 3 2 3 2 2 2 2 3 2" xfId="1993" xr:uid="{00000000-0005-0000-0000-000095120000}"/>
    <cellStyle name="Vírgula 3 2 3 2 2 2 2 3 2 2" xfId="4051" xr:uid="{00000000-0005-0000-0000-000096120000}"/>
    <cellStyle name="Vírgula 3 2 3 2 2 2 2 3 2 2 2" xfId="10567" xr:uid="{00000000-0005-0000-0000-000097120000}"/>
    <cellStyle name="Vírgula 3 2 3 2 2 2 2 3 2 3" xfId="6281" xr:uid="{00000000-0005-0000-0000-000098120000}"/>
    <cellStyle name="Vírgula 3 2 3 2 2 2 2 3 2 3 2" xfId="12795" xr:uid="{00000000-0005-0000-0000-000099120000}"/>
    <cellStyle name="Vírgula 3 2 3 2 2 2 2 3 2 4" xfId="8511" xr:uid="{00000000-0005-0000-0000-00009A120000}"/>
    <cellStyle name="Vírgula 3 2 3 2 2 2 2 3 3" xfId="3023" xr:uid="{00000000-0005-0000-0000-00009B120000}"/>
    <cellStyle name="Vírgula 3 2 3 2 2 2 2 3 3 2" xfId="9539" xr:uid="{00000000-0005-0000-0000-00009C120000}"/>
    <cellStyle name="Vírgula 3 2 3 2 2 2 2 3 4" xfId="5253" xr:uid="{00000000-0005-0000-0000-00009D120000}"/>
    <cellStyle name="Vírgula 3 2 3 2 2 2 2 3 4 2" xfId="11767" xr:uid="{00000000-0005-0000-0000-00009E120000}"/>
    <cellStyle name="Vírgula 3 2 3 2 2 2 2 3 5" xfId="7483" xr:uid="{00000000-0005-0000-0000-00009F120000}"/>
    <cellStyle name="Vírgula 3 2 3 2 2 2 2 4" xfId="1479" xr:uid="{00000000-0005-0000-0000-0000A0120000}"/>
    <cellStyle name="Vírgula 3 2 3 2 2 2 2 4 2" xfId="3537" xr:uid="{00000000-0005-0000-0000-0000A1120000}"/>
    <cellStyle name="Vírgula 3 2 3 2 2 2 2 4 2 2" xfId="10053" xr:uid="{00000000-0005-0000-0000-0000A2120000}"/>
    <cellStyle name="Vírgula 3 2 3 2 2 2 2 4 3" xfId="5767" xr:uid="{00000000-0005-0000-0000-0000A3120000}"/>
    <cellStyle name="Vírgula 3 2 3 2 2 2 2 4 3 2" xfId="12281" xr:uid="{00000000-0005-0000-0000-0000A4120000}"/>
    <cellStyle name="Vírgula 3 2 3 2 2 2 2 4 4" xfId="7997" xr:uid="{00000000-0005-0000-0000-0000A5120000}"/>
    <cellStyle name="Vírgula 3 2 3 2 2 2 2 5" xfId="2509" xr:uid="{00000000-0005-0000-0000-0000A6120000}"/>
    <cellStyle name="Vírgula 3 2 3 2 2 2 2 5 2" xfId="9025" xr:uid="{00000000-0005-0000-0000-0000A7120000}"/>
    <cellStyle name="Vírgula 3 2 3 2 2 2 2 6" xfId="4651" xr:uid="{00000000-0005-0000-0000-0000A8120000}"/>
    <cellStyle name="Vírgula 3 2 3 2 2 2 2 6 2" xfId="11165" xr:uid="{00000000-0005-0000-0000-0000A9120000}"/>
    <cellStyle name="Vírgula 3 2 3 2 2 2 2 7" xfId="6881" xr:uid="{00000000-0005-0000-0000-0000AA120000}"/>
    <cellStyle name="Vírgula 3 2 3 2 2 2 3" xfId="569" xr:uid="{00000000-0005-0000-0000-0000AB120000}"/>
    <cellStyle name="Vírgula 3 2 3 2 2 2 3 2" xfId="1093" xr:uid="{00000000-0005-0000-0000-0000AC120000}"/>
    <cellStyle name="Vírgula 3 2 3 2 2 2 3 2 2" xfId="2121" xr:uid="{00000000-0005-0000-0000-0000AD120000}"/>
    <cellStyle name="Vírgula 3 2 3 2 2 2 3 2 2 2" xfId="4179" xr:uid="{00000000-0005-0000-0000-0000AE120000}"/>
    <cellStyle name="Vírgula 3 2 3 2 2 2 3 2 2 2 2" xfId="10695" xr:uid="{00000000-0005-0000-0000-0000AF120000}"/>
    <cellStyle name="Vírgula 3 2 3 2 2 2 3 2 2 3" xfId="6409" xr:uid="{00000000-0005-0000-0000-0000B0120000}"/>
    <cellStyle name="Vírgula 3 2 3 2 2 2 3 2 2 3 2" xfId="12923" xr:uid="{00000000-0005-0000-0000-0000B1120000}"/>
    <cellStyle name="Vírgula 3 2 3 2 2 2 3 2 2 4" xfId="8639" xr:uid="{00000000-0005-0000-0000-0000B2120000}"/>
    <cellStyle name="Vírgula 3 2 3 2 2 2 3 2 3" xfId="3151" xr:uid="{00000000-0005-0000-0000-0000B3120000}"/>
    <cellStyle name="Vírgula 3 2 3 2 2 2 3 2 3 2" xfId="9667" xr:uid="{00000000-0005-0000-0000-0000B4120000}"/>
    <cellStyle name="Vírgula 3 2 3 2 2 2 3 2 4" xfId="5381" xr:uid="{00000000-0005-0000-0000-0000B5120000}"/>
    <cellStyle name="Vírgula 3 2 3 2 2 2 3 2 4 2" xfId="11895" xr:uid="{00000000-0005-0000-0000-0000B6120000}"/>
    <cellStyle name="Vírgula 3 2 3 2 2 2 3 2 5" xfId="7611" xr:uid="{00000000-0005-0000-0000-0000B7120000}"/>
    <cellStyle name="Vírgula 3 2 3 2 2 2 3 3" xfId="1607" xr:uid="{00000000-0005-0000-0000-0000B8120000}"/>
    <cellStyle name="Vírgula 3 2 3 2 2 2 3 3 2" xfId="3665" xr:uid="{00000000-0005-0000-0000-0000B9120000}"/>
    <cellStyle name="Vírgula 3 2 3 2 2 2 3 3 2 2" xfId="10181" xr:uid="{00000000-0005-0000-0000-0000BA120000}"/>
    <cellStyle name="Vírgula 3 2 3 2 2 2 3 3 3" xfId="5895" xr:uid="{00000000-0005-0000-0000-0000BB120000}"/>
    <cellStyle name="Vírgula 3 2 3 2 2 2 3 3 3 2" xfId="12409" xr:uid="{00000000-0005-0000-0000-0000BC120000}"/>
    <cellStyle name="Vírgula 3 2 3 2 2 2 3 3 4" xfId="8125" xr:uid="{00000000-0005-0000-0000-0000BD120000}"/>
    <cellStyle name="Vírgula 3 2 3 2 2 2 3 4" xfId="2637" xr:uid="{00000000-0005-0000-0000-0000BE120000}"/>
    <cellStyle name="Vírgula 3 2 3 2 2 2 3 4 2" xfId="9153" xr:uid="{00000000-0005-0000-0000-0000BF120000}"/>
    <cellStyle name="Vírgula 3 2 3 2 2 2 3 5" xfId="4865" xr:uid="{00000000-0005-0000-0000-0000C0120000}"/>
    <cellStyle name="Vírgula 3 2 3 2 2 2 3 5 2" xfId="11379" xr:uid="{00000000-0005-0000-0000-0000C1120000}"/>
    <cellStyle name="Vírgula 3 2 3 2 2 2 3 6" xfId="7095" xr:uid="{00000000-0005-0000-0000-0000C2120000}"/>
    <cellStyle name="Vírgula 3 2 3 2 2 2 4" xfId="837" xr:uid="{00000000-0005-0000-0000-0000C3120000}"/>
    <cellStyle name="Vírgula 3 2 3 2 2 2 4 2" xfId="1865" xr:uid="{00000000-0005-0000-0000-0000C4120000}"/>
    <cellStyle name="Vírgula 3 2 3 2 2 2 4 2 2" xfId="3923" xr:uid="{00000000-0005-0000-0000-0000C5120000}"/>
    <cellStyle name="Vírgula 3 2 3 2 2 2 4 2 2 2" xfId="10439" xr:uid="{00000000-0005-0000-0000-0000C6120000}"/>
    <cellStyle name="Vírgula 3 2 3 2 2 2 4 2 3" xfId="6153" xr:uid="{00000000-0005-0000-0000-0000C7120000}"/>
    <cellStyle name="Vírgula 3 2 3 2 2 2 4 2 3 2" xfId="12667" xr:uid="{00000000-0005-0000-0000-0000C8120000}"/>
    <cellStyle name="Vírgula 3 2 3 2 2 2 4 2 4" xfId="8383" xr:uid="{00000000-0005-0000-0000-0000C9120000}"/>
    <cellStyle name="Vírgula 3 2 3 2 2 2 4 3" xfId="2895" xr:uid="{00000000-0005-0000-0000-0000CA120000}"/>
    <cellStyle name="Vírgula 3 2 3 2 2 2 4 3 2" xfId="9411" xr:uid="{00000000-0005-0000-0000-0000CB120000}"/>
    <cellStyle name="Vírgula 3 2 3 2 2 2 4 4" xfId="5125" xr:uid="{00000000-0005-0000-0000-0000CC120000}"/>
    <cellStyle name="Vírgula 3 2 3 2 2 2 4 4 2" xfId="11639" xr:uid="{00000000-0005-0000-0000-0000CD120000}"/>
    <cellStyle name="Vírgula 3 2 3 2 2 2 4 5" xfId="7355" xr:uid="{00000000-0005-0000-0000-0000CE120000}"/>
    <cellStyle name="Vírgula 3 2 3 2 2 2 5" xfId="1351" xr:uid="{00000000-0005-0000-0000-0000CF120000}"/>
    <cellStyle name="Vírgula 3 2 3 2 2 2 5 2" xfId="3409" xr:uid="{00000000-0005-0000-0000-0000D0120000}"/>
    <cellStyle name="Vírgula 3 2 3 2 2 2 5 2 2" xfId="9925" xr:uid="{00000000-0005-0000-0000-0000D1120000}"/>
    <cellStyle name="Vírgula 3 2 3 2 2 2 5 3" xfId="5639" xr:uid="{00000000-0005-0000-0000-0000D2120000}"/>
    <cellStyle name="Vírgula 3 2 3 2 2 2 5 3 2" xfId="12153" xr:uid="{00000000-0005-0000-0000-0000D3120000}"/>
    <cellStyle name="Vírgula 3 2 3 2 2 2 5 4" xfId="7869" xr:uid="{00000000-0005-0000-0000-0000D4120000}"/>
    <cellStyle name="Vírgula 3 2 3 2 2 2 6" xfId="2381" xr:uid="{00000000-0005-0000-0000-0000D5120000}"/>
    <cellStyle name="Vírgula 3 2 3 2 2 2 6 2" xfId="8897" xr:uid="{00000000-0005-0000-0000-0000D6120000}"/>
    <cellStyle name="Vírgula 3 2 3 2 2 2 7" xfId="4523" xr:uid="{00000000-0005-0000-0000-0000D7120000}"/>
    <cellStyle name="Vírgula 3 2 3 2 2 2 7 2" xfId="11037" xr:uid="{00000000-0005-0000-0000-0000D8120000}"/>
    <cellStyle name="Vírgula 3 2 3 2 2 2 8" xfId="6753" xr:uid="{00000000-0005-0000-0000-0000D9120000}"/>
    <cellStyle name="Vírgula 3 2 3 2 2 3" xfId="290" xr:uid="{00000000-0005-0000-0000-0000DA120000}"/>
    <cellStyle name="Vírgula 3 2 3 2 2 3 2" xfId="633" xr:uid="{00000000-0005-0000-0000-0000DB120000}"/>
    <cellStyle name="Vírgula 3 2 3 2 2 3 2 2" xfId="1157" xr:uid="{00000000-0005-0000-0000-0000DC120000}"/>
    <cellStyle name="Vírgula 3 2 3 2 2 3 2 2 2" xfId="2185" xr:uid="{00000000-0005-0000-0000-0000DD120000}"/>
    <cellStyle name="Vírgula 3 2 3 2 2 3 2 2 2 2" xfId="4243" xr:uid="{00000000-0005-0000-0000-0000DE120000}"/>
    <cellStyle name="Vírgula 3 2 3 2 2 3 2 2 2 2 2" xfId="10759" xr:uid="{00000000-0005-0000-0000-0000DF120000}"/>
    <cellStyle name="Vírgula 3 2 3 2 2 3 2 2 2 3" xfId="6473" xr:uid="{00000000-0005-0000-0000-0000E0120000}"/>
    <cellStyle name="Vírgula 3 2 3 2 2 3 2 2 2 3 2" xfId="12987" xr:uid="{00000000-0005-0000-0000-0000E1120000}"/>
    <cellStyle name="Vírgula 3 2 3 2 2 3 2 2 2 4" xfId="8703" xr:uid="{00000000-0005-0000-0000-0000E2120000}"/>
    <cellStyle name="Vírgula 3 2 3 2 2 3 2 2 3" xfId="3215" xr:uid="{00000000-0005-0000-0000-0000E3120000}"/>
    <cellStyle name="Vírgula 3 2 3 2 2 3 2 2 3 2" xfId="9731" xr:uid="{00000000-0005-0000-0000-0000E4120000}"/>
    <cellStyle name="Vírgula 3 2 3 2 2 3 2 2 4" xfId="5445" xr:uid="{00000000-0005-0000-0000-0000E5120000}"/>
    <cellStyle name="Vírgula 3 2 3 2 2 3 2 2 4 2" xfId="11959" xr:uid="{00000000-0005-0000-0000-0000E6120000}"/>
    <cellStyle name="Vírgula 3 2 3 2 2 3 2 2 5" xfId="7675" xr:uid="{00000000-0005-0000-0000-0000E7120000}"/>
    <cellStyle name="Vírgula 3 2 3 2 2 3 2 3" xfId="1671" xr:uid="{00000000-0005-0000-0000-0000E8120000}"/>
    <cellStyle name="Vírgula 3 2 3 2 2 3 2 3 2" xfId="3729" xr:uid="{00000000-0005-0000-0000-0000E9120000}"/>
    <cellStyle name="Vírgula 3 2 3 2 2 3 2 3 2 2" xfId="10245" xr:uid="{00000000-0005-0000-0000-0000EA120000}"/>
    <cellStyle name="Vírgula 3 2 3 2 2 3 2 3 3" xfId="5959" xr:uid="{00000000-0005-0000-0000-0000EB120000}"/>
    <cellStyle name="Vírgula 3 2 3 2 2 3 2 3 3 2" xfId="12473" xr:uid="{00000000-0005-0000-0000-0000EC120000}"/>
    <cellStyle name="Vírgula 3 2 3 2 2 3 2 3 4" xfId="8189" xr:uid="{00000000-0005-0000-0000-0000ED120000}"/>
    <cellStyle name="Vírgula 3 2 3 2 2 3 2 4" xfId="2701" xr:uid="{00000000-0005-0000-0000-0000EE120000}"/>
    <cellStyle name="Vírgula 3 2 3 2 2 3 2 4 2" xfId="9217" xr:uid="{00000000-0005-0000-0000-0000EF120000}"/>
    <cellStyle name="Vírgula 3 2 3 2 2 3 2 5" xfId="4929" xr:uid="{00000000-0005-0000-0000-0000F0120000}"/>
    <cellStyle name="Vírgula 3 2 3 2 2 3 2 5 2" xfId="11443" xr:uid="{00000000-0005-0000-0000-0000F1120000}"/>
    <cellStyle name="Vírgula 3 2 3 2 2 3 2 6" xfId="7159" xr:uid="{00000000-0005-0000-0000-0000F2120000}"/>
    <cellStyle name="Vírgula 3 2 3 2 2 3 3" xfId="901" xr:uid="{00000000-0005-0000-0000-0000F3120000}"/>
    <cellStyle name="Vírgula 3 2 3 2 2 3 3 2" xfId="1929" xr:uid="{00000000-0005-0000-0000-0000F4120000}"/>
    <cellStyle name="Vírgula 3 2 3 2 2 3 3 2 2" xfId="3987" xr:uid="{00000000-0005-0000-0000-0000F5120000}"/>
    <cellStyle name="Vírgula 3 2 3 2 2 3 3 2 2 2" xfId="10503" xr:uid="{00000000-0005-0000-0000-0000F6120000}"/>
    <cellStyle name="Vírgula 3 2 3 2 2 3 3 2 3" xfId="6217" xr:uid="{00000000-0005-0000-0000-0000F7120000}"/>
    <cellStyle name="Vírgula 3 2 3 2 2 3 3 2 3 2" xfId="12731" xr:uid="{00000000-0005-0000-0000-0000F8120000}"/>
    <cellStyle name="Vírgula 3 2 3 2 2 3 3 2 4" xfId="8447" xr:uid="{00000000-0005-0000-0000-0000F9120000}"/>
    <cellStyle name="Vírgula 3 2 3 2 2 3 3 3" xfId="2959" xr:uid="{00000000-0005-0000-0000-0000FA120000}"/>
    <cellStyle name="Vírgula 3 2 3 2 2 3 3 3 2" xfId="9475" xr:uid="{00000000-0005-0000-0000-0000FB120000}"/>
    <cellStyle name="Vírgula 3 2 3 2 2 3 3 4" xfId="5189" xr:uid="{00000000-0005-0000-0000-0000FC120000}"/>
    <cellStyle name="Vírgula 3 2 3 2 2 3 3 4 2" xfId="11703" xr:uid="{00000000-0005-0000-0000-0000FD120000}"/>
    <cellStyle name="Vírgula 3 2 3 2 2 3 3 5" xfId="7419" xr:uid="{00000000-0005-0000-0000-0000FE120000}"/>
    <cellStyle name="Vírgula 3 2 3 2 2 3 4" xfId="1415" xr:uid="{00000000-0005-0000-0000-0000FF120000}"/>
    <cellStyle name="Vírgula 3 2 3 2 2 3 4 2" xfId="3473" xr:uid="{00000000-0005-0000-0000-000000130000}"/>
    <cellStyle name="Vírgula 3 2 3 2 2 3 4 2 2" xfId="9989" xr:uid="{00000000-0005-0000-0000-000001130000}"/>
    <cellStyle name="Vírgula 3 2 3 2 2 3 4 3" xfId="5703" xr:uid="{00000000-0005-0000-0000-000002130000}"/>
    <cellStyle name="Vírgula 3 2 3 2 2 3 4 3 2" xfId="12217" xr:uid="{00000000-0005-0000-0000-000003130000}"/>
    <cellStyle name="Vírgula 3 2 3 2 2 3 4 4" xfId="7933" xr:uid="{00000000-0005-0000-0000-000004130000}"/>
    <cellStyle name="Vírgula 3 2 3 2 2 3 5" xfId="2445" xr:uid="{00000000-0005-0000-0000-000005130000}"/>
    <cellStyle name="Vírgula 3 2 3 2 2 3 5 2" xfId="8961" xr:uid="{00000000-0005-0000-0000-000006130000}"/>
    <cellStyle name="Vírgula 3 2 3 2 2 3 6" xfId="4587" xr:uid="{00000000-0005-0000-0000-000007130000}"/>
    <cellStyle name="Vírgula 3 2 3 2 2 3 6 2" xfId="11101" xr:uid="{00000000-0005-0000-0000-000008130000}"/>
    <cellStyle name="Vírgula 3 2 3 2 2 3 7" xfId="6817" xr:uid="{00000000-0005-0000-0000-000009130000}"/>
    <cellStyle name="Vírgula 3 2 3 2 2 4" xfId="505" xr:uid="{00000000-0005-0000-0000-00000A130000}"/>
    <cellStyle name="Vírgula 3 2 3 2 2 4 2" xfId="1029" xr:uid="{00000000-0005-0000-0000-00000B130000}"/>
    <cellStyle name="Vírgula 3 2 3 2 2 4 2 2" xfId="2057" xr:uid="{00000000-0005-0000-0000-00000C130000}"/>
    <cellStyle name="Vírgula 3 2 3 2 2 4 2 2 2" xfId="4115" xr:uid="{00000000-0005-0000-0000-00000D130000}"/>
    <cellStyle name="Vírgula 3 2 3 2 2 4 2 2 2 2" xfId="10631" xr:uid="{00000000-0005-0000-0000-00000E130000}"/>
    <cellStyle name="Vírgula 3 2 3 2 2 4 2 2 3" xfId="6345" xr:uid="{00000000-0005-0000-0000-00000F130000}"/>
    <cellStyle name="Vírgula 3 2 3 2 2 4 2 2 3 2" xfId="12859" xr:uid="{00000000-0005-0000-0000-000010130000}"/>
    <cellStyle name="Vírgula 3 2 3 2 2 4 2 2 4" xfId="8575" xr:uid="{00000000-0005-0000-0000-000011130000}"/>
    <cellStyle name="Vírgula 3 2 3 2 2 4 2 3" xfId="3087" xr:uid="{00000000-0005-0000-0000-000012130000}"/>
    <cellStyle name="Vírgula 3 2 3 2 2 4 2 3 2" xfId="9603" xr:uid="{00000000-0005-0000-0000-000013130000}"/>
    <cellStyle name="Vírgula 3 2 3 2 2 4 2 4" xfId="5317" xr:uid="{00000000-0005-0000-0000-000014130000}"/>
    <cellStyle name="Vírgula 3 2 3 2 2 4 2 4 2" xfId="11831" xr:uid="{00000000-0005-0000-0000-000015130000}"/>
    <cellStyle name="Vírgula 3 2 3 2 2 4 2 5" xfId="7547" xr:uid="{00000000-0005-0000-0000-000016130000}"/>
    <cellStyle name="Vírgula 3 2 3 2 2 4 3" xfId="1543" xr:uid="{00000000-0005-0000-0000-000017130000}"/>
    <cellStyle name="Vírgula 3 2 3 2 2 4 3 2" xfId="3601" xr:uid="{00000000-0005-0000-0000-000018130000}"/>
    <cellStyle name="Vírgula 3 2 3 2 2 4 3 2 2" xfId="10117" xr:uid="{00000000-0005-0000-0000-000019130000}"/>
    <cellStyle name="Vírgula 3 2 3 2 2 4 3 3" xfId="5831" xr:uid="{00000000-0005-0000-0000-00001A130000}"/>
    <cellStyle name="Vírgula 3 2 3 2 2 4 3 3 2" xfId="12345" xr:uid="{00000000-0005-0000-0000-00001B130000}"/>
    <cellStyle name="Vírgula 3 2 3 2 2 4 3 4" xfId="8061" xr:uid="{00000000-0005-0000-0000-00001C130000}"/>
    <cellStyle name="Vírgula 3 2 3 2 2 4 4" xfId="2573" xr:uid="{00000000-0005-0000-0000-00001D130000}"/>
    <cellStyle name="Vírgula 3 2 3 2 2 4 4 2" xfId="9089" xr:uid="{00000000-0005-0000-0000-00001E130000}"/>
    <cellStyle name="Vírgula 3 2 3 2 2 4 5" xfId="4801" xr:uid="{00000000-0005-0000-0000-00001F130000}"/>
    <cellStyle name="Vírgula 3 2 3 2 2 4 5 2" xfId="11315" xr:uid="{00000000-0005-0000-0000-000020130000}"/>
    <cellStyle name="Vírgula 3 2 3 2 2 4 6" xfId="7031" xr:uid="{00000000-0005-0000-0000-000021130000}"/>
    <cellStyle name="Vírgula 3 2 3 2 2 5" xfId="773" xr:uid="{00000000-0005-0000-0000-000022130000}"/>
    <cellStyle name="Vírgula 3 2 3 2 2 5 2" xfId="1801" xr:uid="{00000000-0005-0000-0000-000023130000}"/>
    <cellStyle name="Vírgula 3 2 3 2 2 5 2 2" xfId="3859" xr:uid="{00000000-0005-0000-0000-000024130000}"/>
    <cellStyle name="Vírgula 3 2 3 2 2 5 2 2 2" xfId="10375" xr:uid="{00000000-0005-0000-0000-000025130000}"/>
    <cellStyle name="Vírgula 3 2 3 2 2 5 2 3" xfId="6089" xr:uid="{00000000-0005-0000-0000-000026130000}"/>
    <cellStyle name="Vírgula 3 2 3 2 2 5 2 3 2" xfId="12603" xr:uid="{00000000-0005-0000-0000-000027130000}"/>
    <cellStyle name="Vírgula 3 2 3 2 2 5 2 4" xfId="8319" xr:uid="{00000000-0005-0000-0000-000028130000}"/>
    <cellStyle name="Vírgula 3 2 3 2 2 5 3" xfId="2831" xr:uid="{00000000-0005-0000-0000-000029130000}"/>
    <cellStyle name="Vírgula 3 2 3 2 2 5 3 2" xfId="9347" xr:uid="{00000000-0005-0000-0000-00002A130000}"/>
    <cellStyle name="Vírgula 3 2 3 2 2 5 4" xfId="5061" xr:uid="{00000000-0005-0000-0000-00002B130000}"/>
    <cellStyle name="Vírgula 3 2 3 2 2 5 4 2" xfId="11575" xr:uid="{00000000-0005-0000-0000-00002C130000}"/>
    <cellStyle name="Vírgula 3 2 3 2 2 5 5" xfId="7291" xr:uid="{00000000-0005-0000-0000-00002D130000}"/>
    <cellStyle name="Vírgula 3 2 3 2 2 6" xfId="1287" xr:uid="{00000000-0005-0000-0000-00002E130000}"/>
    <cellStyle name="Vírgula 3 2 3 2 2 6 2" xfId="3345" xr:uid="{00000000-0005-0000-0000-00002F130000}"/>
    <cellStyle name="Vírgula 3 2 3 2 2 6 2 2" xfId="9861" xr:uid="{00000000-0005-0000-0000-000030130000}"/>
    <cellStyle name="Vírgula 3 2 3 2 2 6 3" xfId="5575" xr:uid="{00000000-0005-0000-0000-000031130000}"/>
    <cellStyle name="Vírgula 3 2 3 2 2 6 3 2" xfId="12089" xr:uid="{00000000-0005-0000-0000-000032130000}"/>
    <cellStyle name="Vírgula 3 2 3 2 2 6 4" xfId="7805" xr:uid="{00000000-0005-0000-0000-000033130000}"/>
    <cellStyle name="Vírgula 3 2 3 2 2 7" xfId="2317" xr:uid="{00000000-0005-0000-0000-000034130000}"/>
    <cellStyle name="Vírgula 3 2 3 2 2 7 2" xfId="8833" xr:uid="{00000000-0005-0000-0000-000035130000}"/>
    <cellStyle name="Vírgula 3 2 3 2 2 8" xfId="4459" xr:uid="{00000000-0005-0000-0000-000036130000}"/>
    <cellStyle name="Vírgula 3 2 3 2 2 8 2" xfId="10973" xr:uid="{00000000-0005-0000-0000-000037130000}"/>
    <cellStyle name="Vírgula 3 2 3 2 2 9" xfId="6689" xr:uid="{00000000-0005-0000-0000-000038130000}"/>
    <cellStyle name="Vírgula 3 2 3 2 3" xfId="194" xr:uid="{00000000-0005-0000-0000-000039130000}"/>
    <cellStyle name="Vírgula 3 2 3 2 3 2" xfId="322" xr:uid="{00000000-0005-0000-0000-00003A130000}"/>
    <cellStyle name="Vírgula 3 2 3 2 3 2 2" xfId="665" xr:uid="{00000000-0005-0000-0000-00003B130000}"/>
    <cellStyle name="Vírgula 3 2 3 2 3 2 2 2" xfId="1189" xr:uid="{00000000-0005-0000-0000-00003C130000}"/>
    <cellStyle name="Vírgula 3 2 3 2 3 2 2 2 2" xfId="2217" xr:uid="{00000000-0005-0000-0000-00003D130000}"/>
    <cellStyle name="Vírgula 3 2 3 2 3 2 2 2 2 2" xfId="4275" xr:uid="{00000000-0005-0000-0000-00003E130000}"/>
    <cellStyle name="Vírgula 3 2 3 2 3 2 2 2 2 2 2" xfId="10791" xr:uid="{00000000-0005-0000-0000-00003F130000}"/>
    <cellStyle name="Vírgula 3 2 3 2 3 2 2 2 2 3" xfId="6505" xr:uid="{00000000-0005-0000-0000-000040130000}"/>
    <cellStyle name="Vírgula 3 2 3 2 3 2 2 2 2 3 2" xfId="13019" xr:uid="{00000000-0005-0000-0000-000041130000}"/>
    <cellStyle name="Vírgula 3 2 3 2 3 2 2 2 2 4" xfId="8735" xr:uid="{00000000-0005-0000-0000-000042130000}"/>
    <cellStyle name="Vírgula 3 2 3 2 3 2 2 2 3" xfId="3247" xr:uid="{00000000-0005-0000-0000-000043130000}"/>
    <cellStyle name="Vírgula 3 2 3 2 3 2 2 2 3 2" xfId="9763" xr:uid="{00000000-0005-0000-0000-000044130000}"/>
    <cellStyle name="Vírgula 3 2 3 2 3 2 2 2 4" xfId="5477" xr:uid="{00000000-0005-0000-0000-000045130000}"/>
    <cellStyle name="Vírgula 3 2 3 2 3 2 2 2 4 2" xfId="11991" xr:uid="{00000000-0005-0000-0000-000046130000}"/>
    <cellStyle name="Vírgula 3 2 3 2 3 2 2 2 5" xfId="7707" xr:uid="{00000000-0005-0000-0000-000047130000}"/>
    <cellStyle name="Vírgula 3 2 3 2 3 2 2 3" xfId="1703" xr:uid="{00000000-0005-0000-0000-000048130000}"/>
    <cellStyle name="Vírgula 3 2 3 2 3 2 2 3 2" xfId="3761" xr:uid="{00000000-0005-0000-0000-000049130000}"/>
    <cellStyle name="Vírgula 3 2 3 2 3 2 2 3 2 2" xfId="10277" xr:uid="{00000000-0005-0000-0000-00004A130000}"/>
    <cellStyle name="Vírgula 3 2 3 2 3 2 2 3 3" xfId="5991" xr:uid="{00000000-0005-0000-0000-00004B130000}"/>
    <cellStyle name="Vírgula 3 2 3 2 3 2 2 3 3 2" xfId="12505" xr:uid="{00000000-0005-0000-0000-00004C130000}"/>
    <cellStyle name="Vírgula 3 2 3 2 3 2 2 3 4" xfId="8221" xr:uid="{00000000-0005-0000-0000-00004D130000}"/>
    <cellStyle name="Vírgula 3 2 3 2 3 2 2 4" xfId="2733" xr:uid="{00000000-0005-0000-0000-00004E130000}"/>
    <cellStyle name="Vírgula 3 2 3 2 3 2 2 4 2" xfId="9249" xr:uid="{00000000-0005-0000-0000-00004F130000}"/>
    <cellStyle name="Vírgula 3 2 3 2 3 2 2 5" xfId="4961" xr:uid="{00000000-0005-0000-0000-000050130000}"/>
    <cellStyle name="Vírgula 3 2 3 2 3 2 2 5 2" xfId="11475" xr:uid="{00000000-0005-0000-0000-000051130000}"/>
    <cellStyle name="Vírgula 3 2 3 2 3 2 2 6" xfId="7191" xr:uid="{00000000-0005-0000-0000-000052130000}"/>
    <cellStyle name="Vírgula 3 2 3 2 3 2 3" xfId="933" xr:uid="{00000000-0005-0000-0000-000053130000}"/>
    <cellStyle name="Vírgula 3 2 3 2 3 2 3 2" xfId="1961" xr:uid="{00000000-0005-0000-0000-000054130000}"/>
    <cellStyle name="Vírgula 3 2 3 2 3 2 3 2 2" xfId="4019" xr:uid="{00000000-0005-0000-0000-000055130000}"/>
    <cellStyle name="Vírgula 3 2 3 2 3 2 3 2 2 2" xfId="10535" xr:uid="{00000000-0005-0000-0000-000056130000}"/>
    <cellStyle name="Vírgula 3 2 3 2 3 2 3 2 3" xfId="6249" xr:uid="{00000000-0005-0000-0000-000057130000}"/>
    <cellStyle name="Vírgula 3 2 3 2 3 2 3 2 3 2" xfId="12763" xr:uid="{00000000-0005-0000-0000-000058130000}"/>
    <cellStyle name="Vírgula 3 2 3 2 3 2 3 2 4" xfId="8479" xr:uid="{00000000-0005-0000-0000-000059130000}"/>
    <cellStyle name="Vírgula 3 2 3 2 3 2 3 3" xfId="2991" xr:uid="{00000000-0005-0000-0000-00005A130000}"/>
    <cellStyle name="Vírgula 3 2 3 2 3 2 3 3 2" xfId="9507" xr:uid="{00000000-0005-0000-0000-00005B130000}"/>
    <cellStyle name="Vírgula 3 2 3 2 3 2 3 4" xfId="5221" xr:uid="{00000000-0005-0000-0000-00005C130000}"/>
    <cellStyle name="Vírgula 3 2 3 2 3 2 3 4 2" xfId="11735" xr:uid="{00000000-0005-0000-0000-00005D130000}"/>
    <cellStyle name="Vírgula 3 2 3 2 3 2 3 5" xfId="7451" xr:uid="{00000000-0005-0000-0000-00005E130000}"/>
    <cellStyle name="Vírgula 3 2 3 2 3 2 4" xfId="1447" xr:uid="{00000000-0005-0000-0000-00005F130000}"/>
    <cellStyle name="Vírgula 3 2 3 2 3 2 4 2" xfId="3505" xr:uid="{00000000-0005-0000-0000-000060130000}"/>
    <cellStyle name="Vírgula 3 2 3 2 3 2 4 2 2" xfId="10021" xr:uid="{00000000-0005-0000-0000-000061130000}"/>
    <cellStyle name="Vírgula 3 2 3 2 3 2 4 3" xfId="5735" xr:uid="{00000000-0005-0000-0000-000062130000}"/>
    <cellStyle name="Vírgula 3 2 3 2 3 2 4 3 2" xfId="12249" xr:uid="{00000000-0005-0000-0000-000063130000}"/>
    <cellStyle name="Vírgula 3 2 3 2 3 2 4 4" xfId="7965" xr:uid="{00000000-0005-0000-0000-000064130000}"/>
    <cellStyle name="Vírgula 3 2 3 2 3 2 5" xfId="2477" xr:uid="{00000000-0005-0000-0000-000065130000}"/>
    <cellStyle name="Vírgula 3 2 3 2 3 2 5 2" xfId="8993" xr:uid="{00000000-0005-0000-0000-000066130000}"/>
    <cellStyle name="Vírgula 3 2 3 2 3 2 6" xfId="4619" xr:uid="{00000000-0005-0000-0000-000067130000}"/>
    <cellStyle name="Vírgula 3 2 3 2 3 2 6 2" xfId="11133" xr:uid="{00000000-0005-0000-0000-000068130000}"/>
    <cellStyle name="Vírgula 3 2 3 2 3 2 7" xfId="6849" xr:uid="{00000000-0005-0000-0000-000069130000}"/>
    <cellStyle name="Vírgula 3 2 3 2 3 3" xfId="537" xr:uid="{00000000-0005-0000-0000-00006A130000}"/>
    <cellStyle name="Vírgula 3 2 3 2 3 3 2" xfId="1061" xr:uid="{00000000-0005-0000-0000-00006B130000}"/>
    <cellStyle name="Vírgula 3 2 3 2 3 3 2 2" xfId="2089" xr:uid="{00000000-0005-0000-0000-00006C130000}"/>
    <cellStyle name="Vírgula 3 2 3 2 3 3 2 2 2" xfId="4147" xr:uid="{00000000-0005-0000-0000-00006D130000}"/>
    <cellStyle name="Vírgula 3 2 3 2 3 3 2 2 2 2" xfId="10663" xr:uid="{00000000-0005-0000-0000-00006E130000}"/>
    <cellStyle name="Vírgula 3 2 3 2 3 3 2 2 3" xfId="6377" xr:uid="{00000000-0005-0000-0000-00006F130000}"/>
    <cellStyle name="Vírgula 3 2 3 2 3 3 2 2 3 2" xfId="12891" xr:uid="{00000000-0005-0000-0000-000070130000}"/>
    <cellStyle name="Vírgula 3 2 3 2 3 3 2 2 4" xfId="8607" xr:uid="{00000000-0005-0000-0000-000071130000}"/>
    <cellStyle name="Vírgula 3 2 3 2 3 3 2 3" xfId="3119" xr:uid="{00000000-0005-0000-0000-000072130000}"/>
    <cellStyle name="Vírgula 3 2 3 2 3 3 2 3 2" xfId="9635" xr:uid="{00000000-0005-0000-0000-000073130000}"/>
    <cellStyle name="Vírgula 3 2 3 2 3 3 2 4" xfId="5349" xr:uid="{00000000-0005-0000-0000-000074130000}"/>
    <cellStyle name="Vírgula 3 2 3 2 3 3 2 4 2" xfId="11863" xr:uid="{00000000-0005-0000-0000-000075130000}"/>
    <cellStyle name="Vírgula 3 2 3 2 3 3 2 5" xfId="7579" xr:uid="{00000000-0005-0000-0000-000076130000}"/>
    <cellStyle name="Vírgula 3 2 3 2 3 3 3" xfId="1575" xr:uid="{00000000-0005-0000-0000-000077130000}"/>
    <cellStyle name="Vírgula 3 2 3 2 3 3 3 2" xfId="3633" xr:uid="{00000000-0005-0000-0000-000078130000}"/>
    <cellStyle name="Vírgula 3 2 3 2 3 3 3 2 2" xfId="10149" xr:uid="{00000000-0005-0000-0000-000079130000}"/>
    <cellStyle name="Vírgula 3 2 3 2 3 3 3 3" xfId="5863" xr:uid="{00000000-0005-0000-0000-00007A130000}"/>
    <cellStyle name="Vírgula 3 2 3 2 3 3 3 3 2" xfId="12377" xr:uid="{00000000-0005-0000-0000-00007B130000}"/>
    <cellStyle name="Vírgula 3 2 3 2 3 3 3 4" xfId="8093" xr:uid="{00000000-0005-0000-0000-00007C130000}"/>
    <cellStyle name="Vírgula 3 2 3 2 3 3 4" xfId="2605" xr:uid="{00000000-0005-0000-0000-00007D130000}"/>
    <cellStyle name="Vírgula 3 2 3 2 3 3 4 2" xfId="9121" xr:uid="{00000000-0005-0000-0000-00007E130000}"/>
    <cellStyle name="Vírgula 3 2 3 2 3 3 5" xfId="4833" xr:uid="{00000000-0005-0000-0000-00007F130000}"/>
    <cellStyle name="Vírgula 3 2 3 2 3 3 5 2" xfId="11347" xr:uid="{00000000-0005-0000-0000-000080130000}"/>
    <cellStyle name="Vírgula 3 2 3 2 3 3 6" xfId="7063" xr:uid="{00000000-0005-0000-0000-000081130000}"/>
    <cellStyle name="Vírgula 3 2 3 2 3 4" xfId="805" xr:uid="{00000000-0005-0000-0000-000082130000}"/>
    <cellStyle name="Vírgula 3 2 3 2 3 4 2" xfId="1833" xr:uid="{00000000-0005-0000-0000-000083130000}"/>
    <cellStyle name="Vírgula 3 2 3 2 3 4 2 2" xfId="3891" xr:uid="{00000000-0005-0000-0000-000084130000}"/>
    <cellStyle name="Vírgula 3 2 3 2 3 4 2 2 2" xfId="10407" xr:uid="{00000000-0005-0000-0000-000085130000}"/>
    <cellStyle name="Vírgula 3 2 3 2 3 4 2 3" xfId="6121" xr:uid="{00000000-0005-0000-0000-000086130000}"/>
    <cellStyle name="Vírgula 3 2 3 2 3 4 2 3 2" xfId="12635" xr:uid="{00000000-0005-0000-0000-000087130000}"/>
    <cellStyle name="Vírgula 3 2 3 2 3 4 2 4" xfId="8351" xr:uid="{00000000-0005-0000-0000-000088130000}"/>
    <cellStyle name="Vírgula 3 2 3 2 3 4 3" xfId="2863" xr:uid="{00000000-0005-0000-0000-000089130000}"/>
    <cellStyle name="Vírgula 3 2 3 2 3 4 3 2" xfId="9379" xr:uid="{00000000-0005-0000-0000-00008A130000}"/>
    <cellStyle name="Vírgula 3 2 3 2 3 4 4" xfId="5093" xr:uid="{00000000-0005-0000-0000-00008B130000}"/>
    <cellStyle name="Vírgula 3 2 3 2 3 4 4 2" xfId="11607" xr:uid="{00000000-0005-0000-0000-00008C130000}"/>
    <cellStyle name="Vírgula 3 2 3 2 3 4 5" xfId="7323" xr:uid="{00000000-0005-0000-0000-00008D130000}"/>
    <cellStyle name="Vírgula 3 2 3 2 3 5" xfId="1319" xr:uid="{00000000-0005-0000-0000-00008E130000}"/>
    <cellStyle name="Vírgula 3 2 3 2 3 5 2" xfId="3377" xr:uid="{00000000-0005-0000-0000-00008F130000}"/>
    <cellStyle name="Vírgula 3 2 3 2 3 5 2 2" xfId="9893" xr:uid="{00000000-0005-0000-0000-000090130000}"/>
    <cellStyle name="Vírgula 3 2 3 2 3 5 3" xfId="5607" xr:uid="{00000000-0005-0000-0000-000091130000}"/>
    <cellStyle name="Vírgula 3 2 3 2 3 5 3 2" xfId="12121" xr:uid="{00000000-0005-0000-0000-000092130000}"/>
    <cellStyle name="Vírgula 3 2 3 2 3 5 4" xfId="7837" xr:uid="{00000000-0005-0000-0000-000093130000}"/>
    <cellStyle name="Vírgula 3 2 3 2 3 6" xfId="2349" xr:uid="{00000000-0005-0000-0000-000094130000}"/>
    <cellStyle name="Vírgula 3 2 3 2 3 6 2" xfId="8865" xr:uid="{00000000-0005-0000-0000-000095130000}"/>
    <cellStyle name="Vírgula 3 2 3 2 3 7" xfId="4491" xr:uid="{00000000-0005-0000-0000-000096130000}"/>
    <cellStyle name="Vírgula 3 2 3 2 3 7 2" xfId="11005" xr:uid="{00000000-0005-0000-0000-000097130000}"/>
    <cellStyle name="Vírgula 3 2 3 2 3 8" xfId="6721" xr:uid="{00000000-0005-0000-0000-000098130000}"/>
    <cellStyle name="Vírgula 3 2 3 2 4" xfId="258" xr:uid="{00000000-0005-0000-0000-000099130000}"/>
    <cellStyle name="Vírgula 3 2 3 2 4 2" xfId="601" xr:uid="{00000000-0005-0000-0000-00009A130000}"/>
    <cellStyle name="Vírgula 3 2 3 2 4 2 2" xfId="1125" xr:uid="{00000000-0005-0000-0000-00009B130000}"/>
    <cellStyle name="Vírgula 3 2 3 2 4 2 2 2" xfId="2153" xr:uid="{00000000-0005-0000-0000-00009C130000}"/>
    <cellStyle name="Vírgula 3 2 3 2 4 2 2 2 2" xfId="4211" xr:uid="{00000000-0005-0000-0000-00009D130000}"/>
    <cellStyle name="Vírgula 3 2 3 2 4 2 2 2 2 2" xfId="10727" xr:uid="{00000000-0005-0000-0000-00009E130000}"/>
    <cellStyle name="Vírgula 3 2 3 2 4 2 2 2 3" xfId="6441" xr:uid="{00000000-0005-0000-0000-00009F130000}"/>
    <cellStyle name="Vírgula 3 2 3 2 4 2 2 2 3 2" xfId="12955" xr:uid="{00000000-0005-0000-0000-0000A0130000}"/>
    <cellStyle name="Vírgula 3 2 3 2 4 2 2 2 4" xfId="8671" xr:uid="{00000000-0005-0000-0000-0000A1130000}"/>
    <cellStyle name="Vírgula 3 2 3 2 4 2 2 3" xfId="3183" xr:uid="{00000000-0005-0000-0000-0000A2130000}"/>
    <cellStyle name="Vírgula 3 2 3 2 4 2 2 3 2" xfId="9699" xr:uid="{00000000-0005-0000-0000-0000A3130000}"/>
    <cellStyle name="Vírgula 3 2 3 2 4 2 2 4" xfId="5413" xr:uid="{00000000-0005-0000-0000-0000A4130000}"/>
    <cellStyle name="Vírgula 3 2 3 2 4 2 2 4 2" xfId="11927" xr:uid="{00000000-0005-0000-0000-0000A5130000}"/>
    <cellStyle name="Vírgula 3 2 3 2 4 2 2 5" xfId="7643" xr:uid="{00000000-0005-0000-0000-0000A6130000}"/>
    <cellStyle name="Vírgula 3 2 3 2 4 2 3" xfId="1639" xr:uid="{00000000-0005-0000-0000-0000A7130000}"/>
    <cellStyle name="Vírgula 3 2 3 2 4 2 3 2" xfId="3697" xr:uid="{00000000-0005-0000-0000-0000A8130000}"/>
    <cellStyle name="Vírgula 3 2 3 2 4 2 3 2 2" xfId="10213" xr:uid="{00000000-0005-0000-0000-0000A9130000}"/>
    <cellStyle name="Vírgula 3 2 3 2 4 2 3 3" xfId="5927" xr:uid="{00000000-0005-0000-0000-0000AA130000}"/>
    <cellStyle name="Vírgula 3 2 3 2 4 2 3 3 2" xfId="12441" xr:uid="{00000000-0005-0000-0000-0000AB130000}"/>
    <cellStyle name="Vírgula 3 2 3 2 4 2 3 4" xfId="8157" xr:uid="{00000000-0005-0000-0000-0000AC130000}"/>
    <cellStyle name="Vírgula 3 2 3 2 4 2 4" xfId="2669" xr:uid="{00000000-0005-0000-0000-0000AD130000}"/>
    <cellStyle name="Vírgula 3 2 3 2 4 2 4 2" xfId="9185" xr:uid="{00000000-0005-0000-0000-0000AE130000}"/>
    <cellStyle name="Vírgula 3 2 3 2 4 2 5" xfId="4897" xr:uid="{00000000-0005-0000-0000-0000AF130000}"/>
    <cellStyle name="Vírgula 3 2 3 2 4 2 5 2" xfId="11411" xr:uid="{00000000-0005-0000-0000-0000B0130000}"/>
    <cellStyle name="Vírgula 3 2 3 2 4 2 6" xfId="7127" xr:uid="{00000000-0005-0000-0000-0000B1130000}"/>
    <cellStyle name="Vírgula 3 2 3 2 4 3" xfId="869" xr:uid="{00000000-0005-0000-0000-0000B2130000}"/>
    <cellStyle name="Vírgula 3 2 3 2 4 3 2" xfId="1897" xr:uid="{00000000-0005-0000-0000-0000B3130000}"/>
    <cellStyle name="Vírgula 3 2 3 2 4 3 2 2" xfId="3955" xr:uid="{00000000-0005-0000-0000-0000B4130000}"/>
    <cellStyle name="Vírgula 3 2 3 2 4 3 2 2 2" xfId="10471" xr:uid="{00000000-0005-0000-0000-0000B5130000}"/>
    <cellStyle name="Vírgula 3 2 3 2 4 3 2 3" xfId="6185" xr:uid="{00000000-0005-0000-0000-0000B6130000}"/>
    <cellStyle name="Vírgula 3 2 3 2 4 3 2 3 2" xfId="12699" xr:uid="{00000000-0005-0000-0000-0000B7130000}"/>
    <cellStyle name="Vírgula 3 2 3 2 4 3 2 4" xfId="8415" xr:uid="{00000000-0005-0000-0000-0000B8130000}"/>
    <cellStyle name="Vírgula 3 2 3 2 4 3 3" xfId="2927" xr:uid="{00000000-0005-0000-0000-0000B9130000}"/>
    <cellStyle name="Vírgula 3 2 3 2 4 3 3 2" xfId="9443" xr:uid="{00000000-0005-0000-0000-0000BA130000}"/>
    <cellStyle name="Vírgula 3 2 3 2 4 3 4" xfId="5157" xr:uid="{00000000-0005-0000-0000-0000BB130000}"/>
    <cellStyle name="Vírgula 3 2 3 2 4 3 4 2" xfId="11671" xr:uid="{00000000-0005-0000-0000-0000BC130000}"/>
    <cellStyle name="Vírgula 3 2 3 2 4 3 5" xfId="7387" xr:uid="{00000000-0005-0000-0000-0000BD130000}"/>
    <cellStyle name="Vírgula 3 2 3 2 4 4" xfId="1383" xr:uid="{00000000-0005-0000-0000-0000BE130000}"/>
    <cellStyle name="Vírgula 3 2 3 2 4 4 2" xfId="3441" xr:uid="{00000000-0005-0000-0000-0000BF130000}"/>
    <cellStyle name="Vírgula 3 2 3 2 4 4 2 2" xfId="9957" xr:uid="{00000000-0005-0000-0000-0000C0130000}"/>
    <cellStyle name="Vírgula 3 2 3 2 4 4 3" xfId="5671" xr:uid="{00000000-0005-0000-0000-0000C1130000}"/>
    <cellStyle name="Vírgula 3 2 3 2 4 4 3 2" xfId="12185" xr:uid="{00000000-0005-0000-0000-0000C2130000}"/>
    <cellStyle name="Vírgula 3 2 3 2 4 4 4" xfId="7901" xr:uid="{00000000-0005-0000-0000-0000C3130000}"/>
    <cellStyle name="Vírgula 3 2 3 2 4 5" xfId="2413" xr:uid="{00000000-0005-0000-0000-0000C4130000}"/>
    <cellStyle name="Vírgula 3 2 3 2 4 5 2" xfId="8929" xr:uid="{00000000-0005-0000-0000-0000C5130000}"/>
    <cellStyle name="Vírgula 3 2 3 2 4 6" xfId="4555" xr:uid="{00000000-0005-0000-0000-0000C6130000}"/>
    <cellStyle name="Vírgula 3 2 3 2 4 6 2" xfId="11069" xr:uid="{00000000-0005-0000-0000-0000C7130000}"/>
    <cellStyle name="Vírgula 3 2 3 2 4 7" xfId="6785" xr:uid="{00000000-0005-0000-0000-0000C8130000}"/>
    <cellStyle name="Vírgula 3 2 3 2 5" xfId="431" xr:uid="{00000000-0005-0000-0000-0000C9130000}"/>
    <cellStyle name="Vírgula 3 2 3 2 5 2" xfId="997" xr:uid="{00000000-0005-0000-0000-0000CA130000}"/>
    <cellStyle name="Vírgula 3 2 3 2 5 2 2" xfId="2025" xr:uid="{00000000-0005-0000-0000-0000CB130000}"/>
    <cellStyle name="Vírgula 3 2 3 2 5 2 2 2" xfId="4083" xr:uid="{00000000-0005-0000-0000-0000CC130000}"/>
    <cellStyle name="Vírgula 3 2 3 2 5 2 2 2 2" xfId="10599" xr:uid="{00000000-0005-0000-0000-0000CD130000}"/>
    <cellStyle name="Vírgula 3 2 3 2 5 2 2 3" xfId="6313" xr:uid="{00000000-0005-0000-0000-0000CE130000}"/>
    <cellStyle name="Vírgula 3 2 3 2 5 2 2 3 2" xfId="12827" xr:uid="{00000000-0005-0000-0000-0000CF130000}"/>
    <cellStyle name="Vírgula 3 2 3 2 5 2 2 4" xfId="8543" xr:uid="{00000000-0005-0000-0000-0000D0130000}"/>
    <cellStyle name="Vírgula 3 2 3 2 5 2 3" xfId="3055" xr:uid="{00000000-0005-0000-0000-0000D1130000}"/>
    <cellStyle name="Vírgula 3 2 3 2 5 2 3 2" xfId="9571" xr:uid="{00000000-0005-0000-0000-0000D2130000}"/>
    <cellStyle name="Vírgula 3 2 3 2 5 2 4" xfId="5285" xr:uid="{00000000-0005-0000-0000-0000D3130000}"/>
    <cellStyle name="Vírgula 3 2 3 2 5 2 4 2" xfId="11799" xr:uid="{00000000-0005-0000-0000-0000D4130000}"/>
    <cellStyle name="Vírgula 3 2 3 2 5 2 5" xfId="7515" xr:uid="{00000000-0005-0000-0000-0000D5130000}"/>
    <cellStyle name="Vírgula 3 2 3 2 5 3" xfId="1511" xr:uid="{00000000-0005-0000-0000-0000D6130000}"/>
    <cellStyle name="Vírgula 3 2 3 2 5 3 2" xfId="3569" xr:uid="{00000000-0005-0000-0000-0000D7130000}"/>
    <cellStyle name="Vírgula 3 2 3 2 5 3 2 2" xfId="10085" xr:uid="{00000000-0005-0000-0000-0000D8130000}"/>
    <cellStyle name="Vírgula 3 2 3 2 5 3 3" xfId="5799" xr:uid="{00000000-0005-0000-0000-0000D9130000}"/>
    <cellStyle name="Vírgula 3 2 3 2 5 3 3 2" xfId="12313" xr:uid="{00000000-0005-0000-0000-0000DA130000}"/>
    <cellStyle name="Vírgula 3 2 3 2 5 3 4" xfId="8029" xr:uid="{00000000-0005-0000-0000-0000DB130000}"/>
    <cellStyle name="Vírgula 3 2 3 2 5 4" xfId="2541" xr:uid="{00000000-0005-0000-0000-0000DC130000}"/>
    <cellStyle name="Vírgula 3 2 3 2 5 4 2" xfId="9057" xr:uid="{00000000-0005-0000-0000-0000DD130000}"/>
    <cellStyle name="Vírgula 3 2 3 2 5 5" xfId="4727" xr:uid="{00000000-0005-0000-0000-0000DE130000}"/>
    <cellStyle name="Vírgula 3 2 3 2 5 5 2" xfId="11241" xr:uid="{00000000-0005-0000-0000-0000DF130000}"/>
    <cellStyle name="Vírgula 3 2 3 2 5 6" xfId="6957" xr:uid="{00000000-0005-0000-0000-0000E0130000}"/>
    <cellStyle name="Vírgula 3 2 3 2 6" xfId="741" xr:uid="{00000000-0005-0000-0000-0000E1130000}"/>
    <cellStyle name="Vírgula 3 2 3 2 6 2" xfId="1769" xr:uid="{00000000-0005-0000-0000-0000E2130000}"/>
    <cellStyle name="Vírgula 3 2 3 2 6 2 2" xfId="3827" xr:uid="{00000000-0005-0000-0000-0000E3130000}"/>
    <cellStyle name="Vírgula 3 2 3 2 6 2 2 2" xfId="10343" xr:uid="{00000000-0005-0000-0000-0000E4130000}"/>
    <cellStyle name="Vírgula 3 2 3 2 6 2 3" xfId="6057" xr:uid="{00000000-0005-0000-0000-0000E5130000}"/>
    <cellStyle name="Vírgula 3 2 3 2 6 2 3 2" xfId="12571" xr:uid="{00000000-0005-0000-0000-0000E6130000}"/>
    <cellStyle name="Vírgula 3 2 3 2 6 2 4" xfId="8287" xr:uid="{00000000-0005-0000-0000-0000E7130000}"/>
    <cellStyle name="Vírgula 3 2 3 2 6 3" xfId="2799" xr:uid="{00000000-0005-0000-0000-0000E8130000}"/>
    <cellStyle name="Vírgula 3 2 3 2 6 3 2" xfId="9315" xr:uid="{00000000-0005-0000-0000-0000E9130000}"/>
    <cellStyle name="Vírgula 3 2 3 2 6 4" xfId="5029" xr:uid="{00000000-0005-0000-0000-0000EA130000}"/>
    <cellStyle name="Vírgula 3 2 3 2 6 4 2" xfId="11543" xr:uid="{00000000-0005-0000-0000-0000EB130000}"/>
    <cellStyle name="Vírgula 3 2 3 2 6 5" xfId="7259" xr:uid="{00000000-0005-0000-0000-0000EC130000}"/>
    <cellStyle name="Vírgula 3 2 3 2 7" xfId="1255" xr:uid="{00000000-0005-0000-0000-0000ED130000}"/>
    <cellStyle name="Vírgula 3 2 3 2 7 2" xfId="3313" xr:uid="{00000000-0005-0000-0000-0000EE130000}"/>
    <cellStyle name="Vírgula 3 2 3 2 7 2 2" xfId="9829" xr:uid="{00000000-0005-0000-0000-0000EF130000}"/>
    <cellStyle name="Vírgula 3 2 3 2 7 3" xfId="5543" xr:uid="{00000000-0005-0000-0000-0000F0130000}"/>
    <cellStyle name="Vírgula 3 2 3 2 7 3 2" xfId="12057" xr:uid="{00000000-0005-0000-0000-0000F1130000}"/>
    <cellStyle name="Vírgula 3 2 3 2 7 4" xfId="7773" xr:uid="{00000000-0005-0000-0000-0000F2130000}"/>
    <cellStyle name="Vírgula 3 2 3 2 8" xfId="2285" xr:uid="{00000000-0005-0000-0000-0000F3130000}"/>
    <cellStyle name="Vírgula 3 2 3 2 8 2" xfId="8801" xr:uid="{00000000-0005-0000-0000-0000F4130000}"/>
    <cellStyle name="Vírgula 3 2 3 2 9" xfId="4385" xr:uid="{00000000-0005-0000-0000-0000F5130000}"/>
    <cellStyle name="Vírgula 3 2 3 2 9 2" xfId="10899" xr:uid="{00000000-0005-0000-0000-0000F6130000}"/>
    <cellStyle name="Vírgula 3 2 3 3" xfId="129" xr:uid="{00000000-0005-0000-0000-0000F7130000}"/>
    <cellStyle name="Vírgula 3 2 3 3 2" xfId="210" xr:uid="{00000000-0005-0000-0000-0000F8130000}"/>
    <cellStyle name="Vírgula 3 2 3 3 2 2" xfId="338" xr:uid="{00000000-0005-0000-0000-0000F9130000}"/>
    <cellStyle name="Vírgula 3 2 3 3 2 2 2" xfId="681" xr:uid="{00000000-0005-0000-0000-0000FA130000}"/>
    <cellStyle name="Vírgula 3 2 3 3 2 2 2 2" xfId="1205" xr:uid="{00000000-0005-0000-0000-0000FB130000}"/>
    <cellStyle name="Vírgula 3 2 3 3 2 2 2 2 2" xfId="2233" xr:uid="{00000000-0005-0000-0000-0000FC130000}"/>
    <cellStyle name="Vírgula 3 2 3 3 2 2 2 2 2 2" xfId="4291" xr:uid="{00000000-0005-0000-0000-0000FD130000}"/>
    <cellStyle name="Vírgula 3 2 3 3 2 2 2 2 2 2 2" xfId="10807" xr:uid="{00000000-0005-0000-0000-0000FE130000}"/>
    <cellStyle name="Vírgula 3 2 3 3 2 2 2 2 2 3" xfId="6521" xr:uid="{00000000-0005-0000-0000-0000FF130000}"/>
    <cellStyle name="Vírgula 3 2 3 3 2 2 2 2 2 3 2" xfId="13035" xr:uid="{00000000-0005-0000-0000-000000140000}"/>
    <cellStyle name="Vírgula 3 2 3 3 2 2 2 2 2 4" xfId="8751" xr:uid="{00000000-0005-0000-0000-000001140000}"/>
    <cellStyle name="Vírgula 3 2 3 3 2 2 2 2 3" xfId="3263" xr:uid="{00000000-0005-0000-0000-000002140000}"/>
    <cellStyle name="Vírgula 3 2 3 3 2 2 2 2 3 2" xfId="9779" xr:uid="{00000000-0005-0000-0000-000003140000}"/>
    <cellStyle name="Vírgula 3 2 3 3 2 2 2 2 4" xfId="5493" xr:uid="{00000000-0005-0000-0000-000004140000}"/>
    <cellStyle name="Vírgula 3 2 3 3 2 2 2 2 4 2" xfId="12007" xr:uid="{00000000-0005-0000-0000-000005140000}"/>
    <cellStyle name="Vírgula 3 2 3 3 2 2 2 2 5" xfId="7723" xr:uid="{00000000-0005-0000-0000-000006140000}"/>
    <cellStyle name="Vírgula 3 2 3 3 2 2 2 3" xfId="1719" xr:uid="{00000000-0005-0000-0000-000007140000}"/>
    <cellStyle name="Vírgula 3 2 3 3 2 2 2 3 2" xfId="3777" xr:uid="{00000000-0005-0000-0000-000008140000}"/>
    <cellStyle name="Vírgula 3 2 3 3 2 2 2 3 2 2" xfId="10293" xr:uid="{00000000-0005-0000-0000-000009140000}"/>
    <cellStyle name="Vírgula 3 2 3 3 2 2 2 3 3" xfId="6007" xr:uid="{00000000-0005-0000-0000-00000A140000}"/>
    <cellStyle name="Vírgula 3 2 3 3 2 2 2 3 3 2" xfId="12521" xr:uid="{00000000-0005-0000-0000-00000B140000}"/>
    <cellStyle name="Vírgula 3 2 3 3 2 2 2 3 4" xfId="8237" xr:uid="{00000000-0005-0000-0000-00000C140000}"/>
    <cellStyle name="Vírgula 3 2 3 3 2 2 2 4" xfId="2749" xr:uid="{00000000-0005-0000-0000-00000D140000}"/>
    <cellStyle name="Vírgula 3 2 3 3 2 2 2 4 2" xfId="9265" xr:uid="{00000000-0005-0000-0000-00000E140000}"/>
    <cellStyle name="Vírgula 3 2 3 3 2 2 2 5" xfId="4977" xr:uid="{00000000-0005-0000-0000-00000F140000}"/>
    <cellStyle name="Vírgula 3 2 3 3 2 2 2 5 2" xfId="11491" xr:uid="{00000000-0005-0000-0000-000010140000}"/>
    <cellStyle name="Vírgula 3 2 3 3 2 2 2 6" xfId="7207" xr:uid="{00000000-0005-0000-0000-000011140000}"/>
    <cellStyle name="Vírgula 3 2 3 3 2 2 3" xfId="949" xr:uid="{00000000-0005-0000-0000-000012140000}"/>
    <cellStyle name="Vírgula 3 2 3 3 2 2 3 2" xfId="1977" xr:uid="{00000000-0005-0000-0000-000013140000}"/>
    <cellStyle name="Vírgula 3 2 3 3 2 2 3 2 2" xfId="4035" xr:uid="{00000000-0005-0000-0000-000014140000}"/>
    <cellStyle name="Vírgula 3 2 3 3 2 2 3 2 2 2" xfId="10551" xr:uid="{00000000-0005-0000-0000-000015140000}"/>
    <cellStyle name="Vírgula 3 2 3 3 2 2 3 2 3" xfId="6265" xr:uid="{00000000-0005-0000-0000-000016140000}"/>
    <cellStyle name="Vírgula 3 2 3 3 2 2 3 2 3 2" xfId="12779" xr:uid="{00000000-0005-0000-0000-000017140000}"/>
    <cellStyle name="Vírgula 3 2 3 3 2 2 3 2 4" xfId="8495" xr:uid="{00000000-0005-0000-0000-000018140000}"/>
    <cellStyle name="Vírgula 3 2 3 3 2 2 3 3" xfId="3007" xr:uid="{00000000-0005-0000-0000-000019140000}"/>
    <cellStyle name="Vírgula 3 2 3 3 2 2 3 3 2" xfId="9523" xr:uid="{00000000-0005-0000-0000-00001A140000}"/>
    <cellStyle name="Vírgula 3 2 3 3 2 2 3 4" xfId="5237" xr:uid="{00000000-0005-0000-0000-00001B140000}"/>
    <cellStyle name="Vírgula 3 2 3 3 2 2 3 4 2" xfId="11751" xr:uid="{00000000-0005-0000-0000-00001C140000}"/>
    <cellStyle name="Vírgula 3 2 3 3 2 2 3 5" xfId="7467" xr:uid="{00000000-0005-0000-0000-00001D140000}"/>
    <cellStyle name="Vírgula 3 2 3 3 2 2 4" xfId="1463" xr:uid="{00000000-0005-0000-0000-00001E140000}"/>
    <cellStyle name="Vírgula 3 2 3 3 2 2 4 2" xfId="3521" xr:uid="{00000000-0005-0000-0000-00001F140000}"/>
    <cellStyle name="Vírgula 3 2 3 3 2 2 4 2 2" xfId="10037" xr:uid="{00000000-0005-0000-0000-000020140000}"/>
    <cellStyle name="Vírgula 3 2 3 3 2 2 4 3" xfId="5751" xr:uid="{00000000-0005-0000-0000-000021140000}"/>
    <cellStyle name="Vírgula 3 2 3 3 2 2 4 3 2" xfId="12265" xr:uid="{00000000-0005-0000-0000-000022140000}"/>
    <cellStyle name="Vírgula 3 2 3 3 2 2 4 4" xfId="7981" xr:uid="{00000000-0005-0000-0000-000023140000}"/>
    <cellStyle name="Vírgula 3 2 3 3 2 2 5" xfId="2493" xr:uid="{00000000-0005-0000-0000-000024140000}"/>
    <cellStyle name="Vírgula 3 2 3 3 2 2 5 2" xfId="9009" xr:uid="{00000000-0005-0000-0000-000025140000}"/>
    <cellStyle name="Vírgula 3 2 3 3 2 2 6" xfId="4635" xr:uid="{00000000-0005-0000-0000-000026140000}"/>
    <cellStyle name="Vírgula 3 2 3 3 2 2 6 2" xfId="11149" xr:uid="{00000000-0005-0000-0000-000027140000}"/>
    <cellStyle name="Vírgula 3 2 3 3 2 2 7" xfId="6865" xr:uid="{00000000-0005-0000-0000-000028140000}"/>
    <cellStyle name="Vírgula 3 2 3 3 2 3" xfId="553" xr:uid="{00000000-0005-0000-0000-000029140000}"/>
    <cellStyle name="Vírgula 3 2 3 3 2 3 2" xfId="1077" xr:uid="{00000000-0005-0000-0000-00002A140000}"/>
    <cellStyle name="Vírgula 3 2 3 3 2 3 2 2" xfId="2105" xr:uid="{00000000-0005-0000-0000-00002B140000}"/>
    <cellStyle name="Vírgula 3 2 3 3 2 3 2 2 2" xfId="4163" xr:uid="{00000000-0005-0000-0000-00002C140000}"/>
    <cellStyle name="Vírgula 3 2 3 3 2 3 2 2 2 2" xfId="10679" xr:uid="{00000000-0005-0000-0000-00002D140000}"/>
    <cellStyle name="Vírgula 3 2 3 3 2 3 2 2 3" xfId="6393" xr:uid="{00000000-0005-0000-0000-00002E140000}"/>
    <cellStyle name="Vírgula 3 2 3 3 2 3 2 2 3 2" xfId="12907" xr:uid="{00000000-0005-0000-0000-00002F140000}"/>
    <cellStyle name="Vírgula 3 2 3 3 2 3 2 2 4" xfId="8623" xr:uid="{00000000-0005-0000-0000-000030140000}"/>
    <cellStyle name="Vírgula 3 2 3 3 2 3 2 3" xfId="3135" xr:uid="{00000000-0005-0000-0000-000031140000}"/>
    <cellStyle name="Vírgula 3 2 3 3 2 3 2 3 2" xfId="9651" xr:uid="{00000000-0005-0000-0000-000032140000}"/>
    <cellStyle name="Vírgula 3 2 3 3 2 3 2 4" xfId="5365" xr:uid="{00000000-0005-0000-0000-000033140000}"/>
    <cellStyle name="Vírgula 3 2 3 3 2 3 2 4 2" xfId="11879" xr:uid="{00000000-0005-0000-0000-000034140000}"/>
    <cellStyle name="Vírgula 3 2 3 3 2 3 2 5" xfId="7595" xr:uid="{00000000-0005-0000-0000-000035140000}"/>
    <cellStyle name="Vírgula 3 2 3 3 2 3 3" xfId="1591" xr:uid="{00000000-0005-0000-0000-000036140000}"/>
    <cellStyle name="Vírgula 3 2 3 3 2 3 3 2" xfId="3649" xr:uid="{00000000-0005-0000-0000-000037140000}"/>
    <cellStyle name="Vírgula 3 2 3 3 2 3 3 2 2" xfId="10165" xr:uid="{00000000-0005-0000-0000-000038140000}"/>
    <cellStyle name="Vírgula 3 2 3 3 2 3 3 3" xfId="5879" xr:uid="{00000000-0005-0000-0000-000039140000}"/>
    <cellStyle name="Vírgula 3 2 3 3 2 3 3 3 2" xfId="12393" xr:uid="{00000000-0005-0000-0000-00003A140000}"/>
    <cellStyle name="Vírgula 3 2 3 3 2 3 3 4" xfId="8109" xr:uid="{00000000-0005-0000-0000-00003B140000}"/>
    <cellStyle name="Vírgula 3 2 3 3 2 3 4" xfId="2621" xr:uid="{00000000-0005-0000-0000-00003C140000}"/>
    <cellStyle name="Vírgula 3 2 3 3 2 3 4 2" xfId="9137" xr:uid="{00000000-0005-0000-0000-00003D140000}"/>
    <cellStyle name="Vírgula 3 2 3 3 2 3 5" xfId="4849" xr:uid="{00000000-0005-0000-0000-00003E140000}"/>
    <cellStyle name="Vírgula 3 2 3 3 2 3 5 2" xfId="11363" xr:uid="{00000000-0005-0000-0000-00003F140000}"/>
    <cellStyle name="Vírgula 3 2 3 3 2 3 6" xfId="7079" xr:uid="{00000000-0005-0000-0000-000040140000}"/>
    <cellStyle name="Vírgula 3 2 3 3 2 4" xfId="821" xr:uid="{00000000-0005-0000-0000-000041140000}"/>
    <cellStyle name="Vírgula 3 2 3 3 2 4 2" xfId="1849" xr:uid="{00000000-0005-0000-0000-000042140000}"/>
    <cellStyle name="Vírgula 3 2 3 3 2 4 2 2" xfId="3907" xr:uid="{00000000-0005-0000-0000-000043140000}"/>
    <cellStyle name="Vírgula 3 2 3 3 2 4 2 2 2" xfId="10423" xr:uid="{00000000-0005-0000-0000-000044140000}"/>
    <cellStyle name="Vírgula 3 2 3 3 2 4 2 3" xfId="6137" xr:uid="{00000000-0005-0000-0000-000045140000}"/>
    <cellStyle name="Vírgula 3 2 3 3 2 4 2 3 2" xfId="12651" xr:uid="{00000000-0005-0000-0000-000046140000}"/>
    <cellStyle name="Vírgula 3 2 3 3 2 4 2 4" xfId="8367" xr:uid="{00000000-0005-0000-0000-000047140000}"/>
    <cellStyle name="Vírgula 3 2 3 3 2 4 3" xfId="2879" xr:uid="{00000000-0005-0000-0000-000048140000}"/>
    <cellStyle name="Vírgula 3 2 3 3 2 4 3 2" xfId="9395" xr:uid="{00000000-0005-0000-0000-000049140000}"/>
    <cellStyle name="Vírgula 3 2 3 3 2 4 4" xfId="5109" xr:uid="{00000000-0005-0000-0000-00004A140000}"/>
    <cellStyle name="Vírgula 3 2 3 3 2 4 4 2" xfId="11623" xr:uid="{00000000-0005-0000-0000-00004B140000}"/>
    <cellStyle name="Vírgula 3 2 3 3 2 4 5" xfId="7339" xr:uid="{00000000-0005-0000-0000-00004C140000}"/>
    <cellStyle name="Vírgula 3 2 3 3 2 5" xfId="1335" xr:uid="{00000000-0005-0000-0000-00004D140000}"/>
    <cellStyle name="Vírgula 3 2 3 3 2 5 2" xfId="3393" xr:uid="{00000000-0005-0000-0000-00004E140000}"/>
    <cellStyle name="Vírgula 3 2 3 3 2 5 2 2" xfId="9909" xr:uid="{00000000-0005-0000-0000-00004F140000}"/>
    <cellStyle name="Vírgula 3 2 3 3 2 5 3" xfId="5623" xr:uid="{00000000-0005-0000-0000-000050140000}"/>
    <cellStyle name="Vírgula 3 2 3 3 2 5 3 2" xfId="12137" xr:uid="{00000000-0005-0000-0000-000051140000}"/>
    <cellStyle name="Vírgula 3 2 3 3 2 5 4" xfId="7853" xr:uid="{00000000-0005-0000-0000-000052140000}"/>
    <cellStyle name="Vírgula 3 2 3 3 2 6" xfId="2365" xr:uid="{00000000-0005-0000-0000-000053140000}"/>
    <cellStyle name="Vírgula 3 2 3 3 2 6 2" xfId="8881" xr:uid="{00000000-0005-0000-0000-000054140000}"/>
    <cellStyle name="Vírgula 3 2 3 3 2 7" xfId="4507" xr:uid="{00000000-0005-0000-0000-000055140000}"/>
    <cellStyle name="Vírgula 3 2 3 3 2 7 2" xfId="11021" xr:uid="{00000000-0005-0000-0000-000056140000}"/>
    <cellStyle name="Vírgula 3 2 3 3 2 8" xfId="6737" xr:uid="{00000000-0005-0000-0000-000057140000}"/>
    <cellStyle name="Vírgula 3 2 3 3 3" xfId="274" xr:uid="{00000000-0005-0000-0000-000058140000}"/>
    <cellStyle name="Vírgula 3 2 3 3 3 2" xfId="617" xr:uid="{00000000-0005-0000-0000-000059140000}"/>
    <cellStyle name="Vírgula 3 2 3 3 3 2 2" xfId="1141" xr:uid="{00000000-0005-0000-0000-00005A140000}"/>
    <cellStyle name="Vírgula 3 2 3 3 3 2 2 2" xfId="2169" xr:uid="{00000000-0005-0000-0000-00005B140000}"/>
    <cellStyle name="Vírgula 3 2 3 3 3 2 2 2 2" xfId="4227" xr:uid="{00000000-0005-0000-0000-00005C140000}"/>
    <cellStyle name="Vírgula 3 2 3 3 3 2 2 2 2 2" xfId="10743" xr:uid="{00000000-0005-0000-0000-00005D140000}"/>
    <cellStyle name="Vírgula 3 2 3 3 3 2 2 2 3" xfId="6457" xr:uid="{00000000-0005-0000-0000-00005E140000}"/>
    <cellStyle name="Vírgula 3 2 3 3 3 2 2 2 3 2" xfId="12971" xr:uid="{00000000-0005-0000-0000-00005F140000}"/>
    <cellStyle name="Vírgula 3 2 3 3 3 2 2 2 4" xfId="8687" xr:uid="{00000000-0005-0000-0000-000060140000}"/>
    <cellStyle name="Vírgula 3 2 3 3 3 2 2 3" xfId="3199" xr:uid="{00000000-0005-0000-0000-000061140000}"/>
    <cellStyle name="Vírgula 3 2 3 3 3 2 2 3 2" xfId="9715" xr:uid="{00000000-0005-0000-0000-000062140000}"/>
    <cellStyle name="Vírgula 3 2 3 3 3 2 2 4" xfId="5429" xr:uid="{00000000-0005-0000-0000-000063140000}"/>
    <cellStyle name="Vírgula 3 2 3 3 3 2 2 4 2" xfId="11943" xr:uid="{00000000-0005-0000-0000-000064140000}"/>
    <cellStyle name="Vírgula 3 2 3 3 3 2 2 5" xfId="7659" xr:uid="{00000000-0005-0000-0000-000065140000}"/>
    <cellStyle name="Vírgula 3 2 3 3 3 2 3" xfId="1655" xr:uid="{00000000-0005-0000-0000-000066140000}"/>
    <cellStyle name="Vírgula 3 2 3 3 3 2 3 2" xfId="3713" xr:uid="{00000000-0005-0000-0000-000067140000}"/>
    <cellStyle name="Vírgula 3 2 3 3 3 2 3 2 2" xfId="10229" xr:uid="{00000000-0005-0000-0000-000068140000}"/>
    <cellStyle name="Vírgula 3 2 3 3 3 2 3 3" xfId="5943" xr:uid="{00000000-0005-0000-0000-000069140000}"/>
    <cellStyle name="Vírgula 3 2 3 3 3 2 3 3 2" xfId="12457" xr:uid="{00000000-0005-0000-0000-00006A140000}"/>
    <cellStyle name="Vírgula 3 2 3 3 3 2 3 4" xfId="8173" xr:uid="{00000000-0005-0000-0000-00006B140000}"/>
    <cellStyle name="Vírgula 3 2 3 3 3 2 4" xfId="2685" xr:uid="{00000000-0005-0000-0000-00006C140000}"/>
    <cellStyle name="Vírgula 3 2 3 3 3 2 4 2" xfId="9201" xr:uid="{00000000-0005-0000-0000-00006D140000}"/>
    <cellStyle name="Vírgula 3 2 3 3 3 2 5" xfId="4913" xr:uid="{00000000-0005-0000-0000-00006E140000}"/>
    <cellStyle name="Vírgula 3 2 3 3 3 2 5 2" xfId="11427" xr:uid="{00000000-0005-0000-0000-00006F140000}"/>
    <cellStyle name="Vírgula 3 2 3 3 3 2 6" xfId="7143" xr:uid="{00000000-0005-0000-0000-000070140000}"/>
    <cellStyle name="Vírgula 3 2 3 3 3 3" xfId="885" xr:uid="{00000000-0005-0000-0000-000071140000}"/>
    <cellStyle name="Vírgula 3 2 3 3 3 3 2" xfId="1913" xr:uid="{00000000-0005-0000-0000-000072140000}"/>
    <cellStyle name="Vírgula 3 2 3 3 3 3 2 2" xfId="3971" xr:uid="{00000000-0005-0000-0000-000073140000}"/>
    <cellStyle name="Vírgula 3 2 3 3 3 3 2 2 2" xfId="10487" xr:uid="{00000000-0005-0000-0000-000074140000}"/>
    <cellStyle name="Vírgula 3 2 3 3 3 3 2 3" xfId="6201" xr:uid="{00000000-0005-0000-0000-000075140000}"/>
    <cellStyle name="Vírgula 3 2 3 3 3 3 2 3 2" xfId="12715" xr:uid="{00000000-0005-0000-0000-000076140000}"/>
    <cellStyle name="Vírgula 3 2 3 3 3 3 2 4" xfId="8431" xr:uid="{00000000-0005-0000-0000-000077140000}"/>
    <cellStyle name="Vírgula 3 2 3 3 3 3 3" xfId="2943" xr:uid="{00000000-0005-0000-0000-000078140000}"/>
    <cellStyle name="Vírgula 3 2 3 3 3 3 3 2" xfId="9459" xr:uid="{00000000-0005-0000-0000-000079140000}"/>
    <cellStyle name="Vírgula 3 2 3 3 3 3 4" xfId="5173" xr:uid="{00000000-0005-0000-0000-00007A140000}"/>
    <cellStyle name="Vírgula 3 2 3 3 3 3 4 2" xfId="11687" xr:uid="{00000000-0005-0000-0000-00007B140000}"/>
    <cellStyle name="Vírgula 3 2 3 3 3 3 5" xfId="7403" xr:uid="{00000000-0005-0000-0000-00007C140000}"/>
    <cellStyle name="Vírgula 3 2 3 3 3 4" xfId="1399" xr:uid="{00000000-0005-0000-0000-00007D140000}"/>
    <cellStyle name="Vírgula 3 2 3 3 3 4 2" xfId="3457" xr:uid="{00000000-0005-0000-0000-00007E140000}"/>
    <cellStyle name="Vírgula 3 2 3 3 3 4 2 2" xfId="9973" xr:uid="{00000000-0005-0000-0000-00007F140000}"/>
    <cellStyle name="Vírgula 3 2 3 3 3 4 3" xfId="5687" xr:uid="{00000000-0005-0000-0000-000080140000}"/>
    <cellStyle name="Vírgula 3 2 3 3 3 4 3 2" xfId="12201" xr:uid="{00000000-0005-0000-0000-000081140000}"/>
    <cellStyle name="Vírgula 3 2 3 3 3 4 4" xfId="7917" xr:uid="{00000000-0005-0000-0000-000082140000}"/>
    <cellStyle name="Vírgula 3 2 3 3 3 5" xfId="2429" xr:uid="{00000000-0005-0000-0000-000083140000}"/>
    <cellStyle name="Vírgula 3 2 3 3 3 5 2" xfId="8945" xr:uid="{00000000-0005-0000-0000-000084140000}"/>
    <cellStyle name="Vírgula 3 2 3 3 3 6" xfId="4571" xr:uid="{00000000-0005-0000-0000-000085140000}"/>
    <cellStyle name="Vírgula 3 2 3 3 3 6 2" xfId="11085" xr:uid="{00000000-0005-0000-0000-000086140000}"/>
    <cellStyle name="Vírgula 3 2 3 3 3 7" xfId="6801" xr:uid="{00000000-0005-0000-0000-000087140000}"/>
    <cellStyle name="Vírgula 3 2 3 3 4" xfId="472" xr:uid="{00000000-0005-0000-0000-000088140000}"/>
    <cellStyle name="Vírgula 3 2 3 3 4 2" xfId="1013" xr:uid="{00000000-0005-0000-0000-000089140000}"/>
    <cellStyle name="Vírgula 3 2 3 3 4 2 2" xfId="2041" xr:uid="{00000000-0005-0000-0000-00008A140000}"/>
    <cellStyle name="Vírgula 3 2 3 3 4 2 2 2" xfId="4099" xr:uid="{00000000-0005-0000-0000-00008B140000}"/>
    <cellStyle name="Vírgula 3 2 3 3 4 2 2 2 2" xfId="10615" xr:uid="{00000000-0005-0000-0000-00008C140000}"/>
    <cellStyle name="Vírgula 3 2 3 3 4 2 2 3" xfId="6329" xr:uid="{00000000-0005-0000-0000-00008D140000}"/>
    <cellStyle name="Vírgula 3 2 3 3 4 2 2 3 2" xfId="12843" xr:uid="{00000000-0005-0000-0000-00008E140000}"/>
    <cellStyle name="Vírgula 3 2 3 3 4 2 2 4" xfId="8559" xr:uid="{00000000-0005-0000-0000-00008F140000}"/>
    <cellStyle name="Vírgula 3 2 3 3 4 2 3" xfId="3071" xr:uid="{00000000-0005-0000-0000-000090140000}"/>
    <cellStyle name="Vírgula 3 2 3 3 4 2 3 2" xfId="9587" xr:uid="{00000000-0005-0000-0000-000091140000}"/>
    <cellStyle name="Vírgula 3 2 3 3 4 2 4" xfId="5301" xr:uid="{00000000-0005-0000-0000-000092140000}"/>
    <cellStyle name="Vírgula 3 2 3 3 4 2 4 2" xfId="11815" xr:uid="{00000000-0005-0000-0000-000093140000}"/>
    <cellStyle name="Vírgula 3 2 3 3 4 2 5" xfId="7531" xr:uid="{00000000-0005-0000-0000-000094140000}"/>
    <cellStyle name="Vírgula 3 2 3 3 4 3" xfId="1527" xr:uid="{00000000-0005-0000-0000-000095140000}"/>
    <cellStyle name="Vírgula 3 2 3 3 4 3 2" xfId="3585" xr:uid="{00000000-0005-0000-0000-000096140000}"/>
    <cellStyle name="Vírgula 3 2 3 3 4 3 2 2" xfId="10101" xr:uid="{00000000-0005-0000-0000-000097140000}"/>
    <cellStyle name="Vírgula 3 2 3 3 4 3 3" xfId="5815" xr:uid="{00000000-0005-0000-0000-000098140000}"/>
    <cellStyle name="Vírgula 3 2 3 3 4 3 3 2" xfId="12329" xr:uid="{00000000-0005-0000-0000-000099140000}"/>
    <cellStyle name="Vírgula 3 2 3 3 4 3 4" xfId="8045" xr:uid="{00000000-0005-0000-0000-00009A140000}"/>
    <cellStyle name="Vírgula 3 2 3 3 4 4" xfId="2557" xr:uid="{00000000-0005-0000-0000-00009B140000}"/>
    <cellStyle name="Vírgula 3 2 3 3 4 4 2" xfId="9073" xr:uid="{00000000-0005-0000-0000-00009C140000}"/>
    <cellStyle name="Vírgula 3 2 3 3 4 5" xfId="4768" xr:uid="{00000000-0005-0000-0000-00009D140000}"/>
    <cellStyle name="Vírgula 3 2 3 3 4 5 2" xfId="11282" xr:uid="{00000000-0005-0000-0000-00009E140000}"/>
    <cellStyle name="Vírgula 3 2 3 3 4 6" xfId="6998" xr:uid="{00000000-0005-0000-0000-00009F140000}"/>
    <cellStyle name="Vírgula 3 2 3 3 5" xfId="757" xr:uid="{00000000-0005-0000-0000-0000A0140000}"/>
    <cellStyle name="Vírgula 3 2 3 3 5 2" xfId="1785" xr:uid="{00000000-0005-0000-0000-0000A1140000}"/>
    <cellStyle name="Vírgula 3 2 3 3 5 2 2" xfId="3843" xr:uid="{00000000-0005-0000-0000-0000A2140000}"/>
    <cellStyle name="Vírgula 3 2 3 3 5 2 2 2" xfId="10359" xr:uid="{00000000-0005-0000-0000-0000A3140000}"/>
    <cellStyle name="Vírgula 3 2 3 3 5 2 3" xfId="6073" xr:uid="{00000000-0005-0000-0000-0000A4140000}"/>
    <cellStyle name="Vírgula 3 2 3 3 5 2 3 2" xfId="12587" xr:uid="{00000000-0005-0000-0000-0000A5140000}"/>
    <cellStyle name="Vírgula 3 2 3 3 5 2 4" xfId="8303" xr:uid="{00000000-0005-0000-0000-0000A6140000}"/>
    <cellStyle name="Vírgula 3 2 3 3 5 3" xfId="2815" xr:uid="{00000000-0005-0000-0000-0000A7140000}"/>
    <cellStyle name="Vírgula 3 2 3 3 5 3 2" xfId="9331" xr:uid="{00000000-0005-0000-0000-0000A8140000}"/>
    <cellStyle name="Vírgula 3 2 3 3 5 4" xfId="5045" xr:uid="{00000000-0005-0000-0000-0000A9140000}"/>
    <cellStyle name="Vírgula 3 2 3 3 5 4 2" xfId="11559" xr:uid="{00000000-0005-0000-0000-0000AA140000}"/>
    <cellStyle name="Vírgula 3 2 3 3 5 5" xfId="7275" xr:uid="{00000000-0005-0000-0000-0000AB140000}"/>
    <cellStyle name="Vírgula 3 2 3 3 6" xfId="1271" xr:uid="{00000000-0005-0000-0000-0000AC140000}"/>
    <cellStyle name="Vírgula 3 2 3 3 6 2" xfId="3329" xr:uid="{00000000-0005-0000-0000-0000AD140000}"/>
    <cellStyle name="Vírgula 3 2 3 3 6 2 2" xfId="9845" xr:uid="{00000000-0005-0000-0000-0000AE140000}"/>
    <cellStyle name="Vírgula 3 2 3 3 6 3" xfId="5559" xr:uid="{00000000-0005-0000-0000-0000AF140000}"/>
    <cellStyle name="Vírgula 3 2 3 3 6 3 2" xfId="12073" xr:uid="{00000000-0005-0000-0000-0000B0140000}"/>
    <cellStyle name="Vírgula 3 2 3 3 6 4" xfId="7789" xr:uid="{00000000-0005-0000-0000-0000B1140000}"/>
    <cellStyle name="Vírgula 3 2 3 3 7" xfId="2301" xr:uid="{00000000-0005-0000-0000-0000B2140000}"/>
    <cellStyle name="Vírgula 3 2 3 3 7 2" xfId="8817" xr:uid="{00000000-0005-0000-0000-0000B3140000}"/>
    <cellStyle name="Vírgula 3 2 3 3 8" xfId="4426" xr:uid="{00000000-0005-0000-0000-0000B4140000}"/>
    <cellStyle name="Vírgula 3 2 3 3 8 2" xfId="10940" xr:uid="{00000000-0005-0000-0000-0000B5140000}"/>
    <cellStyle name="Vírgula 3 2 3 3 9" xfId="6656" xr:uid="{00000000-0005-0000-0000-0000B6140000}"/>
    <cellStyle name="Vírgula 3 2 3 4" xfId="178" xr:uid="{00000000-0005-0000-0000-0000B7140000}"/>
    <cellStyle name="Vírgula 3 2 3 4 2" xfId="306" xr:uid="{00000000-0005-0000-0000-0000B8140000}"/>
    <cellStyle name="Vírgula 3 2 3 4 2 2" xfId="649" xr:uid="{00000000-0005-0000-0000-0000B9140000}"/>
    <cellStyle name="Vírgula 3 2 3 4 2 2 2" xfId="1173" xr:uid="{00000000-0005-0000-0000-0000BA140000}"/>
    <cellStyle name="Vírgula 3 2 3 4 2 2 2 2" xfId="2201" xr:uid="{00000000-0005-0000-0000-0000BB140000}"/>
    <cellStyle name="Vírgula 3 2 3 4 2 2 2 2 2" xfId="4259" xr:uid="{00000000-0005-0000-0000-0000BC140000}"/>
    <cellStyle name="Vírgula 3 2 3 4 2 2 2 2 2 2" xfId="10775" xr:uid="{00000000-0005-0000-0000-0000BD140000}"/>
    <cellStyle name="Vírgula 3 2 3 4 2 2 2 2 3" xfId="6489" xr:uid="{00000000-0005-0000-0000-0000BE140000}"/>
    <cellStyle name="Vírgula 3 2 3 4 2 2 2 2 3 2" xfId="13003" xr:uid="{00000000-0005-0000-0000-0000BF140000}"/>
    <cellStyle name="Vírgula 3 2 3 4 2 2 2 2 4" xfId="8719" xr:uid="{00000000-0005-0000-0000-0000C0140000}"/>
    <cellStyle name="Vírgula 3 2 3 4 2 2 2 3" xfId="3231" xr:uid="{00000000-0005-0000-0000-0000C1140000}"/>
    <cellStyle name="Vírgula 3 2 3 4 2 2 2 3 2" xfId="9747" xr:uid="{00000000-0005-0000-0000-0000C2140000}"/>
    <cellStyle name="Vírgula 3 2 3 4 2 2 2 4" xfId="5461" xr:uid="{00000000-0005-0000-0000-0000C3140000}"/>
    <cellStyle name="Vírgula 3 2 3 4 2 2 2 4 2" xfId="11975" xr:uid="{00000000-0005-0000-0000-0000C4140000}"/>
    <cellStyle name="Vírgula 3 2 3 4 2 2 2 5" xfId="7691" xr:uid="{00000000-0005-0000-0000-0000C5140000}"/>
    <cellStyle name="Vírgula 3 2 3 4 2 2 3" xfId="1687" xr:uid="{00000000-0005-0000-0000-0000C6140000}"/>
    <cellStyle name="Vírgula 3 2 3 4 2 2 3 2" xfId="3745" xr:uid="{00000000-0005-0000-0000-0000C7140000}"/>
    <cellStyle name="Vírgula 3 2 3 4 2 2 3 2 2" xfId="10261" xr:uid="{00000000-0005-0000-0000-0000C8140000}"/>
    <cellStyle name="Vírgula 3 2 3 4 2 2 3 3" xfId="5975" xr:uid="{00000000-0005-0000-0000-0000C9140000}"/>
    <cellStyle name="Vírgula 3 2 3 4 2 2 3 3 2" xfId="12489" xr:uid="{00000000-0005-0000-0000-0000CA140000}"/>
    <cellStyle name="Vírgula 3 2 3 4 2 2 3 4" xfId="8205" xr:uid="{00000000-0005-0000-0000-0000CB140000}"/>
    <cellStyle name="Vírgula 3 2 3 4 2 2 4" xfId="2717" xr:uid="{00000000-0005-0000-0000-0000CC140000}"/>
    <cellStyle name="Vírgula 3 2 3 4 2 2 4 2" xfId="9233" xr:uid="{00000000-0005-0000-0000-0000CD140000}"/>
    <cellStyle name="Vírgula 3 2 3 4 2 2 5" xfId="4945" xr:uid="{00000000-0005-0000-0000-0000CE140000}"/>
    <cellStyle name="Vírgula 3 2 3 4 2 2 5 2" xfId="11459" xr:uid="{00000000-0005-0000-0000-0000CF140000}"/>
    <cellStyle name="Vírgula 3 2 3 4 2 2 6" xfId="7175" xr:uid="{00000000-0005-0000-0000-0000D0140000}"/>
    <cellStyle name="Vírgula 3 2 3 4 2 3" xfId="917" xr:uid="{00000000-0005-0000-0000-0000D1140000}"/>
    <cellStyle name="Vírgula 3 2 3 4 2 3 2" xfId="1945" xr:uid="{00000000-0005-0000-0000-0000D2140000}"/>
    <cellStyle name="Vírgula 3 2 3 4 2 3 2 2" xfId="4003" xr:uid="{00000000-0005-0000-0000-0000D3140000}"/>
    <cellStyle name="Vírgula 3 2 3 4 2 3 2 2 2" xfId="10519" xr:uid="{00000000-0005-0000-0000-0000D4140000}"/>
    <cellStyle name="Vírgula 3 2 3 4 2 3 2 3" xfId="6233" xr:uid="{00000000-0005-0000-0000-0000D5140000}"/>
    <cellStyle name="Vírgula 3 2 3 4 2 3 2 3 2" xfId="12747" xr:uid="{00000000-0005-0000-0000-0000D6140000}"/>
    <cellStyle name="Vírgula 3 2 3 4 2 3 2 4" xfId="8463" xr:uid="{00000000-0005-0000-0000-0000D7140000}"/>
    <cellStyle name="Vírgula 3 2 3 4 2 3 3" xfId="2975" xr:uid="{00000000-0005-0000-0000-0000D8140000}"/>
    <cellStyle name="Vírgula 3 2 3 4 2 3 3 2" xfId="9491" xr:uid="{00000000-0005-0000-0000-0000D9140000}"/>
    <cellStyle name="Vírgula 3 2 3 4 2 3 4" xfId="5205" xr:uid="{00000000-0005-0000-0000-0000DA140000}"/>
    <cellStyle name="Vírgula 3 2 3 4 2 3 4 2" xfId="11719" xr:uid="{00000000-0005-0000-0000-0000DB140000}"/>
    <cellStyle name="Vírgula 3 2 3 4 2 3 5" xfId="7435" xr:uid="{00000000-0005-0000-0000-0000DC140000}"/>
    <cellStyle name="Vírgula 3 2 3 4 2 4" xfId="1431" xr:uid="{00000000-0005-0000-0000-0000DD140000}"/>
    <cellStyle name="Vírgula 3 2 3 4 2 4 2" xfId="3489" xr:uid="{00000000-0005-0000-0000-0000DE140000}"/>
    <cellStyle name="Vírgula 3 2 3 4 2 4 2 2" xfId="10005" xr:uid="{00000000-0005-0000-0000-0000DF140000}"/>
    <cellStyle name="Vírgula 3 2 3 4 2 4 3" xfId="5719" xr:uid="{00000000-0005-0000-0000-0000E0140000}"/>
    <cellStyle name="Vírgula 3 2 3 4 2 4 3 2" xfId="12233" xr:uid="{00000000-0005-0000-0000-0000E1140000}"/>
    <cellStyle name="Vírgula 3 2 3 4 2 4 4" xfId="7949" xr:uid="{00000000-0005-0000-0000-0000E2140000}"/>
    <cellStyle name="Vírgula 3 2 3 4 2 5" xfId="2461" xr:uid="{00000000-0005-0000-0000-0000E3140000}"/>
    <cellStyle name="Vírgula 3 2 3 4 2 5 2" xfId="8977" xr:uid="{00000000-0005-0000-0000-0000E4140000}"/>
    <cellStyle name="Vírgula 3 2 3 4 2 6" xfId="4603" xr:uid="{00000000-0005-0000-0000-0000E5140000}"/>
    <cellStyle name="Vírgula 3 2 3 4 2 6 2" xfId="11117" xr:uid="{00000000-0005-0000-0000-0000E6140000}"/>
    <cellStyle name="Vírgula 3 2 3 4 2 7" xfId="6833" xr:uid="{00000000-0005-0000-0000-0000E7140000}"/>
    <cellStyle name="Vírgula 3 2 3 4 3" xfId="521" xr:uid="{00000000-0005-0000-0000-0000E8140000}"/>
    <cellStyle name="Vírgula 3 2 3 4 3 2" xfId="1045" xr:uid="{00000000-0005-0000-0000-0000E9140000}"/>
    <cellStyle name="Vírgula 3 2 3 4 3 2 2" xfId="2073" xr:uid="{00000000-0005-0000-0000-0000EA140000}"/>
    <cellStyle name="Vírgula 3 2 3 4 3 2 2 2" xfId="4131" xr:uid="{00000000-0005-0000-0000-0000EB140000}"/>
    <cellStyle name="Vírgula 3 2 3 4 3 2 2 2 2" xfId="10647" xr:uid="{00000000-0005-0000-0000-0000EC140000}"/>
    <cellStyle name="Vírgula 3 2 3 4 3 2 2 3" xfId="6361" xr:uid="{00000000-0005-0000-0000-0000ED140000}"/>
    <cellStyle name="Vírgula 3 2 3 4 3 2 2 3 2" xfId="12875" xr:uid="{00000000-0005-0000-0000-0000EE140000}"/>
    <cellStyle name="Vírgula 3 2 3 4 3 2 2 4" xfId="8591" xr:uid="{00000000-0005-0000-0000-0000EF140000}"/>
    <cellStyle name="Vírgula 3 2 3 4 3 2 3" xfId="3103" xr:uid="{00000000-0005-0000-0000-0000F0140000}"/>
    <cellStyle name="Vírgula 3 2 3 4 3 2 3 2" xfId="9619" xr:uid="{00000000-0005-0000-0000-0000F1140000}"/>
    <cellStyle name="Vírgula 3 2 3 4 3 2 4" xfId="5333" xr:uid="{00000000-0005-0000-0000-0000F2140000}"/>
    <cellStyle name="Vírgula 3 2 3 4 3 2 4 2" xfId="11847" xr:uid="{00000000-0005-0000-0000-0000F3140000}"/>
    <cellStyle name="Vírgula 3 2 3 4 3 2 5" xfId="7563" xr:uid="{00000000-0005-0000-0000-0000F4140000}"/>
    <cellStyle name="Vírgula 3 2 3 4 3 3" xfId="1559" xr:uid="{00000000-0005-0000-0000-0000F5140000}"/>
    <cellStyle name="Vírgula 3 2 3 4 3 3 2" xfId="3617" xr:uid="{00000000-0005-0000-0000-0000F6140000}"/>
    <cellStyle name="Vírgula 3 2 3 4 3 3 2 2" xfId="10133" xr:uid="{00000000-0005-0000-0000-0000F7140000}"/>
    <cellStyle name="Vírgula 3 2 3 4 3 3 3" xfId="5847" xr:uid="{00000000-0005-0000-0000-0000F8140000}"/>
    <cellStyle name="Vírgula 3 2 3 4 3 3 3 2" xfId="12361" xr:uid="{00000000-0005-0000-0000-0000F9140000}"/>
    <cellStyle name="Vírgula 3 2 3 4 3 3 4" xfId="8077" xr:uid="{00000000-0005-0000-0000-0000FA140000}"/>
    <cellStyle name="Vírgula 3 2 3 4 3 4" xfId="2589" xr:uid="{00000000-0005-0000-0000-0000FB140000}"/>
    <cellStyle name="Vírgula 3 2 3 4 3 4 2" xfId="9105" xr:uid="{00000000-0005-0000-0000-0000FC140000}"/>
    <cellStyle name="Vírgula 3 2 3 4 3 5" xfId="4817" xr:uid="{00000000-0005-0000-0000-0000FD140000}"/>
    <cellStyle name="Vírgula 3 2 3 4 3 5 2" xfId="11331" xr:uid="{00000000-0005-0000-0000-0000FE140000}"/>
    <cellStyle name="Vírgula 3 2 3 4 3 6" xfId="7047" xr:uid="{00000000-0005-0000-0000-0000FF140000}"/>
    <cellStyle name="Vírgula 3 2 3 4 4" xfId="789" xr:uid="{00000000-0005-0000-0000-000000150000}"/>
    <cellStyle name="Vírgula 3 2 3 4 4 2" xfId="1817" xr:uid="{00000000-0005-0000-0000-000001150000}"/>
    <cellStyle name="Vírgula 3 2 3 4 4 2 2" xfId="3875" xr:uid="{00000000-0005-0000-0000-000002150000}"/>
    <cellStyle name="Vírgula 3 2 3 4 4 2 2 2" xfId="10391" xr:uid="{00000000-0005-0000-0000-000003150000}"/>
    <cellStyle name="Vírgula 3 2 3 4 4 2 3" xfId="6105" xr:uid="{00000000-0005-0000-0000-000004150000}"/>
    <cellStyle name="Vírgula 3 2 3 4 4 2 3 2" xfId="12619" xr:uid="{00000000-0005-0000-0000-000005150000}"/>
    <cellStyle name="Vírgula 3 2 3 4 4 2 4" xfId="8335" xr:uid="{00000000-0005-0000-0000-000006150000}"/>
    <cellStyle name="Vírgula 3 2 3 4 4 3" xfId="2847" xr:uid="{00000000-0005-0000-0000-000007150000}"/>
    <cellStyle name="Vírgula 3 2 3 4 4 3 2" xfId="9363" xr:uid="{00000000-0005-0000-0000-000008150000}"/>
    <cellStyle name="Vírgula 3 2 3 4 4 4" xfId="5077" xr:uid="{00000000-0005-0000-0000-000009150000}"/>
    <cellStyle name="Vírgula 3 2 3 4 4 4 2" xfId="11591" xr:uid="{00000000-0005-0000-0000-00000A150000}"/>
    <cellStyle name="Vírgula 3 2 3 4 4 5" xfId="7307" xr:uid="{00000000-0005-0000-0000-00000B150000}"/>
    <cellStyle name="Vírgula 3 2 3 4 5" xfId="1303" xr:uid="{00000000-0005-0000-0000-00000C150000}"/>
    <cellStyle name="Vírgula 3 2 3 4 5 2" xfId="3361" xr:uid="{00000000-0005-0000-0000-00000D150000}"/>
    <cellStyle name="Vírgula 3 2 3 4 5 2 2" xfId="9877" xr:uid="{00000000-0005-0000-0000-00000E150000}"/>
    <cellStyle name="Vírgula 3 2 3 4 5 3" xfId="5591" xr:uid="{00000000-0005-0000-0000-00000F150000}"/>
    <cellStyle name="Vírgula 3 2 3 4 5 3 2" xfId="12105" xr:uid="{00000000-0005-0000-0000-000010150000}"/>
    <cellStyle name="Vírgula 3 2 3 4 5 4" xfId="7821" xr:uid="{00000000-0005-0000-0000-000011150000}"/>
    <cellStyle name="Vírgula 3 2 3 4 6" xfId="2333" xr:uid="{00000000-0005-0000-0000-000012150000}"/>
    <cellStyle name="Vírgula 3 2 3 4 6 2" xfId="8849" xr:uid="{00000000-0005-0000-0000-000013150000}"/>
    <cellStyle name="Vírgula 3 2 3 4 7" xfId="4475" xr:uid="{00000000-0005-0000-0000-000014150000}"/>
    <cellStyle name="Vírgula 3 2 3 4 7 2" xfId="10989" xr:uid="{00000000-0005-0000-0000-000015150000}"/>
    <cellStyle name="Vírgula 3 2 3 4 8" xfId="6705" xr:uid="{00000000-0005-0000-0000-000016150000}"/>
    <cellStyle name="Vírgula 3 2 3 5" xfId="242" xr:uid="{00000000-0005-0000-0000-000017150000}"/>
    <cellStyle name="Vírgula 3 2 3 5 2" xfId="585" xr:uid="{00000000-0005-0000-0000-000018150000}"/>
    <cellStyle name="Vírgula 3 2 3 5 2 2" xfId="1109" xr:uid="{00000000-0005-0000-0000-000019150000}"/>
    <cellStyle name="Vírgula 3 2 3 5 2 2 2" xfId="2137" xr:uid="{00000000-0005-0000-0000-00001A150000}"/>
    <cellStyle name="Vírgula 3 2 3 5 2 2 2 2" xfId="4195" xr:uid="{00000000-0005-0000-0000-00001B150000}"/>
    <cellStyle name="Vírgula 3 2 3 5 2 2 2 2 2" xfId="10711" xr:uid="{00000000-0005-0000-0000-00001C150000}"/>
    <cellStyle name="Vírgula 3 2 3 5 2 2 2 3" xfId="6425" xr:uid="{00000000-0005-0000-0000-00001D150000}"/>
    <cellStyle name="Vírgula 3 2 3 5 2 2 2 3 2" xfId="12939" xr:uid="{00000000-0005-0000-0000-00001E150000}"/>
    <cellStyle name="Vírgula 3 2 3 5 2 2 2 4" xfId="8655" xr:uid="{00000000-0005-0000-0000-00001F150000}"/>
    <cellStyle name="Vírgula 3 2 3 5 2 2 3" xfId="3167" xr:uid="{00000000-0005-0000-0000-000020150000}"/>
    <cellStyle name="Vírgula 3 2 3 5 2 2 3 2" xfId="9683" xr:uid="{00000000-0005-0000-0000-000021150000}"/>
    <cellStyle name="Vírgula 3 2 3 5 2 2 4" xfId="5397" xr:uid="{00000000-0005-0000-0000-000022150000}"/>
    <cellStyle name="Vírgula 3 2 3 5 2 2 4 2" xfId="11911" xr:uid="{00000000-0005-0000-0000-000023150000}"/>
    <cellStyle name="Vírgula 3 2 3 5 2 2 5" xfId="7627" xr:uid="{00000000-0005-0000-0000-000024150000}"/>
    <cellStyle name="Vírgula 3 2 3 5 2 3" xfId="1623" xr:uid="{00000000-0005-0000-0000-000025150000}"/>
    <cellStyle name="Vírgula 3 2 3 5 2 3 2" xfId="3681" xr:uid="{00000000-0005-0000-0000-000026150000}"/>
    <cellStyle name="Vírgula 3 2 3 5 2 3 2 2" xfId="10197" xr:uid="{00000000-0005-0000-0000-000027150000}"/>
    <cellStyle name="Vírgula 3 2 3 5 2 3 3" xfId="5911" xr:uid="{00000000-0005-0000-0000-000028150000}"/>
    <cellStyle name="Vírgula 3 2 3 5 2 3 3 2" xfId="12425" xr:uid="{00000000-0005-0000-0000-000029150000}"/>
    <cellStyle name="Vírgula 3 2 3 5 2 3 4" xfId="8141" xr:uid="{00000000-0005-0000-0000-00002A150000}"/>
    <cellStyle name="Vírgula 3 2 3 5 2 4" xfId="2653" xr:uid="{00000000-0005-0000-0000-00002B150000}"/>
    <cellStyle name="Vírgula 3 2 3 5 2 4 2" xfId="9169" xr:uid="{00000000-0005-0000-0000-00002C150000}"/>
    <cellStyle name="Vírgula 3 2 3 5 2 5" xfId="4881" xr:uid="{00000000-0005-0000-0000-00002D150000}"/>
    <cellStyle name="Vírgula 3 2 3 5 2 5 2" xfId="11395" xr:uid="{00000000-0005-0000-0000-00002E150000}"/>
    <cellStyle name="Vírgula 3 2 3 5 2 6" xfId="7111" xr:uid="{00000000-0005-0000-0000-00002F150000}"/>
    <cellStyle name="Vírgula 3 2 3 5 3" xfId="853" xr:uid="{00000000-0005-0000-0000-000030150000}"/>
    <cellStyle name="Vírgula 3 2 3 5 3 2" xfId="1881" xr:uid="{00000000-0005-0000-0000-000031150000}"/>
    <cellStyle name="Vírgula 3 2 3 5 3 2 2" xfId="3939" xr:uid="{00000000-0005-0000-0000-000032150000}"/>
    <cellStyle name="Vírgula 3 2 3 5 3 2 2 2" xfId="10455" xr:uid="{00000000-0005-0000-0000-000033150000}"/>
    <cellStyle name="Vírgula 3 2 3 5 3 2 3" xfId="6169" xr:uid="{00000000-0005-0000-0000-000034150000}"/>
    <cellStyle name="Vírgula 3 2 3 5 3 2 3 2" xfId="12683" xr:uid="{00000000-0005-0000-0000-000035150000}"/>
    <cellStyle name="Vírgula 3 2 3 5 3 2 4" xfId="8399" xr:uid="{00000000-0005-0000-0000-000036150000}"/>
    <cellStyle name="Vírgula 3 2 3 5 3 3" xfId="2911" xr:uid="{00000000-0005-0000-0000-000037150000}"/>
    <cellStyle name="Vírgula 3 2 3 5 3 3 2" xfId="9427" xr:uid="{00000000-0005-0000-0000-000038150000}"/>
    <cellStyle name="Vírgula 3 2 3 5 3 4" xfId="5141" xr:uid="{00000000-0005-0000-0000-000039150000}"/>
    <cellStyle name="Vírgula 3 2 3 5 3 4 2" xfId="11655" xr:uid="{00000000-0005-0000-0000-00003A150000}"/>
    <cellStyle name="Vírgula 3 2 3 5 3 5" xfId="7371" xr:uid="{00000000-0005-0000-0000-00003B150000}"/>
    <cellStyle name="Vírgula 3 2 3 5 4" xfId="1367" xr:uid="{00000000-0005-0000-0000-00003C150000}"/>
    <cellStyle name="Vírgula 3 2 3 5 4 2" xfId="3425" xr:uid="{00000000-0005-0000-0000-00003D150000}"/>
    <cellStyle name="Vírgula 3 2 3 5 4 2 2" xfId="9941" xr:uid="{00000000-0005-0000-0000-00003E150000}"/>
    <cellStyle name="Vírgula 3 2 3 5 4 3" xfId="5655" xr:uid="{00000000-0005-0000-0000-00003F150000}"/>
    <cellStyle name="Vírgula 3 2 3 5 4 3 2" xfId="12169" xr:uid="{00000000-0005-0000-0000-000040150000}"/>
    <cellStyle name="Vírgula 3 2 3 5 4 4" xfId="7885" xr:uid="{00000000-0005-0000-0000-000041150000}"/>
    <cellStyle name="Vírgula 3 2 3 5 5" xfId="2397" xr:uid="{00000000-0005-0000-0000-000042150000}"/>
    <cellStyle name="Vírgula 3 2 3 5 5 2" xfId="8913" xr:uid="{00000000-0005-0000-0000-000043150000}"/>
    <cellStyle name="Vírgula 3 2 3 5 6" xfId="4539" xr:uid="{00000000-0005-0000-0000-000044150000}"/>
    <cellStyle name="Vírgula 3 2 3 5 6 2" xfId="11053" xr:uid="{00000000-0005-0000-0000-000045150000}"/>
    <cellStyle name="Vírgula 3 2 3 5 7" xfId="6769" xr:uid="{00000000-0005-0000-0000-000046150000}"/>
    <cellStyle name="Vírgula 3 2 3 6" xfId="398" xr:uid="{00000000-0005-0000-0000-000047150000}"/>
    <cellStyle name="Vírgula 3 2 3 6 2" xfId="981" xr:uid="{00000000-0005-0000-0000-000048150000}"/>
    <cellStyle name="Vírgula 3 2 3 6 2 2" xfId="2009" xr:uid="{00000000-0005-0000-0000-000049150000}"/>
    <cellStyle name="Vírgula 3 2 3 6 2 2 2" xfId="4067" xr:uid="{00000000-0005-0000-0000-00004A150000}"/>
    <cellStyle name="Vírgula 3 2 3 6 2 2 2 2" xfId="10583" xr:uid="{00000000-0005-0000-0000-00004B150000}"/>
    <cellStyle name="Vírgula 3 2 3 6 2 2 3" xfId="6297" xr:uid="{00000000-0005-0000-0000-00004C150000}"/>
    <cellStyle name="Vírgula 3 2 3 6 2 2 3 2" xfId="12811" xr:uid="{00000000-0005-0000-0000-00004D150000}"/>
    <cellStyle name="Vírgula 3 2 3 6 2 2 4" xfId="8527" xr:uid="{00000000-0005-0000-0000-00004E150000}"/>
    <cellStyle name="Vírgula 3 2 3 6 2 3" xfId="3039" xr:uid="{00000000-0005-0000-0000-00004F150000}"/>
    <cellStyle name="Vírgula 3 2 3 6 2 3 2" xfId="9555" xr:uid="{00000000-0005-0000-0000-000050150000}"/>
    <cellStyle name="Vírgula 3 2 3 6 2 4" xfId="5269" xr:uid="{00000000-0005-0000-0000-000051150000}"/>
    <cellStyle name="Vírgula 3 2 3 6 2 4 2" xfId="11783" xr:uid="{00000000-0005-0000-0000-000052150000}"/>
    <cellStyle name="Vírgula 3 2 3 6 2 5" xfId="7499" xr:uid="{00000000-0005-0000-0000-000053150000}"/>
    <cellStyle name="Vírgula 3 2 3 6 3" xfId="1495" xr:uid="{00000000-0005-0000-0000-000054150000}"/>
    <cellStyle name="Vírgula 3 2 3 6 3 2" xfId="3553" xr:uid="{00000000-0005-0000-0000-000055150000}"/>
    <cellStyle name="Vírgula 3 2 3 6 3 2 2" xfId="10069" xr:uid="{00000000-0005-0000-0000-000056150000}"/>
    <cellStyle name="Vírgula 3 2 3 6 3 3" xfId="5783" xr:uid="{00000000-0005-0000-0000-000057150000}"/>
    <cellStyle name="Vírgula 3 2 3 6 3 3 2" xfId="12297" xr:uid="{00000000-0005-0000-0000-000058150000}"/>
    <cellStyle name="Vírgula 3 2 3 6 3 4" xfId="8013" xr:uid="{00000000-0005-0000-0000-000059150000}"/>
    <cellStyle name="Vírgula 3 2 3 6 4" xfId="2525" xr:uid="{00000000-0005-0000-0000-00005A150000}"/>
    <cellStyle name="Vírgula 3 2 3 6 4 2" xfId="9041" xr:uid="{00000000-0005-0000-0000-00005B150000}"/>
    <cellStyle name="Vírgula 3 2 3 6 5" xfId="4694" xr:uid="{00000000-0005-0000-0000-00005C150000}"/>
    <cellStyle name="Vírgula 3 2 3 6 5 2" xfId="11208" xr:uid="{00000000-0005-0000-0000-00005D150000}"/>
    <cellStyle name="Vírgula 3 2 3 6 6" xfId="6924" xr:uid="{00000000-0005-0000-0000-00005E150000}"/>
    <cellStyle name="Vírgula 3 2 3 7" xfId="725" xr:uid="{00000000-0005-0000-0000-00005F150000}"/>
    <cellStyle name="Vírgula 3 2 3 7 2" xfId="1753" xr:uid="{00000000-0005-0000-0000-000060150000}"/>
    <cellStyle name="Vírgula 3 2 3 7 2 2" xfId="3811" xr:uid="{00000000-0005-0000-0000-000061150000}"/>
    <cellStyle name="Vírgula 3 2 3 7 2 2 2" xfId="10327" xr:uid="{00000000-0005-0000-0000-000062150000}"/>
    <cellStyle name="Vírgula 3 2 3 7 2 3" xfId="6041" xr:uid="{00000000-0005-0000-0000-000063150000}"/>
    <cellStyle name="Vírgula 3 2 3 7 2 3 2" xfId="12555" xr:uid="{00000000-0005-0000-0000-000064150000}"/>
    <cellStyle name="Vírgula 3 2 3 7 2 4" xfId="8271" xr:uid="{00000000-0005-0000-0000-000065150000}"/>
    <cellStyle name="Vírgula 3 2 3 7 3" xfId="2783" xr:uid="{00000000-0005-0000-0000-000066150000}"/>
    <cellStyle name="Vírgula 3 2 3 7 3 2" xfId="9299" xr:uid="{00000000-0005-0000-0000-000067150000}"/>
    <cellStyle name="Vírgula 3 2 3 7 4" xfId="5013" xr:uid="{00000000-0005-0000-0000-000068150000}"/>
    <cellStyle name="Vírgula 3 2 3 7 4 2" xfId="11527" xr:uid="{00000000-0005-0000-0000-000069150000}"/>
    <cellStyle name="Vírgula 3 2 3 7 5" xfId="7243" xr:uid="{00000000-0005-0000-0000-00006A150000}"/>
    <cellStyle name="Vírgula 3 2 3 8" xfId="1239" xr:uid="{00000000-0005-0000-0000-00006B150000}"/>
    <cellStyle name="Vírgula 3 2 3 8 2" xfId="3297" xr:uid="{00000000-0005-0000-0000-00006C150000}"/>
    <cellStyle name="Vírgula 3 2 3 8 2 2" xfId="9813" xr:uid="{00000000-0005-0000-0000-00006D150000}"/>
    <cellStyle name="Vírgula 3 2 3 8 3" xfId="5527" xr:uid="{00000000-0005-0000-0000-00006E150000}"/>
    <cellStyle name="Vírgula 3 2 3 8 3 2" xfId="12041" xr:uid="{00000000-0005-0000-0000-00006F150000}"/>
    <cellStyle name="Vírgula 3 2 3 8 4" xfId="7757" xr:uid="{00000000-0005-0000-0000-000070150000}"/>
    <cellStyle name="Vírgula 3 2 3 9" xfId="2269" xr:uid="{00000000-0005-0000-0000-000071150000}"/>
    <cellStyle name="Vírgula 3 2 3 9 2" xfId="8785" xr:uid="{00000000-0005-0000-0000-000072150000}"/>
    <cellStyle name="Vírgula 3 2 4" xfId="65" xr:uid="{00000000-0005-0000-0000-000073150000}"/>
    <cellStyle name="Vírgula 3 2 4 10" xfId="6592" xr:uid="{00000000-0005-0000-0000-000074150000}"/>
    <cellStyle name="Vírgula 3 2 4 2" xfId="139" xr:uid="{00000000-0005-0000-0000-000075150000}"/>
    <cellStyle name="Vírgula 3 2 4 2 2" xfId="216" xr:uid="{00000000-0005-0000-0000-000076150000}"/>
    <cellStyle name="Vírgula 3 2 4 2 2 2" xfId="344" xr:uid="{00000000-0005-0000-0000-000077150000}"/>
    <cellStyle name="Vírgula 3 2 4 2 2 2 2" xfId="687" xr:uid="{00000000-0005-0000-0000-000078150000}"/>
    <cellStyle name="Vírgula 3 2 4 2 2 2 2 2" xfId="1211" xr:uid="{00000000-0005-0000-0000-000079150000}"/>
    <cellStyle name="Vírgula 3 2 4 2 2 2 2 2 2" xfId="2239" xr:uid="{00000000-0005-0000-0000-00007A150000}"/>
    <cellStyle name="Vírgula 3 2 4 2 2 2 2 2 2 2" xfId="4297" xr:uid="{00000000-0005-0000-0000-00007B150000}"/>
    <cellStyle name="Vírgula 3 2 4 2 2 2 2 2 2 2 2" xfId="10813" xr:uid="{00000000-0005-0000-0000-00007C150000}"/>
    <cellStyle name="Vírgula 3 2 4 2 2 2 2 2 2 3" xfId="6527" xr:uid="{00000000-0005-0000-0000-00007D150000}"/>
    <cellStyle name="Vírgula 3 2 4 2 2 2 2 2 2 3 2" xfId="13041" xr:uid="{00000000-0005-0000-0000-00007E150000}"/>
    <cellStyle name="Vírgula 3 2 4 2 2 2 2 2 2 4" xfId="8757" xr:uid="{00000000-0005-0000-0000-00007F150000}"/>
    <cellStyle name="Vírgula 3 2 4 2 2 2 2 2 3" xfId="3269" xr:uid="{00000000-0005-0000-0000-000080150000}"/>
    <cellStyle name="Vírgula 3 2 4 2 2 2 2 2 3 2" xfId="9785" xr:uid="{00000000-0005-0000-0000-000081150000}"/>
    <cellStyle name="Vírgula 3 2 4 2 2 2 2 2 4" xfId="5499" xr:uid="{00000000-0005-0000-0000-000082150000}"/>
    <cellStyle name="Vírgula 3 2 4 2 2 2 2 2 4 2" xfId="12013" xr:uid="{00000000-0005-0000-0000-000083150000}"/>
    <cellStyle name="Vírgula 3 2 4 2 2 2 2 2 5" xfId="7729" xr:uid="{00000000-0005-0000-0000-000084150000}"/>
    <cellStyle name="Vírgula 3 2 4 2 2 2 2 3" xfId="1725" xr:uid="{00000000-0005-0000-0000-000085150000}"/>
    <cellStyle name="Vírgula 3 2 4 2 2 2 2 3 2" xfId="3783" xr:uid="{00000000-0005-0000-0000-000086150000}"/>
    <cellStyle name="Vírgula 3 2 4 2 2 2 2 3 2 2" xfId="10299" xr:uid="{00000000-0005-0000-0000-000087150000}"/>
    <cellStyle name="Vírgula 3 2 4 2 2 2 2 3 3" xfId="6013" xr:uid="{00000000-0005-0000-0000-000088150000}"/>
    <cellStyle name="Vírgula 3 2 4 2 2 2 2 3 3 2" xfId="12527" xr:uid="{00000000-0005-0000-0000-000089150000}"/>
    <cellStyle name="Vírgula 3 2 4 2 2 2 2 3 4" xfId="8243" xr:uid="{00000000-0005-0000-0000-00008A150000}"/>
    <cellStyle name="Vírgula 3 2 4 2 2 2 2 4" xfId="2755" xr:uid="{00000000-0005-0000-0000-00008B150000}"/>
    <cellStyle name="Vírgula 3 2 4 2 2 2 2 4 2" xfId="9271" xr:uid="{00000000-0005-0000-0000-00008C150000}"/>
    <cellStyle name="Vírgula 3 2 4 2 2 2 2 5" xfId="4983" xr:uid="{00000000-0005-0000-0000-00008D150000}"/>
    <cellStyle name="Vírgula 3 2 4 2 2 2 2 5 2" xfId="11497" xr:uid="{00000000-0005-0000-0000-00008E150000}"/>
    <cellStyle name="Vírgula 3 2 4 2 2 2 2 6" xfId="7213" xr:uid="{00000000-0005-0000-0000-00008F150000}"/>
    <cellStyle name="Vírgula 3 2 4 2 2 2 3" xfId="955" xr:uid="{00000000-0005-0000-0000-000090150000}"/>
    <cellStyle name="Vírgula 3 2 4 2 2 2 3 2" xfId="1983" xr:uid="{00000000-0005-0000-0000-000091150000}"/>
    <cellStyle name="Vírgula 3 2 4 2 2 2 3 2 2" xfId="4041" xr:uid="{00000000-0005-0000-0000-000092150000}"/>
    <cellStyle name="Vírgula 3 2 4 2 2 2 3 2 2 2" xfId="10557" xr:uid="{00000000-0005-0000-0000-000093150000}"/>
    <cellStyle name="Vírgula 3 2 4 2 2 2 3 2 3" xfId="6271" xr:uid="{00000000-0005-0000-0000-000094150000}"/>
    <cellStyle name="Vírgula 3 2 4 2 2 2 3 2 3 2" xfId="12785" xr:uid="{00000000-0005-0000-0000-000095150000}"/>
    <cellStyle name="Vírgula 3 2 4 2 2 2 3 2 4" xfId="8501" xr:uid="{00000000-0005-0000-0000-000096150000}"/>
    <cellStyle name="Vírgula 3 2 4 2 2 2 3 3" xfId="3013" xr:uid="{00000000-0005-0000-0000-000097150000}"/>
    <cellStyle name="Vírgula 3 2 4 2 2 2 3 3 2" xfId="9529" xr:uid="{00000000-0005-0000-0000-000098150000}"/>
    <cellStyle name="Vírgula 3 2 4 2 2 2 3 4" xfId="5243" xr:uid="{00000000-0005-0000-0000-000099150000}"/>
    <cellStyle name="Vírgula 3 2 4 2 2 2 3 4 2" xfId="11757" xr:uid="{00000000-0005-0000-0000-00009A150000}"/>
    <cellStyle name="Vírgula 3 2 4 2 2 2 3 5" xfId="7473" xr:uid="{00000000-0005-0000-0000-00009B150000}"/>
    <cellStyle name="Vírgula 3 2 4 2 2 2 4" xfId="1469" xr:uid="{00000000-0005-0000-0000-00009C150000}"/>
    <cellStyle name="Vírgula 3 2 4 2 2 2 4 2" xfId="3527" xr:uid="{00000000-0005-0000-0000-00009D150000}"/>
    <cellStyle name="Vírgula 3 2 4 2 2 2 4 2 2" xfId="10043" xr:uid="{00000000-0005-0000-0000-00009E150000}"/>
    <cellStyle name="Vírgula 3 2 4 2 2 2 4 3" xfId="5757" xr:uid="{00000000-0005-0000-0000-00009F150000}"/>
    <cellStyle name="Vírgula 3 2 4 2 2 2 4 3 2" xfId="12271" xr:uid="{00000000-0005-0000-0000-0000A0150000}"/>
    <cellStyle name="Vírgula 3 2 4 2 2 2 4 4" xfId="7987" xr:uid="{00000000-0005-0000-0000-0000A1150000}"/>
    <cellStyle name="Vírgula 3 2 4 2 2 2 5" xfId="2499" xr:uid="{00000000-0005-0000-0000-0000A2150000}"/>
    <cellStyle name="Vírgula 3 2 4 2 2 2 5 2" xfId="9015" xr:uid="{00000000-0005-0000-0000-0000A3150000}"/>
    <cellStyle name="Vírgula 3 2 4 2 2 2 6" xfId="4641" xr:uid="{00000000-0005-0000-0000-0000A4150000}"/>
    <cellStyle name="Vírgula 3 2 4 2 2 2 6 2" xfId="11155" xr:uid="{00000000-0005-0000-0000-0000A5150000}"/>
    <cellStyle name="Vírgula 3 2 4 2 2 2 7" xfId="6871" xr:uid="{00000000-0005-0000-0000-0000A6150000}"/>
    <cellStyle name="Vírgula 3 2 4 2 2 3" xfId="559" xr:uid="{00000000-0005-0000-0000-0000A7150000}"/>
    <cellStyle name="Vírgula 3 2 4 2 2 3 2" xfId="1083" xr:uid="{00000000-0005-0000-0000-0000A8150000}"/>
    <cellStyle name="Vírgula 3 2 4 2 2 3 2 2" xfId="2111" xr:uid="{00000000-0005-0000-0000-0000A9150000}"/>
    <cellStyle name="Vírgula 3 2 4 2 2 3 2 2 2" xfId="4169" xr:uid="{00000000-0005-0000-0000-0000AA150000}"/>
    <cellStyle name="Vírgula 3 2 4 2 2 3 2 2 2 2" xfId="10685" xr:uid="{00000000-0005-0000-0000-0000AB150000}"/>
    <cellStyle name="Vírgula 3 2 4 2 2 3 2 2 3" xfId="6399" xr:uid="{00000000-0005-0000-0000-0000AC150000}"/>
    <cellStyle name="Vírgula 3 2 4 2 2 3 2 2 3 2" xfId="12913" xr:uid="{00000000-0005-0000-0000-0000AD150000}"/>
    <cellStyle name="Vírgula 3 2 4 2 2 3 2 2 4" xfId="8629" xr:uid="{00000000-0005-0000-0000-0000AE150000}"/>
    <cellStyle name="Vírgula 3 2 4 2 2 3 2 3" xfId="3141" xr:uid="{00000000-0005-0000-0000-0000AF150000}"/>
    <cellStyle name="Vírgula 3 2 4 2 2 3 2 3 2" xfId="9657" xr:uid="{00000000-0005-0000-0000-0000B0150000}"/>
    <cellStyle name="Vírgula 3 2 4 2 2 3 2 4" xfId="5371" xr:uid="{00000000-0005-0000-0000-0000B1150000}"/>
    <cellStyle name="Vírgula 3 2 4 2 2 3 2 4 2" xfId="11885" xr:uid="{00000000-0005-0000-0000-0000B2150000}"/>
    <cellStyle name="Vírgula 3 2 4 2 2 3 2 5" xfId="7601" xr:uid="{00000000-0005-0000-0000-0000B3150000}"/>
    <cellStyle name="Vírgula 3 2 4 2 2 3 3" xfId="1597" xr:uid="{00000000-0005-0000-0000-0000B4150000}"/>
    <cellStyle name="Vírgula 3 2 4 2 2 3 3 2" xfId="3655" xr:uid="{00000000-0005-0000-0000-0000B5150000}"/>
    <cellStyle name="Vírgula 3 2 4 2 2 3 3 2 2" xfId="10171" xr:uid="{00000000-0005-0000-0000-0000B6150000}"/>
    <cellStyle name="Vírgula 3 2 4 2 2 3 3 3" xfId="5885" xr:uid="{00000000-0005-0000-0000-0000B7150000}"/>
    <cellStyle name="Vírgula 3 2 4 2 2 3 3 3 2" xfId="12399" xr:uid="{00000000-0005-0000-0000-0000B8150000}"/>
    <cellStyle name="Vírgula 3 2 4 2 2 3 3 4" xfId="8115" xr:uid="{00000000-0005-0000-0000-0000B9150000}"/>
    <cellStyle name="Vírgula 3 2 4 2 2 3 4" xfId="2627" xr:uid="{00000000-0005-0000-0000-0000BA150000}"/>
    <cellStyle name="Vírgula 3 2 4 2 2 3 4 2" xfId="9143" xr:uid="{00000000-0005-0000-0000-0000BB150000}"/>
    <cellStyle name="Vírgula 3 2 4 2 2 3 5" xfId="4855" xr:uid="{00000000-0005-0000-0000-0000BC150000}"/>
    <cellStyle name="Vírgula 3 2 4 2 2 3 5 2" xfId="11369" xr:uid="{00000000-0005-0000-0000-0000BD150000}"/>
    <cellStyle name="Vírgula 3 2 4 2 2 3 6" xfId="7085" xr:uid="{00000000-0005-0000-0000-0000BE150000}"/>
    <cellStyle name="Vírgula 3 2 4 2 2 4" xfId="827" xr:uid="{00000000-0005-0000-0000-0000BF150000}"/>
    <cellStyle name="Vírgula 3 2 4 2 2 4 2" xfId="1855" xr:uid="{00000000-0005-0000-0000-0000C0150000}"/>
    <cellStyle name="Vírgula 3 2 4 2 2 4 2 2" xfId="3913" xr:uid="{00000000-0005-0000-0000-0000C1150000}"/>
    <cellStyle name="Vírgula 3 2 4 2 2 4 2 2 2" xfId="10429" xr:uid="{00000000-0005-0000-0000-0000C2150000}"/>
    <cellStyle name="Vírgula 3 2 4 2 2 4 2 3" xfId="6143" xr:uid="{00000000-0005-0000-0000-0000C3150000}"/>
    <cellStyle name="Vírgula 3 2 4 2 2 4 2 3 2" xfId="12657" xr:uid="{00000000-0005-0000-0000-0000C4150000}"/>
    <cellStyle name="Vírgula 3 2 4 2 2 4 2 4" xfId="8373" xr:uid="{00000000-0005-0000-0000-0000C5150000}"/>
    <cellStyle name="Vírgula 3 2 4 2 2 4 3" xfId="2885" xr:uid="{00000000-0005-0000-0000-0000C6150000}"/>
    <cellStyle name="Vírgula 3 2 4 2 2 4 3 2" xfId="9401" xr:uid="{00000000-0005-0000-0000-0000C7150000}"/>
    <cellStyle name="Vírgula 3 2 4 2 2 4 4" xfId="5115" xr:uid="{00000000-0005-0000-0000-0000C8150000}"/>
    <cellStyle name="Vírgula 3 2 4 2 2 4 4 2" xfId="11629" xr:uid="{00000000-0005-0000-0000-0000C9150000}"/>
    <cellStyle name="Vírgula 3 2 4 2 2 4 5" xfId="7345" xr:uid="{00000000-0005-0000-0000-0000CA150000}"/>
    <cellStyle name="Vírgula 3 2 4 2 2 5" xfId="1341" xr:uid="{00000000-0005-0000-0000-0000CB150000}"/>
    <cellStyle name="Vírgula 3 2 4 2 2 5 2" xfId="3399" xr:uid="{00000000-0005-0000-0000-0000CC150000}"/>
    <cellStyle name="Vírgula 3 2 4 2 2 5 2 2" xfId="9915" xr:uid="{00000000-0005-0000-0000-0000CD150000}"/>
    <cellStyle name="Vírgula 3 2 4 2 2 5 3" xfId="5629" xr:uid="{00000000-0005-0000-0000-0000CE150000}"/>
    <cellStyle name="Vírgula 3 2 4 2 2 5 3 2" xfId="12143" xr:uid="{00000000-0005-0000-0000-0000CF150000}"/>
    <cellStyle name="Vírgula 3 2 4 2 2 5 4" xfId="7859" xr:uid="{00000000-0005-0000-0000-0000D0150000}"/>
    <cellStyle name="Vírgula 3 2 4 2 2 6" xfId="2371" xr:uid="{00000000-0005-0000-0000-0000D1150000}"/>
    <cellStyle name="Vírgula 3 2 4 2 2 6 2" xfId="8887" xr:uid="{00000000-0005-0000-0000-0000D2150000}"/>
    <cellStyle name="Vírgula 3 2 4 2 2 7" xfId="4513" xr:uid="{00000000-0005-0000-0000-0000D3150000}"/>
    <cellStyle name="Vírgula 3 2 4 2 2 7 2" xfId="11027" xr:uid="{00000000-0005-0000-0000-0000D4150000}"/>
    <cellStyle name="Vírgula 3 2 4 2 2 8" xfId="6743" xr:uid="{00000000-0005-0000-0000-0000D5150000}"/>
    <cellStyle name="Vírgula 3 2 4 2 3" xfId="280" xr:uid="{00000000-0005-0000-0000-0000D6150000}"/>
    <cellStyle name="Vírgula 3 2 4 2 3 2" xfId="623" xr:uid="{00000000-0005-0000-0000-0000D7150000}"/>
    <cellStyle name="Vírgula 3 2 4 2 3 2 2" xfId="1147" xr:uid="{00000000-0005-0000-0000-0000D8150000}"/>
    <cellStyle name="Vírgula 3 2 4 2 3 2 2 2" xfId="2175" xr:uid="{00000000-0005-0000-0000-0000D9150000}"/>
    <cellStyle name="Vírgula 3 2 4 2 3 2 2 2 2" xfId="4233" xr:uid="{00000000-0005-0000-0000-0000DA150000}"/>
    <cellStyle name="Vírgula 3 2 4 2 3 2 2 2 2 2" xfId="10749" xr:uid="{00000000-0005-0000-0000-0000DB150000}"/>
    <cellStyle name="Vírgula 3 2 4 2 3 2 2 2 3" xfId="6463" xr:uid="{00000000-0005-0000-0000-0000DC150000}"/>
    <cellStyle name="Vírgula 3 2 4 2 3 2 2 2 3 2" xfId="12977" xr:uid="{00000000-0005-0000-0000-0000DD150000}"/>
    <cellStyle name="Vírgula 3 2 4 2 3 2 2 2 4" xfId="8693" xr:uid="{00000000-0005-0000-0000-0000DE150000}"/>
    <cellStyle name="Vírgula 3 2 4 2 3 2 2 3" xfId="3205" xr:uid="{00000000-0005-0000-0000-0000DF150000}"/>
    <cellStyle name="Vírgula 3 2 4 2 3 2 2 3 2" xfId="9721" xr:uid="{00000000-0005-0000-0000-0000E0150000}"/>
    <cellStyle name="Vírgula 3 2 4 2 3 2 2 4" xfId="5435" xr:uid="{00000000-0005-0000-0000-0000E1150000}"/>
    <cellStyle name="Vírgula 3 2 4 2 3 2 2 4 2" xfId="11949" xr:uid="{00000000-0005-0000-0000-0000E2150000}"/>
    <cellStyle name="Vírgula 3 2 4 2 3 2 2 5" xfId="7665" xr:uid="{00000000-0005-0000-0000-0000E3150000}"/>
    <cellStyle name="Vírgula 3 2 4 2 3 2 3" xfId="1661" xr:uid="{00000000-0005-0000-0000-0000E4150000}"/>
    <cellStyle name="Vírgula 3 2 4 2 3 2 3 2" xfId="3719" xr:uid="{00000000-0005-0000-0000-0000E5150000}"/>
    <cellStyle name="Vírgula 3 2 4 2 3 2 3 2 2" xfId="10235" xr:uid="{00000000-0005-0000-0000-0000E6150000}"/>
    <cellStyle name="Vírgula 3 2 4 2 3 2 3 3" xfId="5949" xr:uid="{00000000-0005-0000-0000-0000E7150000}"/>
    <cellStyle name="Vírgula 3 2 4 2 3 2 3 3 2" xfId="12463" xr:uid="{00000000-0005-0000-0000-0000E8150000}"/>
    <cellStyle name="Vírgula 3 2 4 2 3 2 3 4" xfId="8179" xr:uid="{00000000-0005-0000-0000-0000E9150000}"/>
    <cellStyle name="Vírgula 3 2 4 2 3 2 4" xfId="2691" xr:uid="{00000000-0005-0000-0000-0000EA150000}"/>
    <cellStyle name="Vírgula 3 2 4 2 3 2 4 2" xfId="9207" xr:uid="{00000000-0005-0000-0000-0000EB150000}"/>
    <cellStyle name="Vírgula 3 2 4 2 3 2 5" xfId="4919" xr:uid="{00000000-0005-0000-0000-0000EC150000}"/>
    <cellStyle name="Vírgula 3 2 4 2 3 2 5 2" xfId="11433" xr:uid="{00000000-0005-0000-0000-0000ED150000}"/>
    <cellStyle name="Vírgula 3 2 4 2 3 2 6" xfId="7149" xr:uid="{00000000-0005-0000-0000-0000EE150000}"/>
    <cellStyle name="Vírgula 3 2 4 2 3 3" xfId="891" xr:uid="{00000000-0005-0000-0000-0000EF150000}"/>
    <cellStyle name="Vírgula 3 2 4 2 3 3 2" xfId="1919" xr:uid="{00000000-0005-0000-0000-0000F0150000}"/>
    <cellStyle name="Vírgula 3 2 4 2 3 3 2 2" xfId="3977" xr:uid="{00000000-0005-0000-0000-0000F1150000}"/>
    <cellStyle name="Vírgula 3 2 4 2 3 3 2 2 2" xfId="10493" xr:uid="{00000000-0005-0000-0000-0000F2150000}"/>
    <cellStyle name="Vírgula 3 2 4 2 3 3 2 3" xfId="6207" xr:uid="{00000000-0005-0000-0000-0000F3150000}"/>
    <cellStyle name="Vírgula 3 2 4 2 3 3 2 3 2" xfId="12721" xr:uid="{00000000-0005-0000-0000-0000F4150000}"/>
    <cellStyle name="Vírgula 3 2 4 2 3 3 2 4" xfId="8437" xr:uid="{00000000-0005-0000-0000-0000F5150000}"/>
    <cellStyle name="Vírgula 3 2 4 2 3 3 3" xfId="2949" xr:uid="{00000000-0005-0000-0000-0000F6150000}"/>
    <cellStyle name="Vírgula 3 2 4 2 3 3 3 2" xfId="9465" xr:uid="{00000000-0005-0000-0000-0000F7150000}"/>
    <cellStyle name="Vírgula 3 2 4 2 3 3 4" xfId="5179" xr:uid="{00000000-0005-0000-0000-0000F8150000}"/>
    <cellStyle name="Vírgula 3 2 4 2 3 3 4 2" xfId="11693" xr:uid="{00000000-0005-0000-0000-0000F9150000}"/>
    <cellStyle name="Vírgula 3 2 4 2 3 3 5" xfId="7409" xr:uid="{00000000-0005-0000-0000-0000FA150000}"/>
    <cellStyle name="Vírgula 3 2 4 2 3 4" xfId="1405" xr:uid="{00000000-0005-0000-0000-0000FB150000}"/>
    <cellStyle name="Vírgula 3 2 4 2 3 4 2" xfId="3463" xr:uid="{00000000-0005-0000-0000-0000FC150000}"/>
    <cellStyle name="Vírgula 3 2 4 2 3 4 2 2" xfId="9979" xr:uid="{00000000-0005-0000-0000-0000FD150000}"/>
    <cellStyle name="Vírgula 3 2 4 2 3 4 3" xfId="5693" xr:uid="{00000000-0005-0000-0000-0000FE150000}"/>
    <cellStyle name="Vírgula 3 2 4 2 3 4 3 2" xfId="12207" xr:uid="{00000000-0005-0000-0000-0000FF150000}"/>
    <cellStyle name="Vírgula 3 2 4 2 3 4 4" xfId="7923" xr:uid="{00000000-0005-0000-0000-000000160000}"/>
    <cellStyle name="Vírgula 3 2 4 2 3 5" xfId="2435" xr:uid="{00000000-0005-0000-0000-000001160000}"/>
    <cellStyle name="Vírgula 3 2 4 2 3 5 2" xfId="8951" xr:uid="{00000000-0005-0000-0000-000002160000}"/>
    <cellStyle name="Vírgula 3 2 4 2 3 6" xfId="4577" xr:uid="{00000000-0005-0000-0000-000003160000}"/>
    <cellStyle name="Vírgula 3 2 4 2 3 6 2" xfId="11091" xr:uid="{00000000-0005-0000-0000-000004160000}"/>
    <cellStyle name="Vírgula 3 2 4 2 3 7" xfId="6807" xr:uid="{00000000-0005-0000-0000-000005160000}"/>
    <cellStyle name="Vírgula 3 2 4 2 4" xfId="482" xr:uid="{00000000-0005-0000-0000-000006160000}"/>
    <cellStyle name="Vírgula 3 2 4 2 4 2" xfId="1019" xr:uid="{00000000-0005-0000-0000-000007160000}"/>
    <cellStyle name="Vírgula 3 2 4 2 4 2 2" xfId="2047" xr:uid="{00000000-0005-0000-0000-000008160000}"/>
    <cellStyle name="Vírgula 3 2 4 2 4 2 2 2" xfId="4105" xr:uid="{00000000-0005-0000-0000-000009160000}"/>
    <cellStyle name="Vírgula 3 2 4 2 4 2 2 2 2" xfId="10621" xr:uid="{00000000-0005-0000-0000-00000A160000}"/>
    <cellStyle name="Vírgula 3 2 4 2 4 2 2 3" xfId="6335" xr:uid="{00000000-0005-0000-0000-00000B160000}"/>
    <cellStyle name="Vírgula 3 2 4 2 4 2 2 3 2" xfId="12849" xr:uid="{00000000-0005-0000-0000-00000C160000}"/>
    <cellStyle name="Vírgula 3 2 4 2 4 2 2 4" xfId="8565" xr:uid="{00000000-0005-0000-0000-00000D160000}"/>
    <cellStyle name="Vírgula 3 2 4 2 4 2 3" xfId="3077" xr:uid="{00000000-0005-0000-0000-00000E160000}"/>
    <cellStyle name="Vírgula 3 2 4 2 4 2 3 2" xfId="9593" xr:uid="{00000000-0005-0000-0000-00000F160000}"/>
    <cellStyle name="Vírgula 3 2 4 2 4 2 4" xfId="5307" xr:uid="{00000000-0005-0000-0000-000010160000}"/>
    <cellStyle name="Vírgula 3 2 4 2 4 2 4 2" xfId="11821" xr:uid="{00000000-0005-0000-0000-000011160000}"/>
    <cellStyle name="Vírgula 3 2 4 2 4 2 5" xfId="7537" xr:uid="{00000000-0005-0000-0000-000012160000}"/>
    <cellStyle name="Vírgula 3 2 4 2 4 3" xfId="1533" xr:uid="{00000000-0005-0000-0000-000013160000}"/>
    <cellStyle name="Vírgula 3 2 4 2 4 3 2" xfId="3591" xr:uid="{00000000-0005-0000-0000-000014160000}"/>
    <cellStyle name="Vírgula 3 2 4 2 4 3 2 2" xfId="10107" xr:uid="{00000000-0005-0000-0000-000015160000}"/>
    <cellStyle name="Vírgula 3 2 4 2 4 3 3" xfId="5821" xr:uid="{00000000-0005-0000-0000-000016160000}"/>
    <cellStyle name="Vírgula 3 2 4 2 4 3 3 2" xfId="12335" xr:uid="{00000000-0005-0000-0000-000017160000}"/>
    <cellStyle name="Vírgula 3 2 4 2 4 3 4" xfId="8051" xr:uid="{00000000-0005-0000-0000-000018160000}"/>
    <cellStyle name="Vírgula 3 2 4 2 4 4" xfId="2563" xr:uid="{00000000-0005-0000-0000-000019160000}"/>
    <cellStyle name="Vírgula 3 2 4 2 4 4 2" xfId="9079" xr:uid="{00000000-0005-0000-0000-00001A160000}"/>
    <cellStyle name="Vírgula 3 2 4 2 4 5" xfId="4778" xr:uid="{00000000-0005-0000-0000-00001B160000}"/>
    <cellStyle name="Vírgula 3 2 4 2 4 5 2" xfId="11292" xr:uid="{00000000-0005-0000-0000-00001C160000}"/>
    <cellStyle name="Vírgula 3 2 4 2 4 6" xfId="7008" xr:uid="{00000000-0005-0000-0000-00001D160000}"/>
    <cellStyle name="Vírgula 3 2 4 2 5" xfId="763" xr:uid="{00000000-0005-0000-0000-00001E160000}"/>
    <cellStyle name="Vírgula 3 2 4 2 5 2" xfId="1791" xr:uid="{00000000-0005-0000-0000-00001F160000}"/>
    <cellStyle name="Vírgula 3 2 4 2 5 2 2" xfId="3849" xr:uid="{00000000-0005-0000-0000-000020160000}"/>
    <cellStyle name="Vírgula 3 2 4 2 5 2 2 2" xfId="10365" xr:uid="{00000000-0005-0000-0000-000021160000}"/>
    <cellStyle name="Vírgula 3 2 4 2 5 2 3" xfId="6079" xr:uid="{00000000-0005-0000-0000-000022160000}"/>
    <cellStyle name="Vírgula 3 2 4 2 5 2 3 2" xfId="12593" xr:uid="{00000000-0005-0000-0000-000023160000}"/>
    <cellStyle name="Vírgula 3 2 4 2 5 2 4" xfId="8309" xr:uid="{00000000-0005-0000-0000-000024160000}"/>
    <cellStyle name="Vírgula 3 2 4 2 5 3" xfId="2821" xr:uid="{00000000-0005-0000-0000-000025160000}"/>
    <cellStyle name="Vírgula 3 2 4 2 5 3 2" xfId="9337" xr:uid="{00000000-0005-0000-0000-000026160000}"/>
    <cellStyle name="Vírgula 3 2 4 2 5 4" xfId="5051" xr:uid="{00000000-0005-0000-0000-000027160000}"/>
    <cellStyle name="Vírgula 3 2 4 2 5 4 2" xfId="11565" xr:uid="{00000000-0005-0000-0000-000028160000}"/>
    <cellStyle name="Vírgula 3 2 4 2 5 5" xfId="7281" xr:uid="{00000000-0005-0000-0000-000029160000}"/>
    <cellStyle name="Vírgula 3 2 4 2 6" xfId="1277" xr:uid="{00000000-0005-0000-0000-00002A160000}"/>
    <cellStyle name="Vírgula 3 2 4 2 6 2" xfId="3335" xr:uid="{00000000-0005-0000-0000-00002B160000}"/>
    <cellStyle name="Vírgula 3 2 4 2 6 2 2" xfId="9851" xr:uid="{00000000-0005-0000-0000-00002C160000}"/>
    <cellStyle name="Vírgula 3 2 4 2 6 3" xfId="5565" xr:uid="{00000000-0005-0000-0000-00002D160000}"/>
    <cellStyle name="Vírgula 3 2 4 2 6 3 2" xfId="12079" xr:uid="{00000000-0005-0000-0000-00002E160000}"/>
    <cellStyle name="Vírgula 3 2 4 2 6 4" xfId="7795" xr:uid="{00000000-0005-0000-0000-00002F160000}"/>
    <cellStyle name="Vírgula 3 2 4 2 7" xfId="2307" xr:uid="{00000000-0005-0000-0000-000030160000}"/>
    <cellStyle name="Vírgula 3 2 4 2 7 2" xfId="8823" xr:uid="{00000000-0005-0000-0000-000031160000}"/>
    <cellStyle name="Vírgula 3 2 4 2 8" xfId="4436" xr:uid="{00000000-0005-0000-0000-000032160000}"/>
    <cellStyle name="Vírgula 3 2 4 2 8 2" xfId="10950" xr:uid="{00000000-0005-0000-0000-000033160000}"/>
    <cellStyle name="Vírgula 3 2 4 2 9" xfId="6666" xr:uid="{00000000-0005-0000-0000-000034160000}"/>
    <cellStyle name="Vírgula 3 2 4 3" xfId="184" xr:uid="{00000000-0005-0000-0000-000035160000}"/>
    <cellStyle name="Vírgula 3 2 4 3 2" xfId="312" xr:uid="{00000000-0005-0000-0000-000036160000}"/>
    <cellStyle name="Vírgula 3 2 4 3 2 2" xfId="655" xr:uid="{00000000-0005-0000-0000-000037160000}"/>
    <cellStyle name="Vírgula 3 2 4 3 2 2 2" xfId="1179" xr:uid="{00000000-0005-0000-0000-000038160000}"/>
    <cellStyle name="Vírgula 3 2 4 3 2 2 2 2" xfId="2207" xr:uid="{00000000-0005-0000-0000-000039160000}"/>
    <cellStyle name="Vírgula 3 2 4 3 2 2 2 2 2" xfId="4265" xr:uid="{00000000-0005-0000-0000-00003A160000}"/>
    <cellStyle name="Vírgula 3 2 4 3 2 2 2 2 2 2" xfId="10781" xr:uid="{00000000-0005-0000-0000-00003B160000}"/>
    <cellStyle name="Vírgula 3 2 4 3 2 2 2 2 3" xfId="6495" xr:uid="{00000000-0005-0000-0000-00003C160000}"/>
    <cellStyle name="Vírgula 3 2 4 3 2 2 2 2 3 2" xfId="13009" xr:uid="{00000000-0005-0000-0000-00003D160000}"/>
    <cellStyle name="Vírgula 3 2 4 3 2 2 2 2 4" xfId="8725" xr:uid="{00000000-0005-0000-0000-00003E160000}"/>
    <cellStyle name="Vírgula 3 2 4 3 2 2 2 3" xfId="3237" xr:uid="{00000000-0005-0000-0000-00003F160000}"/>
    <cellStyle name="Vírgula 3 2 4 3 2 2 2 3 2" xfId="9753" xr:uid="{00000000-0005-0000-0000-000040160000}"/>
    <cellStyle name="Vírgula 3 2 4 3 2 2 2 4" xfId="5467" xr:uid="{00000000-0005-0000-0000-000041160000}"/>
    <cellStyle name="Vírgula 3 2 4 3 2 2 2 4 2" xfId="11981" xr:uid="{00000000-0005-0000-0000-000042160000}"/>
    <cellStyle name="Vírgula 3 2 4 3 2 2 2 5" xfId="7697" xr:uid="{00000000-0005-0000-0000-000043160000}"/>
    <cellStyle name="Vírgula 3 2 4 3 2 2 3" xfId="1693" xr:uid="{00000000-0005-0000-0000-000044160000}"/>
    <cellStyle name="Vírgula 3 2 4 3 2 2 3 2" xfId="3751" xr:uid="{00000000-0005-0000-0000-000045160000}"/>
    <cellStyle name="Vírgula 3 2 4 3 2 2 3 2 2" xfId="10267" xr:uid="{00000000-0005-0000-0000-000046160000}"/>
    <cellStyle name="Vírgula 3 2 4 3 2 2 3 3" xfId="5981" xr:uid="{00000000-0005-0000-0000-000047160000}"/>
    <cellStyle name="Vírgula 3 2 4 3 2 2 3 3 2" xfId="12495" xr:uid="{00000000-0005-0000-0000-000048160000}"/>
    <cellStyle name="Vírgula 3 2 4 3 2 2 3 4" xfId="8211" xr:uid="{00000000-0005-0000-0000-000049160000}"/>
    <cellStyle name="Vírgula 3 2 4 3 2 2 4" xfId="2723" xr:uid="{00000000-0005-0000-0000-00004A160000}"/>
    <cellStyle name="Vírgula 3 2 4 3 2 2 4 2" xfId="9239" xr:uid="{00000000-0005-0000-0000-00004B160000}"/>
    <cellStyle name="Vírgula 3 2 4 3 2 2 5" xfId="4951" xr:uid="{00000000-0005-0000-0000-00004C160000}"/>
    <cellStyle name="Vírgula 3 2 4 3 2 2 5 2" xfId="11465" xr:uid="{00000000-0005-0000-0000-00004D160000}"/>
    <cellStyle name="Vírgula 3 2 4 3 2 2 6" xfId="7181" xr:uid="{00000000-0005-0000-0000-00004E160000}"/>
    <cellStyle name="Vírgula 3 2 4 3 2 3" xfId="923" xr:uid="{00000000-0005-0000-0000-00004F160000}"/>
    <cellStyle name="Vírgula 3 2 4 3 2 3 2" xfId="1951" xr:uid="{00000000-0005-0000-0000-000050160000}"/>
    <cellStyle name="Vírgula 3 2 4 3 2 3 2 2" xfId="4009" xr:uid="{00000000-0005-0000-0000-000051160000}"/>
    <cellStyle name="Vírgula 3 2 4 3 2 3 2 2 2" xfId="10525" xr:uid="{00000000-0005-0000-0000-000052160000}"/>
    <cellStyle name="Vírgula 3 2 4 3 2 3 2 3" xfId="6239" xr:uid="{00000000-0005-0000-0000-000053160000}"/>
    <cellStyle name="Vírgula 3 2 4 3 2 3 2 3 2" xfId="12753" xr:uid="{00000000-0005-0000-0000-000054160000}"/>
    <cellStyle name="Vírgula 3 2 4 3 2 3 2 4" xfId="8469" xr:uid="{00000000-0005-0000-0000-000055160000}"/>
    <cellStyle name="Vírgula 3 2 4 3 2 3 3" xfId="2981" xr:uid="{00000000-0005-0000-0000-000056160000}"/>
    <cellStyle name="Vírgula 3 2 4 3 2 3 3 2" xfId="9497" xr:uid="{00000000-0005-0000-0000-000057160000}"/>
    <cellStyle name="Vírgula 3 2 4 3 2 3 4" xfId="5211" xr:uid="{00000000-0005-0000-0000-000058160000}"/>
    <cellStyle name="Vírgula 3 2 4 3 2 3 4 2" xfId="11725" xr:uid="{00000000-0005-0000-0000-000059160000}"/>
    <cellStyle name="Vírgula 3 2 4 3 2 3 5" xfId="7441" xr:uid="{00000000-0005-0000-0000-00005A160000}"/>
    <cellStyle name="Vírgula 3 2 4 3 2 4" xfId="1437" xr:uid="{00000000-0005-0000-0000-00005B160000}"/>
    <cellStyle name="Vírgula 3 2 4 3 2 4 2" xfId="3495" xr:uid="{00000000-0005-0000-0000-00005C160000}"/>
    <cellStyle name="Vírgula 3 2 4 3 2 4 2 2" xfId="10011" xr:uid="{00000000-0005-0000-0000-00005D160000}"/>
    <cellStyle name="Vírgula 3 2 4 3 2 4 3" xfId="5725" xr:uid="{00000000-0005-0000-0000-00005E160000}"/>
    <cellStyle name="Vírgula 3 2 4 3 2 4 3 2" xfId="12239" xr:uid="{00000000-0005-0000-0000-00005F160000}"/>
    <cellStyle name="Vírgula 3 2 4 3 2 4 4" xfId="7955" xr:uid="{00000000-0005-0000-0000-000060160000}"/>
    <cellStyle name="Vírgula 3 2 4 3 2 5" xfId="2467" xr:uid="{00000000-0005-0000-0000-000061160000}"/>
    <cellStyle name="Vírgula 3 2 4 3 2 5 2" xfId="8983" xr:uid="{00000000-0005-0000-0000-000062160000}"/>
    <cellStyle name="Vírgula 3 2 4 3 2 6" xfId="4609" xr:uid="{00000000-0005-0000-0000-000063160000}"/>
    <cellStyle name="Vírgula 3 2 4 3 2 6 2" xfId="11123" xr:uid="{00000000-0005-0000-0000-000064160000}"/>
    <cellStyle name="Vírgula 3 2 4 3 2 7" xfId="6839" xr:uid="{00000000-0005-0000-0000-000065160000}"/>
    <cellStyle name="Vírgula 3 2 4 3 3" xfId="527" xr:uid="{00000000-0005-0000-0000-000066160000}"/>
    <cellStyle name="Vírgula 3 2 4 3 3 2" xfId="1051" xr:uid="{00000000-0005-0000-0000-000067160000}"/>
    <cellStyle name="Vírgula 3 2 4 3 3 2 2" xfId="2079" xr:uid="{00000000-0005-0000-0000-000068160000}"/>
    <cellStyle name="Vírgula 3 2 4 3 3 2 2 2" xfId="4137" xr:uid="{00000000-0005-0000-0000-000069160000}"/>
    <cellStyle name="Vírgula 3 2 4 3 3 2 2 2 2" xfId="10653" xr:uid="{00000000-0005-0000-0000-00006A160000}"/>
    <cellStyle name="Vírgula 3 2 4 3 3 2 2 3" xfId="6367" xr:uid="{00000000-0005-0000-0000-00006B160000}"/>
    <cellStyle name="Vírgula 3 2 4 3 3 2 2 3 2" xfId="12881" xr:uid="{00000000-0005-0000-0000-00006C160000}"/>
    <cellStyle name="Vírgula 3 2 4 3 3 2 2 4" xfId="8597" xr:uid="{00000000-0005-0000-0000-00006D160000}"/>
    <cellStyle name="Vírgula 3 2 4 3 3 2 3" xfId="3109" xr:uid="{00000000-0005-0000-0000-00006E160000}"/>
    <cellStyle name="Vírgula 3 2 4 3 3 2 3 2" xfId="9625" xr:uid="{00000000-0005-0000-0000-00006F160000}"/>
    <cellStyle name="Vírgula 3 2 4 3 3 2 4" xfId="5339" xr:uid="{00000000-0005-0000-0000-000070160000}"/>
    <cellStyle name="Vírgula 3 2 4 3 3 2 4 2" xfId="11853" xr:uid="{00000000-0005-0000-0000-000071160000}"/>
    <cellStyle name="Vírgula 3 2 4 3 3 2 5" xfId="7569" xr:uid="{00000000-0005-0000-0000-000072160000}"/>
    <cellStyle name="Vírgula 3 2 4 3 3 3" xfId="1565" xr:uid="{00000000-0005-0000-0000-000073160000}"/>
    <cellStyle name="Vírgula 3 2 4 3 3 3 2" xfId="3623" xr:uid="{00000000-0005-0000-0000-000074160000}"/>
    <cellStyle name="Vírgula 3 2 4 3 3 3 2 2" xfId="10139" xr:uid="{00000000-0005-0000-0000-000075160000}"/>
    <cellStyle name="Vírgula 3 2 4 3 3 3 3" xfId="5853" xr:uid="{00000000-0005-0000-0000-000076160000}"/>
    <cellStyle name="Vírgula 3 2 4 3 3 3 3 2" xfId="12367" xr:uid="{00000000-0005-0000-0000-000077160000}"/>
    <cellStyle name="Vírgula 3 2 4 3 3 3 4" xfId="8083" xr:uid="{00000000-0005-0000-0000-000078160000}"/>
    <cellStyle name="Vírgula 3 2 4 3 3 4" xfId="2595" xr:uid="{00000000-0005-0000-0000-000079160000}"/>
    <cellStyle name="Vírgula 3 2 4 3 3 4 2" xfId="9111" xr:uid="{00000000-0005-0000-0000-00007A160000}"/>
    <cellStyle name="Vírgula 3 2 4 3 3 5" xfId="4823" xr:uid="{00000000-0005-0000-0000-00007B160000}"/>
    <cellStyle name="Vírgula 3 2 4 3 3 5 2" xfId="11337" xr:uid="{00000000-0005-0000-0000-00007C160000}"/>
    <cellStyle name="Vírgula 3 2 4 3 3 6" xfId="7053" xr:uid="{00000000-0005-0000-0000-00007D160000}"/>
    <cellStyle name="Vírgula 3 2 4 3 4" xfId="795" xr:uid="{00000000-0005-0000-0000-00007E160000}"/>
    <cellStyle name="Vírgula 3 2 4 3 4 2" xfId="1823" xr:uid="{00000000-0005-0000-0000-00007F160000}"/>
    <cellStyle name="Vírgula 3 2 4 3 4 2 2" xfId="3881" xr:uid="{00000000-0005-0000-0000-000080160000}"/>
    <cellStyle name="Vírgula 3 2 4 3 4 2 2 2" xfId="10397" xr:uid="{00000000-0005-0000-0000-000081160000}"/>
    <cellStyle name="Vírgula 3 2 4 3 4 2 3" xfId="6111" xr:uid="{00000000-0005-0000-0000-000082160000}"/>
    <cellStyle name="Vírgula 3 2 4 3 4 2 3 2" xfId="12625" xr:uid="{00000000-0005-0000-0000-000083160000}"/>
    <cellStyle name="Vírgula 3 2 4 3 4 2 4" xfId="8341" xr:uid="{00000000-0005-0000-0000-000084160000}"/>
    <cellStyle name="Vírgula 3 2 4 3 4 3" xfId="2853" xr:uid="{00000000-0005-0000-0000-000085160000}"/>
    <cellStyle name="Vírgula 3 2 4 3 4 3 2" xfId="9369" xr:uid="{00000000-0005-0000-0000-000086160000}"/>
    <cellStyle name="Vírgula 3 2 4 3 4 4" xfId="5083" xr:uid="{00000000-0005-0000-0000-000087160000}"/>
    <cellStyle name="Vírgula 3 2 4 3 4 4 2" xfId="11597" xr:uid="{00000000-0005-0000-0000-000088160000}"/>
    <cellStyle name="Vírgula 3 2 4 3 4 5" xfId="7313" xr:uid="{00000000-0005-0000-0000-000089160000}"/>
    <cellStyle name="Vírgula 3 2 4 3 5" xfId="1309" xr:uid="{00000000-0005-0000-0000-00008A160000}"/>
    <cellStyle name="Vírgula 3 2 4 3 5 2" xfId="3367" xr:uid="{00000000-0005-0000-0000-00008B160000}"/>
    <cellStyle name="Vírgula 3 2 4 3 5 2 2" xfId="9883" xr:uid="{00000000-0005-0000-0000-00008C160000}"/>
    <cellStyle name="Vírgula 3 2 4 3 5 3" xfId="5597" xr:uid="{00000000-0005-0000-0000-00008D160000}"/>
    <cellStyle name="Vírgula 3 2 4 3 5 3 2" xfId="12111" xr:uid="{00000000-0005-0000-0000-00008E160000}"/>
    <cellStyle name="Vírgula 3 2 4 3 5 4" xfId="7827" xr:uid="{00000000-0005-0000-0000-00008F160000}"/>
    <cellStyle name="Vírgula 3 2 4 3 6" xfId="2339" xr:uid="{00000000-0005-0000-0000-000090160000}"/>
    <cellStyle name="Vírgula 3 2 4 3 6 2" xfId="8855" xr:uid="{00000000-0005-0000-0000-000091160000}"/>
    <cellStyle name="Vírgula 3 2 4 3 7" xfId="4481" xr:uid="{00000000-0005-0000-0000-000092160000}"/>
    <cellStyle name="Vírgula 3 2 4 3 7 2" xfId="10995" xr:uid="{00000000-0005-0000-0000-000093160000}"/>
    <cellStyle name="Vírgula 3 2 4 3 8" xfId="6711" xr:uid="{00000000-0005-0000-0000-000094160000}"/>
    <cellStyle name="Vírgula 3 2 4 4" xfId="248" xr:uid="{00000000-0005-0000-0000-000095160000}"/>
    <cellStyle name="Vírgula 3 2 4 4 2" xfId="591" xr:uid="{00000000-0005-0000-0000-000096160000}"/>
    <cellStyle name="Vírgula 3 2 4 4 2 2" xfId="1115" xr:uid="{00000000-0005-0000-0000-000097160000}"/>
    <cellStyle name="Vírgula 3 2 4 4 2 2 2" xfId="2143" xr:uid="{00000000-0005-0000-0000-000098160000}"/>
    <cellStyle name="Vírgula 3 2 4 4 2 2 2 2" xfId="4201" xr:uid="{00000000-0005-0000-0000-000099160000}"/>
    <cellStyle name="Vírgula 3 2 4 4 2 2 2 2 2" xfId="10717" xr:uid="{00000000-0005-0000-0000-00009A160000}"/>
    <cellStyle name="Vírgula 3 2 4 4 2 2 2 3" xfId="6431" xr:uid="{00000000-0005-0000-0000-00009B160000}"/>
    <cellStyle name="Vírgula 3 2 4 4 2 2 2 3 2" xfId="12945" xr:uid="{00000000-0005-0000-0000-00009C160000}"/>
    <cellStyle name="Vírgula 3 2 4 4 2 2 2 4" xfId="8661" xr:uid="{00000000-0005-0000-0000-00009D160000}"/>
    <cellStyle name="Vírgula 3 2 4 4 2 2 3" xfId="3173" xr:uid="{00000000-0005-0000-0000-00009E160000}"/>
    <cellStyle name="Vírgula 3 2 4 4 2 2 3 2" xfId="9689" xr:uid="{00000000-0005-0000-0000-00009F160000}"/>
    <cellStyle name="Vírgula 3 2 4 4 2 2 4" xfId="5403" xr:uid="{00000000-0005-0000-0000-0000A0160000}"/>
    <cellStyle name="Vírgula 3 2 4 4 2 2 4 2" xfId="11917" xr:uid="{00000000-0005-0000-0000-0000A1160000}"/>
    <cellStyle name="Vírgula 3 2 4 4 2 2 5" xfId="7633" xr:uid="{00000000-0005-0000-0000-0000A2160000}"/>
    <cellStyle name="Vírgula 3 2 4 4 2 3" xfId="1629" xr:uid="{00000000-0005-0000-0000-0000A3160000}"/>
    <cellStyle name="Vírgula 3 2 4 4 2 3 2" xfId="3687" xr:uid="{00000000-0005-0000-0000-0000A4160000}"/>
    <cellStyle name="Vírgula 3 2 4 4 2 3 2 2" xfId="10203" xr:uid="{00000000-0005-0000-0000-0000A5160000}"/>
    <cellStyle name="Vírgula 3 2 4 4 2 3 3" xfId="5917" xr:uid="{00000000-0005-0000-0000-0000A6160000}"/>
    <cellStyle name="Vírgula 3 2 4 4 2 3 3 2" xfId="12431" xr:uid="{00000000-0005-0000-0000-0000A7160000}"/>
    <cellStyle name="Vírgula 3 2 4 4 2 3 4" xfId="8147" xr:uid="{00000000-0005-0000-0000-0000A8160000}"/>
    <cellStyle name="Vírgula 3 2 4 4 2 4" xfId="2659" xr:uid="{00000000-0005-0000-0000-0000A9160000}"/>
    <cellStyle name="Vírgula 3 2 4 4 2 4 2" xfId="9175" xr:uid="{00000000-0005-0000-0000-0000AA160000}"/>
    <cellStyle name="Vírgula 3 2 4 4 2 5" xfId="4887" xr:uid="{00000000-0005-0000-0000-0000AB160000}"/>
    <cellStyle name="Vírgula 3 2 4 4 2 5 2" xfId="11401" xr:uid="{00000000-0005-0000-0000-0000AC160000}"/>
    <cellStyle name="Vírgula 3 2 4 4 2 6" xfId="7117" xr:uid="{00000000-0005-0000-0000-0000AD160000}"/>
    <cellStyle name="Vírgula 3 2 4 4 3" xfId="859" xr:uid="{00000000-0005-0000-0000-0000AE160000}"/>
    <cellStyle name="Vírgula 3 2 4 4 3 2" xfId="1887" xr:uid="{00000000-0005-0000-0000-0000AF160000}"/>
    <cellStyle name="Vírgula 3 2 4 4 3 2 2" xfId="3945" xr:uid="{00000000-0005-0000-0000-0000B0160000}"/>
    <cellStyle name="Vírgula 3 2 4 4 3 2 2 2" xfId="10461" xr:uid="{00000000-0005-0000-0000-0000B1160000}"/>
    <cellStyle name="Vírgula 3 2 4 4 3 2 3" xfId="6175" xr:uid="{00000000-0005-0000-0000-0000B2160000}"/>
    <cellStyle name="Vírgula 3 2 4 4 3 2 3 2" xfId="12689" xr:uid="{00000000-0005-0000-0000-0000B3160000}"/>
    <cellStyle name="Vírgula 3 2 4 4 3 2 4" xfId="8405" xr:uid="{00000000-0005-0000-0000-0000B4160000}"/>
    <cellStyle name="Vírgula 3 2 4 4 3 3" xfId="2917" xr:uid="{00000000-0005-0000-0000-0000B5160000}"/>
    <cellStyle name="Vírgula 3 2 4 4 3 3 2" xfId="9433" xr:uid="{00000000-0005-0000-0000-0000B6160000}"/>
    <cellStyle name="Vírgula 3 2 4 4 3 4" xfId="5147" xr:uid="{00000000-0005-0000-0000-0000B7160000}"/>
    <cellStyle name="Vírgula 3 2 4 4 3 4 2" xfId="11661" xr:uid="{00000000-0005-0000-0000-0000B8160000}"/>
    <cellStyle name="Vírgula 3 2 4 4 3 5" xfId="7377" xr:uid="{00000000-0005-0000-0000-0000B9160000}"/>
    <cellStyle name="Vírgula 3 2 4 4 4" xfId="1373" xr:uid="{00000000-0005-0000-0000-0000BA160000}"/>
    <cellStyle name="Vírgula 3 2 4 4 4 2" xfId="3431" xr:uid="{00000000-0005-0000-0000-0000BB160000}"/>
    <cellStyle name="Vírgula 3 2 4 4 4 2 2" xfId="9947" xr:uid="{00000000-0005-0000-0000-0000BC160000}"/>
    <cellStyle name="Vírgula 3 2 4 4 4 3" xfId="5661" xr:uid="{00000000-0005-0000-0000-0000BD160000}"/>
    <cellStyle name="Vírgula 3 2 4 4 4 3 2" xfId="12175" xr:uid="{00000000-0005-0000-0000-0000BE160000}"/>
    <cellStyle name="Vírgula 3 2 4 4 4 4" xfId="7891" xr:uid="{00000000-0005-0000-0000-0000BF160000}"/>
    <cellStyle name="Vírgula 3 2 4 4 5" xfId="2403" xr:uid="{00000000-0005-0000-0000-0000C0160000}"/>
    <cellStyle name="Vírgula 3 2 4 4 5 2" xfId="8919" xr:uid="{00000000-0005-0000-0000-0000C1160000}"/>
    <cellStyle name="Vírgula 3 2 4 4 6" xfId="4545" xr:uid="{00000000-0005-0000-0000-0000C2160000}"/>
    <cellStyle name="Vírgula 3 2 4 4 6 2" xfId="11059" xr:uid="{00000000-0005-0000-0000-0000C3160000}"/>
    <cellStyle name="Vírgula 3 2 4 4 7" xfId="6775" xr:uid="{00000000-0005-0000-0000-0000C4160000}"/>
    <cellStyle name="Vírgula 3 2 4 5" xfId="408" xr:uid="{00000000-0005-0000-0000-0000C5160000}"/>
    <cellStyle name="Vírgula 3 2 4 5 2" xfId="987" xr:uid="{00000000-0005-0000-0000-0000C6160000}"/>
    <cellStyle name="Vírgula 3 2 4 5 2 2" xfId="2015" xr:uid="{00000000-0005-0000-0000-0000C7160000}"/>
    <cellStyle name="Vírgula 3 2 4 5 2 2 2" xfId="4073" xr:uid="{00000000-0005-0000-0000-0000C8160000}"/>
    <cellStyle name="Vírgula 3 2 4 5 2 2 2 2" xfId="10589" xr:uid="{00000000-0005-0000-0000-0000C9160000}"/>
    <cellStyle name="Vírgula 3 2 4 5 2 2 3" xfId="6303" xr:uid="{00000000-0005-0000-0000-0000CA160000}"/>
    <cellStyle name="Vírgula 3 2 4 5 2 2 3 2" xfId="12817" xr:uid="{00000000-0005-0000-0000-0000CB160000}"/>
    <cellStyle name="Vírgula 3 2 4 5 2 2 4" xfId="8533" xr:uid="{00000000-0005-0000-0000-0000CC160000}"/>
    <cellStyle name="Vírgula 3 2 4 5 2 3" xfId="3045" xr:uid="{00000000-0005-0000-0000-0000CD160000}"/>
    <cellStyle name="Vírgula 3 2 4 5 2 3 2" xfId="9561" xr:uid="{00000000-0005-0000-0000-0000CE160000}"/>
    <cellStyle name="Vírgula 3 2 4 5 2 4" xfId="5275" xr:uid="{00000000-0005-0000-0000-0000CF160000}"/>
    <cellStyle name="Vírgula 3 2 4 5 2 4 2" xfId="11789" xr:uid="{00000000-0005-0000-0000-0000D0160000}"/>
    <cellStyle name="Vírgula 3 2 4 5 2 5" xfId="7505" xr:uid="{00000000-0005-0000-0000-0000D1160000}"/>
    <cellStyle name="Vírgula 3 2 4 5 3" xfId="1501" xr:uid="{00000000-0005-0000-0000-0000D2160000}"/>
    <cellStyle name="Vírgula 3 2 4 5 3 2" xfId="3559" xr:uid="{00000000-0005-0000-0000-0000D3160000}"/>
    <cellStyle name="Vírgula 3 2 4 5 3 2 2" xfId="10075" xr:uid="{00000000-0005-0000-0000-0000D4160000}"/>
    <cellStyle name="Vírgula 3 2 4 5 3 3" xfId="5789" xr:uid="{00000000-0005-0000-0000-0000D5160000}"/>
    <cellStyle name="Vírgula 3 2 4 5 3 3 2" xfId="12303" xr:uid="{00000000-0005-0000-0000-0000D6160000}"/>
    <cellStyle name="Vírgula 3 2 4 5 3 4" xfId="8019" xr:uid="{00000000-0005-0000-0000-0000D7160000}"/>
    <cellStyle name="Vírgula 3 2 4 5 4" xfId="2531" xr:uid="{00000000-0005-0000-0000-0000D8160000}"/>
    <cellStyle name="Vírgula 3 2 4 5 4 2" xfId="9047" xr:uid="{00000000-0005-0000-0000-0000D9160000}"/>
    <cellStyle name="Vírgula 3 2 4 5 5" xfId="4704" xr:uid="{00000000-0005-0000-0000-0000DA160000}"/>
    <cellStyle name="Vírgula 3 2 4 5 5 2" xfId="11218" xr:uid="{00000000-0005-0000-0000-0000DB160000}"/>
    <cellStyle name="Vírgula 3 2 4 5 6" xfId="6934" xr:uid="{00000000-0005-0000-0000-0000DC160000}"/>
    <cellStyle name="Vírgula 3 2 4 6" xfId="731" xr:uid="{00000000-0005-0000-0000-0000DD160000}"/>
    <cellStyle name="Vírgula 3 2 4 6 2" xfId="1759" xr:uid="{00000000-0005-0000-0000-0000DE160000}"/>
    <cellStyle name="Vírgula 3 2 4 6 2 2" xfId="3817" xr:uid="{00000000-0005-0000-0000-0000DF160000}"/>
    <cellStyle name="Vírgula 3 2 4 6 2 2 2" xfId="10333" xr:uid="{00000000-0005-0000-0000-0000E0160000}"/>
    <cellStyle name="Vírgula 3 2 4 6 2 3" xfId="6047" xr:uid="{00000000-0005-0000-0000-0000E1160000}"/>
    <cellStyle name="Vírgula 3 2 4 6 2 3 2" xfId="12561" xr:uid="{00000000-0005-0000-0000-0000E2160000}"/>
    <cellStyle name="Vírgula 3 2 4 6 2 4" xfId="8277" xr:uid="{00000000-0005-0000-0000-0000E3160000}"/>
    <cellStyle name="Vírgula 3 2 4 6 3" xfId="2789" xr:uid="{00000000-0005-0000-0000-0000E4160000}"/>
    <cellStyle name="Vírgula 3 2 4 6 3 2" xfId="9305" xr:uid="{00000000-0005-0000-0000-0000E5160000}"/>
    <cellStyle name="Vírgula 3 2 4 6 4" xfId="5019" xr:uid="{00000000-0005-0000-0000-0000E6160000}"/>
    <cellStyle name="Vírgula 3 2 4 6 4 2" xfId="11533" xr:uid="{00000000-0005-0000-0000-0000E7160000}"/>
    <cellStyle name="Vírgula 3 2 4 6 5" xfId="7249" xr:uid="{00000000-0005-0000-0000-0000E8160000}"/>
    <cellStyle name="Vírgula 3 2 4 7" xfId="1245" xr:uid="{00000000-0005-0000-0000-0000E9160000}"/>
    <cellStyle name="Vírgula 3 2 4 7 2" xfId="3303" xr:uid="{00000000-0005-0000-0000-0000EA160000}"/>
    <cellStyle name="Vírgula 3 2 4 7 2 2" xfId="9819" xr:uid="{00000000-0005-0000-0000-0000EB160000}"/>
    <cellStyle name="Vírgula 3 2 4 7 3" xfId="5533" xr:uid="{00000000-0005-0000-0000-0000EC160000}"/>
    <cellStyle name="Vírgula 3 2 4 7 3 2" xfId="12047" xr:uid="{00000000-0005-0000-0000-0000ED160000}"/>
    <cellStyle name="Vírgula 3 2 4 7 4" xfId="7763" xr:uid="{00000000-0005-0000-0000-0000EE160000}"/>
    <cellStyle name="Vírgula 3 2 4 8" xfId="2275" xr:uid="{00000000-0005-0000-0000-0000EF160000}"/>
    <cellStyle name="Vírgula 3 2 4 8 2" xfId="8791" xr:uid="{00000000-0005-0000-0000-0000F0160000}"/>
    <cellStyle name="Vírgula 3 2 4 9" xfId="4362" xr:uid="{00000000-0005-0000-0000-0000F1160000}"/>
    <cellStyle name="Vírgula 3 2 4 9 2" xfId="10876" xr:uid="{00000000-0005-0000-0000-0000F2160000}"/>
    <cellStyle name="Vírgula 3 2 5" xfId="98" xr:uid="{00000000-0005-0000-0000-0000F3160000}"/>
    <cellStyle name="Vírgula 3 2 5 2" xfId="200" xr:uid="{00000000-0005-0000-0000-0000F4160000}"/>
    <cellStyle name="Vírgula 3 2 5 2 2" xfId="328" xr:uid="{00000000-0005-0000-0000-0000F5160000}"/>
    <cellStyle name="Vírgula 3 2 5 2 2 2" xfId="671" xr:uid="{00000000-0005-0000-0000-0000F6160000}"/>
    <cellStyle name="Vírgula 3 2 5 2 2 2 2" xfId="1195" xr:uid="{00000000-0005-0000-0000-0000F7160000}"/>
    <cellStyle name="Vírgula 3 2 5 2 2 2 2 2" xfId="2223" xr:uid="{00000000-0005-0000-0000-0000F8160000}"/>
    <cellStyle name="Vírgula 3 2 5 2 2 2 2 2 2" xfId="4281" xr:uid="{00000000-0005-0000-0000-0000F9160000}"/>
    <cellStyle name="Vírgula 3 2 5 2 2 2 2 2 2 2" xfId="10797" xr:uid="{00000000-0005-0000-0000-0000FA160000}"/>
    <cellStyle name="Vírgula 3 2 5 2 2 2 2 2 3" xfId="6511" xr:uid="{00000000-0005-0000-0000-0000FB160000}"/>
    <cellStyle name="Vírgula 3 2 5 2 2 2 2 2 3 2" xfId="13025" xr:uid="{00000000-0005-0000-0000-0000FC160000}"/>
    <cellStyle name="Vírgula 3 2 5 2 2 2 2 2 4" xfId="8741" xr:uid="{00000000-0005-0000-0000-0000FD160000}"/>
    <cellStyle name="Vírgula 3 2 5 2 2 2 2 3" xfId="3253" xr:uid="{00000000-0005-0000-0000-0000FE160000}"/>
    <cellStyle name="Vírgula 3 2 5 2 2 2 2 3 2" xfId="9769" xr:uid="{00000000-0005-0000-0000-0000FF160000}"/>
    <cellStyle name="Vírgula 3 2 5 2 2 2 2 4" xfId="5483" xr:uid="{00000000-0005-0000-0000-000000170000}"/>
    <cellStyle name="Vírgula 3 2 5 2 2 2 2 4 2" xfId="11997" xr:uid="{00000000-0005-0000-0000-000001170000}"/>
    <cellStyle name="Vírgula 3 2 5 2 2 2 2 5" xfId="7713" xr:uid="{00000000-0005-0000-0000-000002170000}"/>
    <cellStyle name="Vírgula 3 2 5 2 2 2 3" xfId="1709" xr:uid="{00000000-0005-0000-0000-000003170000}"/>
    <cellStyle name="Vírgula 3 2 5 2 2 2 3 2" xfId="3767" xr:uid="{00000000-0005-0000-0000-000004170000}"/>
    <cellStyle name="Vírgula 3 2 5 2 2 2 3 2 2" xfId="10283" xr:uid="{00000000-0005-0000-0000-000005170000}"/>
    <cellStyle name="Vírgula 3 2 5 2 2 2 3 3" xfId="5997" xr:uid="{00000000-0005-0000-0000-000006170000}"/>
    <cellStyle name="Vírgula 3 2 5 2 2 2 3 3 2" xfId="12511" xr:uid="{00000000-0005-0000-0000-000007170000}"/>
    <cellStyle name="Vírgula 3 2 5 2 2 2 3 4" xfId="8227" xr:uid="{00000000-0005-0000-0000-000008170000}"/>
    <cellStyle name="Vírgula 3 2 5 2 2 2 4" xfId="2739" xr:uid="{00000000-0005-0000-0000-000009170000}"/>
    <cellStyle name="Vírgula 3 2 5 2 2 2 4 2" xfId="9255" xr:uid="{00000000-0005-0000-0000-00000A170000}"/>
    <cellStyle name="Vírgula 3 2 5 2 2 2 5" xfId="4967" xr:uid="{00000000-0005-0000-0000-00000B170000}"/>
    <cellStyle name="Vírgula 3 2 5 2 2 2 5 2" xfId="11481" xr:uid="{00000000-0005-0000-0000-00000C170000}"/>
    <cellStyle name="Vírgula 3 2 5 2 2 2 6" xfId="7197" xr:uid="{00000000-0005-0000-0000-00000D170000}"/>
    <cellStyle name="Vírgula 3 2 5 2 2 3" xfId="939" xr:uid="{00000000-0005-0000-0000-00000E170000}"/>
    <cellStyle name="Vírgula 3 2 5 2 2 3 2" xfId="1967" xr:uid="{00000000-0005-0000-0000-00000F170000}"/>
    <cellStyle name="Vírgula 3 2 5 2 2 3 2 2" xfId="4025" xr:uid="{00000000-0005-0000-0000-000010170000}"/>
    <cellStyle name="Vírgula 3 2 5 2 2 3 2 2 2" xfId="10541" xr:uid="{00000000-0005-0000-0000-000011170000}"/>
    <cellStyle name="Vírgula 3 2 5 2 2 3 2 3" xfId="6255" xr:uid="{00000000-0005-0000-0000-000012170000}"/>
    <cellStyle name="Vírgula 3 2 5 2 2 3 2 3 2" xfId="12769" xr:uid="{00000000-0005-0000-0000-000013170000}"/>
    <cellStyle name="Vírgula 3 2 5 2 2 3 2 4" xfId="8485" xr:uid="{00000000-0005-0000-0000-000014170000}"/>
    <cellStyle name="Vírgula 3 2 5 2 2 3 3" xfId="2997" xr:uid="{00000000-0005-0000-0000-000015170000}"/>
    <cellStyle name="Vírgula 3 2 5 2 2 3 3 2" xfId="9513" xr:uid="{00000000-0005-0000-0000-000016170000}"/>
    <cellStyle name="Vírgula 3 2 5 2 2 3 4" xfId="5227" xr:uid="{00000000-0005-0000-0000-000017170000}"/>
    <cellStyle name="Vírgula 3 2 5 2 2 3 4 2" xfId="11741" xr:uid="{00000000-0005-0000-0000-000018170000}"/>
    <cellStyle name="Vírgula 3 2 5 2 2 3 5" xfId="7457" xr:uid="{00000000-0005-0000-0000-000019170000}"/>
    <cellStyle name="Vírgula 3 2 5 2 2 4" xfId="1453" xr:uid="{00000000-0005-0000-0000-00001A170000}"/>
    <cellStyle name="Vírgula 3 2 5 2 2 4 2" xfId="3511" xr:uid="{00000000-0005-0000-0000-00001B170000}"/>
    <cellStyle name="Vírgula 3 2 5 2 2 4 2 2" xfId="10027" xr:uid="{00000000-0005-0000-0000-00001C170000}"/>
    <cellStyle name="Vírgula 3 2 5 2 2 4 3" xfId="5741" xr:uid="{00000000-0005-0000-0000-00001D170000}"/>
    <cellStyle name="Vírgula 3 2 5 2 2 4 3 2" xfId="12255" xr:uid="{00000000-0005-0000-0000-00001E170000}"/>
    <cellStyle name="Vírgula 3 2 5 2 2 4 4" xfId="7971" xr:uid="{00000000-0005-0000-0000-00001F170000}"/>
    <cellStyle name="Vírgula 3 2 5 2 2 5" xfId="2483" xr:uid="{00000000-0005-0000-0000-000020170000}"/>
    <cellStyle name="Vírgula 3 2 5 2 2 5 2" xfId="8999" xr:uid="{00000000-0005-0000-0000-000021170000}"/>
    <cellStyle name="Vírgula 3 2 5 2 2 6" xfId="4625" xr:uid="{00000000-0005-0000-0000-000022170000}"/>
    <cellStyle name="Vírgula 3 2 5 2 2 6 2" xfId="11139" xr:uid="{00000000-0005-0000-0000-000023170000}"/>
    <cellStyle name="Vírgula 3 2 5 2 2 7" xfId="6855" xr:uid="{00000000-0005-0000-0000-000024170000}"/>
    <cellStyle name="Vírgula 3 2 5 2 3" xfId="543" xr:uid="{00000000-0005-0000-0000-000025170000}"/>
    <cellStyle name="Vírgula 3 2 5 2 3 2" xfId="1067" xr:uid="{00000000-0005-0000-0000-000026170000}"/>
    <cellStyle name="Vírgula 3 2 5 2 3 2 2" xfId="2095" xr:uid="{00000000-0005-0000-0000-000027170000}"/>
    <cellStyle name="Vírgula 3 2 5 2 3 2 2 2" xfId="4153" xr:uid="{00000000-0005-0000-0000-000028170000}"/>
    <cellStyle name="Vírgula 3 2 5 2 3 2 2 2 2" xfId="10669" xr:uid="{00000000-0005-0000-0000-000029170000}"/>
    <cellStyle name="Vírgula 3 2 5 2 3 2 2 3" xfId="6383" xr:uid="{00000000-0005-0000-0000-00002A170000}"/>
    <cellStyle name="Vírgula 3 2 5 2 3 2 2 3 2" xfId="12897" xr:uid="{00000000-0005-0000-0000-00002B170000}"/>
    <cellStyle name="Vírgula 3 2 5 2 3 2 2 4" xfId="8613" xr:uid="{00000000-0005-0000-0000-00002C170000}"/>
    <cellStyle name="Vírgula 3 2 5 2 3 2 3" xfId="3125" xr:uid="{00000000-0005-0000-0000-00002D170000}"/>
    <cellStyle name="Vírgula 3 2 5 2 3 2 3 2" xfId="9641" xr:uid="{00000000-0005-0000-0000-00002E170000}"/>
    <cellStyle name="Vírgula 3 2 5 2 3 2 4" xfId="5355" xr:uid="{00000000-0005-0000-0000-00002F170000}"/>
    <cellStyle name="Vírgula 3 2 5 2 3 2 4 2" xfId="11869" xr:uid="{00000000-0005-0000-0000-000030170000}"/>
    <cellStyle name="Vírgula 3 2 5 2 3 2 5" xfId="7585" xr:uid="{00000000-0005-0000-0000-000031170000}"/>
    <cellStyle name="Vírgula 3 2 5 2 3 3" xfId="1581" xr:uid="{00000000-0005-0000-0000-000032170000}"/>
    <cellStyle name="Vírgula 3 2 5 2 3 3 2" xfId="3639" xr:uid="{00000000-0005-0000-0000-000033170000}"/>
    <cellStyle name="Vírgula 3 2 5 2 3 3 2 2" xfId="10155" xr:uid="{00000000-0005-0000-0000-000034170000}"/>
    <cellStyle name="Vírgula 3 2 5 2 3 3 3" xfId="5869" xr:uid="{00000000-0005-0000-0000-000035170000}"/>
    <cellStyle name="Vírgula 3 2 5 2 3 3 3 2" xfId="12383" xr:uid="{00000000-0005-0000-0000-000036170000}"/>
    <cellStyle name="Vírgula 3 2 5 2 3 3 4" xfId="8099" xr:uid="{00000000-0005-0000-0000-000037170000}"/>
    <cellStyle name="Vírgula 3 2 5 2 3 4" xfId="2611" xr:uid="{00000000-0005-0000-0000-000038170000}"/>
    <cellStyle name="Vírgula 3 2 5 2 3 4 2" xfId="9127" xr:uid="{00000000-0005-0000-0000-000039170000}"/>
    <cellStyle name="Vírgula 3 2 5 2 3 5" xfId="4839" xr:uid="{00000000-0005-0000-0000-00003A170000}"/>
    <cellStyle name="Vírgula 3 2 5 2 3 5 2" xfId="11353" xr:uid="{00000000-0005-0000-0000-00003B170000}"/>
    <cellStyle name="Vírgula 3 2 5 2 3 6" xfId="7069" xr:uid="{00000000-0005-0000-0000-00003C170000}"/>
    <cellStyle name="Vírgula 3 2 5 2 4" xfId="811" xr:uid="{00000000-0005-0000-0000-00003D170000}"/>
    <cellStyle name="Vírgula 3 2 5 2 4 2" xfId="1839" xr:uid="{00000000-0005-0000-0000-00003E170000}"/>
    <cellStyle name="Vírgula 3 2 5 2 4 2 2" xfId="3897" xr:uid="{00000000-0005-0000-0000-00003F170000}"/>
    <cellStyle name="Vírgula 3 2 5 2 4 2 2 2" xfId="10413" xr:uid="{00000000-0005-0000-0000-000040170000}"/>
    <cellStyle name="Vírgula 3 2 5 2 4 2 3" xfId="6127" xr:uid="{00000000-0005-0000-0000-000041170000}"/>
    <cellStyle name="Vírgula 3 2 5 2 4 2 3 2" xfId="12641" xr:uid="{00000000-0005-0000-0000-000042170000}"/>
    <cellStyle name="Vírgula 3 2 5 2 4 2 4" xfId="8357" xr:uid="{00000000-0005-0000-0000-000043170000}"/>
    <cellStyle name="Vírgula 3 2 5 2 4 3" xfId="2869" xr:uid="{00000000-0005-0000-0000-000044170000}"/>
    <cellStyle name="Vírgula 3 2 5 2 4 3 2" xfId="9385" xr:uid="{00000000-0005-0000-0000-000045170000}"/>
    <cellStyle name="Vírgula 3 2 5 2 4 4" xfId="5099" xr:uid="{00000000-0005-0000-0000-000046170000}"/>
    <cellStyle name="Vírgula 3 2 5 2 4 4 2" xfId="11613" xr:uid="{00000000-0005-0000-0000-000047170000}"/>
    <cellStyle name="Vírgula 3 2 5 2 4 5" xfId="7329" xr:uid="{00000000-0005-0000-0000-000048170000}"/>
    <cellStyle name="Vírgula 3 2 5 2 5" xfId="1325" xr:uid="{00000000-0005-0000-0000-000049170000}"/>
    <cellStyle name="Vírgula 3 2 5 2 5 2" xfId="3383" xr:uid="{00000000-0005-0000-0000-00004A170000}"/>
    <cellStyle name="Vírgula 3 2 5 2 5 2 2" xfId="9899" xr:uid="{00000000-0005-0000-0000-00004B170000}"/>
    <cellStyle name="Vírgula 3 2 5 2 5 3" xfId="5613" xr:uid="{00000000-0005-0000-0000-00004C170000}"/>
    <cellStyle name="Vírgula 3 2 5 2 5 3 2" xfId="12127" xr:uid="{00000000-0005-0000-0000-00004D170000}"/>
    <cellStyle name="Vírgula 3 2 5 2 5 4" xfId="7843" xr:uid="{00000000-0005-0000-0000-00004E170000}"/>
    <cellStyle name="Vírgula 3 2 5 2 6" xfId="2355" xr:uid="{00000000-0005-0000-0000-00004F170000}"/>
    <cellStyle name="Vírgula 3 2 5 2 6 2" xfId="8871" xr:uid="{00000000-0005-0000-0000-000050170000}"/>
    <cellStyle name="Vírgula 3 2 5 2 7" xfId="4497" xr:uid="{00000000-0005-0000-0000-000051170000}"/>
    <cellStyle name="Vírgula 3 2 5 2 7 2" xfId="11011" xr:uid="{00000000-0005-0000-0000-000052170000}"/>
    <cellStyle name="Vírgula 3 2 5 2 8" xfId="6727" xr:uid="{00000000-0005-0000-0000-000053170000}"/>
    <cellStyle name="Vírgula 3 2 5 3" xfId="264" xr:uid="{00000000-0005-0000-0000-000054170000}"/>
    <cellStyle name="Vírgula 3 2 5 3 2" xfId="607" xr:uid="{00000000-0005-0000-0000-000055170000}"/>
    <cellStyle name="Vírgula 3 2 5 3 2 2" xfId="1131" xr:uid="{00000000-0005-0000-0000-000056170000}"/>
    <cellStyle name="Vírgula 3 2 5 3 2 2 2" xfId="2159" xr:uid="{00000000-0005-0000-0000-000057170000}"/>
    <cellStyle name="Vírgula 3 2 5 3 2 2 2 2" xfId="4217" xr:uid="{00000000-0005-0000-0000-000058170000}"/>
    <cellStyle name="Vírgula 3 2 5 3 2 2 2 2 2" xfId="10733" xr:uid="{00000000-0005-0000-0000-000059170000}"/>
    <cellStyle name="Vírgula 3 2 5 3 2 2 2 3" xfId="6447" xr:uid="{00000000-0005-0000-0000-00005A170000}"/>
    <cellStyle name="Vírgula 3 2 5 3 2 2 2 3 2" xfId="12961" xr:uid="{00000000-0005-0000-0000-00005B170000}"/>
    <cellStyle name="Vírgula 3 2 5 3 2 2 2 4" xfId="8677" xr:uid="{00000000-0005-0000-0000-00005C170000}"/>
    <cellStyle name="Vírgula 3 2 5 3 2 2 3" xfId="3189" xr:uid="{00000000-0005-0000-0000-00005D170000}"/>
    <cellStyle name="Vírgula 3 2 5 3 2 2 3 2" xfId="9705" xr:uid="{00000000-0005-0000-0000-00005E170000}"/>
    <cellStyle name="Vírgula 3 2 5 3 2 2 4" xfId="5419" xr:uid="{00000000-0005-0000-0000-00005F170000}"/>
    <cellStyle name="Vírgula 3 2 5 3 2 2 4 2" xfId="11933" xr:uid="{00000000-0005-0000-0000-000060170000}"/>
    <cellStyle name="Vírgula 3 2 5 3 2 2 5" xfId="7649" xr:uid="{00000000-0005-0000-0000-000061170000}"/>
    <cellStyle name="Vírgula 3 2 5 3 2 3" xfId="1645" xr:uid="{00000000-0005-0000-0000-000062170000}"/>
    <cellStyle name="Vírgula 3 2 5 3 2 3 2" xfId="3703" xr:uid="{00000000-0005-0000-0000-000063170000}"/>
    <cellStyle name="Vírgula 3 2 5 3 2 3 2 2" xfId="10219" xr:uid="{00000000-0005-0000-0000-000064170000}"/>
    <cellStyle name="Vírgula 3 2 5 3 2 3 3" xfId="5933" xr:uid="{00000000-0005-0000-0000-000065170000}"/>
    <cellStyle name="Vírgula 3 2 5 3 2 3 3 2" xfId="12447" xr:uid="{00000000-0005-0000-0000-000066170000}"/>
    <cellStyle name="Vírgula 3 2 5 3 2 3 4" xfId="8163" xr:uid="{00000000-0005-0000-0000-000067170000}"/>
    <cellStyle name="Vírgula 3 2 5 3 2 4" xfId="2675" xr:uid="{00000000-0005-0000-0000-000068170000}"/>
    <cellStyle name="Vírgula 3 2 5 3 2 4 2" xfId="9191" xr:uid="{00000000-0005-0000-0000-000069170000}"/>
    <cellStyle name="Vírgula 3 2 5 3 2 5" xfId="4903" xr:uid="{00000000-0005-0000-0000-00006A170000}"/>
    <cellStyle name="Vírgula 3 2 5 3 2 5 2" xfId="11417" xr:uid="{00000000-0005-0000-0000-00006B170000}"/>
    <cellStyle name="Vírgula 3 2 5 3 2 6" xfId="7133" xr:uid="{00000000-0005-0000-0000-00006C170000}"/>
    <cellStyle name="Vírgula 3 2 5 3 3" xfId="875" xr:uid="{00000000-0005-0000-0000-00006D170000}"/>
    <cellStyle name="Vírgula 3 2 5 3 3 2" xfId="1903" xr:uid="{00000000-0005-0000-0000-00006E170000}"/>
    <cellStyle name="Vírgula 3 2 5 3 3 2 2" xfId="3961" xr:uid="{00000000-0005-0000-0000-00006F170000}"/>
    <cellStyle name="Vírgula 3 2 5 3 3 2 2 2" xfId="10477" xr:uid="{00000000-0005-0000-0000-000070170000}"/>
    <cellStyle name="Vírgula 3 2 5 3 3 2 3" xfId="6191" xr:uid="{00000000-0005-0000-0000-000071170000}"/>
    <cellStyle name="Vírgula 3 2 5 3 3 2 3 2" xfId="12705" xr:uid="{00000000-0005-0000-0000-000072170000}"/>
    <cellStyle name="Vírgula 3 2 5 3 3 2 4" xfId="8421" xr:uid="{00000000-0005-0000-0000-000073170000}"/>
    <cellStyle name="Vírgula 3 2 5 3 3 3" xfId="2933" xr:uid="{00000000-0005-0000-0000-000074170000}"/>
    <cellStyle name="Vírgula 3 2 5 3 3 3 2" xfId="9449" xr:uid="{00000000-0005-0000-0000-000075170000}"/>
    <cellStyle name="Vírgula 3 2 5 3 3 4" xfId="5163" xr:uid="{00000000-0005-0000-0000-000076170000}"/>
    <cellStyle name="Vírgula 3 2 5 3 3 4 2" xfId="11677" xr:uid="{00000000-0005-0000-0000-000077170000}"/>
    <cellStyle name="Vírgula 3 2 5 3 3 5" xfId="7393" xr:uid="{00000000-0005-0000-0000-000078170000}"/>
    <cellStyle name="Vírgula 3 2 5 3 4" xfId="1389" xr:uid="{00000000-0005-0000-0000-000079170000}"/>
    <cellStyle name="Vírgula 3 2 5 3 4 2" xfId="3447" xr:uid="{00000000-0005-0000-0000-00007A170000}"/>
    <cellStyle name="Vírgula 3 2 5 3 4 2 2" xfId="9963" xr:uid="{00000000-0005-0000-0000-00007B170000}"/>
    <cellStyle name="Vírgula 3 2 5 3 4 3" xfId="5677" xr:uid="{00000000-0005-0000-0000-00007C170000}"/>
    <cellStyle name="Vírgula 3 2 5 3 4 3 2" xfId="12191" xr:uid="{00000000-0005-0000-0000-00007D170000}"/>
    <cellStyle name="Vírgula 3 2 5 3 4 4" xfId="7907" xr:uid="{00000000-0005-0000-0000-00007E170000}"/>
    <cellStyle name="Vírgula 3 2 5 3 5" xfId="2419" xr:uid="{00000000-0005-0000-0000-00007F170000}"/>
    <cellStyle name="Vírgula 3 2 5 3 5 2" xfId="8935" xr:uid="{00000000-0005-0000-0000-000080170000}"/>
    <cellStyle name="Vírgula 3 2 5 3 6" xfId="4561" xr:uid="{00000000-0005-0000-0000-000081170000}"/>
    <cellStyle name="Vírgula 3 2 5 3 6 2" xfId="11075" xr:uid="{00000000-0005-0000-0000-000082170000}"/>
    <cellStyle name="Vírgula 3 2 5 3 7" xfId="6791" xr:uid="{00000000-0005-0000-0000-000083170000}"/>
    <cellStyle name="Vírgula 3 2 5 4" xfId="441" xr:uid="{00000000-0005-0000-0000-000084170000}"/>
    <cellStyle name="Vírgula 3 2 5 4 2" xfId="1003" xr:uid="{00000000-0005-0000-0000-000085170000}"/>
    <cellStyle name="Vírgula 3 2 5 4 2 2" xfId="2031" xr:uid="{00000000-0005-0000-0000-000086170000}"/>
    <cellStyle name="Vírgula 3 2 5 4 2 2 2" xfId="4089" xr:uid="{00000000-0005-0000-0000-000087170000}"/>
    <cellStyle name="Vírgula 3 2 5 4 2 2 2 2" xfId="10605" xr:uid="{00000000-0005-0000-0000-000088170000}"/>
    <cellStyle name="Vírgula 3 2 5 4 2 2 3" xfId="6319" xr:uid="{00000000-0005-0000-0000-000089170000}"/>
    <cellStyle name="Vírgula 3 2 5 4 2 2 3 2" xfId="12833" xr:uid="{00000000-0005-0000-0000-00008A170000}"/>
    <cellStyle name="Vírgula 3 2 5 4 2 2 4" xfId="8549" xr:uid="{00000000-0005-0000-0000-00008B170000}"/>
    <cellStyle name="Vírgula 3 2 5 4 2 3" xfId="3061" xr:uid="{00000000-0005-0000-0000-00008C170000}"/>
    <cellStyle name="Vírgula 3 2 5 4 2 3 2" xfId="9577" xr:uid="{00000000-0005-0000-0000-00008D170000}"/>
    <cellStyle name="Vírgula 3 2 5 4 2 4" xfId="5291" xr:uid="{00000000-0005-0000-0000-00008E170000}"/>
    <cellStyle name="Vírgula 3 2 5 4 2 4 2" xfId="11805" xr:uid="{00000000-0005-0000-0000-00008F170000}"/>
    <cellStyle name="Vírgula 3 2 5 4 2 5" xfId="7521" xr:uid="{00000000-0005-0000-0000-000090170000}"/>
    <cellStyle name="Vírgula 3 2 5 4 3" xfId="1517" xr:uid="{00000000-0005-0000-0000-000091170000}"/>
    <cellStyle name="Vírgula 3 2 5 4 3 2" xfId="3575" xr:uid="{00000000-0005-0000-0000-000092170000}"/>
    <cellStyle name="Vírgula 3 2 5 4 3 2 2" xfId="10091" xr:uid="{00000000-0005-0000-0000-000093170000}"/>
    <cellStyle name="Vírgula 3 2 5 4 3 3" xfId="5805" xr:uid="{00000000-0005-0000-0000-000094170000}"/>
    <cellStyle name="Vírgula 3 2 5 4 3 3 2" xfId="12319" xr:uid="{00000000-0005-0000-0000-000095170000}"/>
    <cellStyle name="Vírgula 3 2 5 4 3 4" xfId="8035" xr:uid="{00000000-0005-0000-0000-000096170000}"/>
    <cellStyle name="Vírgula 3 2 5 4 4" xfId="2547" xr:uid="{00000000-0005-0000-0000-000097170000}"/>
    <cellStyle name="Vírgula 3 2 5 4 4 2" xfId="9063" xr:uid="{00000000-0005-0000-0000-000098170000}"/>
    <cellStyle name="Vírgula 3 2 5 4 5" xfId="4737" xr:uid="{00000000-0005-0000-0000-000099170000}"/>
    <cellStyle name="Vírgula 3 2 5 4 5 2" xfId="11251" xr:uid="{00000000-0005-0000-0000-00009A170000}"/>
    <cellStyle name="Vírgula 3 2 5 4 6" xfId="6967" xr:uid="{00000000-0005-0000-0000-00009B170000}"/>
    <cellStyle name="Vírgula 3 2 5 5" xfId="747" xr:uid="{00000000-0005-0000-0000-00009C170000}"/>
    <cellStyle name="Vírgula 3 2 5 5 2" xfId="1775" xr:uid="{00000000-0005-0000-0000-00009D170000}"/>
    <cellStyle name="Vírgula 3 2 5 5 2 2" xfId="3833" xr:uid="{00000000-0005-0000-0000-00009E170000}"/>
    <cellStyle name="Vírgula 3 2 5 5 2 2 2" xfId="10349" xr:uid="{00000000-0005-0000-0000-00009F170000}"/>
    <cellStyle name="Vírgula 3 2 5 5 2 3" xfId="6063" xr:uid="{00000000-0005-0000-0000-0000A0170000}"/>
    <cellStyle name="Vírgula 3 2 5 5 2 3 2" xfId="12577" xr:uid="{00000000-0005-0000-0000-0000A1170000}"/>
    <cellStyle name="Vírgula 3 2 5 5 2 4" xfId="8293" xr:uid="{00000000-0005-0000-0000-0000A2170000}"/>
    <cellStyle name="Vírgula 3 2 5 5 3" xfId="2805" xr:uid="{00000000-0005-0000-0000-0000A3170000}"/>
    <cellStyle name="Vírgula 3 2 5 5 3 2" xfId="9321" xr:uid="{00000000-0005-0000-0000-0000A4170000}"/>
    <cellStyle name="Vírgula 3 2 5 5 4" xfId="5035" xr:uid="{00000000-0005-0000-0000-0000A5170000}"/>
    <cellStyle name="Vírgula 3 2 5 5 4 2" xfId="11549" xr:uid="{00000000-0005-0000-0000-0000A6170000}"/>
    <cellStyle name="Vírgula 3 2 5 5 5" xfId="7265" xr:uid="{00000000-0005-0000-0000-0000A7170000}"/>
    <cellStyle name="Vírgula 3 2 5 6" xfId="1261" xr:uid="{00000000-0005-0000-0000-0000A8170000}"/>
    <cellStyle name="Vírgula 3 2 5 6 2" xfId="3319" xr:uid="{00000000-0005-0000-0000-0000A9170000}"/>
    <cellStyle name="Vírgula 3 2 5 6 2 2" xfId="9835" xr:uid="{00000000-0005-0000-0000-0000AA170000}"/>
    <cellStyle name="Vírgula 3 2 5 6 3" xfId="5549" xr:uid="{00000000-0005-0000-0000-0000AB170000}"/>
    <cellStyle name="Vírgula 3 2 5 6 3 2" xfId="12063" xr:uid="{00000000-0005-0000-0000-0000AC170000}"/>
    <cellStyle name="Vírgula 3 2 5 6 4" xfId="7779" xr:uid="{00000000-0005-0000-0000-0000AD170000}"/>
    <cellStyle name="Vírgula 3 2 5 7" xfId="2291" xr:uid="{00000000-0005-0000-0000-0000AE170000}"/>
    <cellStyle name="Vírgula 3 2 5 7 2" xfId="8807" xr:uid="{00000000-0005-0000-0000-0000AF170000}"/>
    <cellStyle name="Vírgula 3 2 5 8" xfId="4395" xr:uid="{00000000-0005-0000-0000-0000B0170000}"/>
    <cellStyle name="Vírgula 3 2 5 8 2" xfId="10909" xr:uid="{00000000-0005-0000-0000-0000B1170000}"/>
    <cellStyle name="Vírgula 3 2 5 9" xfId="6625" xr:uid="{00000000-0005-0000-0000-0000B2170000}"/>
    <cellStyle name="Vírgula 3 2 6" xfId="168" xr:uid="{00000000-0005-0000-0000-0000B3170000}"/>
    <cellStyle name="Vírgula 3 2 6 2" xfId="296" xr:uid="{00000000-0005-0000-0000-0000B4170000}"/>
    <cellStyle name="Vírgula 3 2 6 2 2" xfId="639" xr:uid="{00000000-0005-0000-0000-0000B5170000}"/>
    <cellStyle name="Vírgula 3 2 6 2 2 2" xfId="1163" xr:uid="{00000000-0005-0000-0000-0000B6170000}"/>
    <cellStyle name="Vírgula 3 2 6 2 2 2 2" xfId="2191" xr:uid="{00000000-0005-0000-0000-0000B7170000}"/>
    <cellStyle name="Vírgula 3 2 6 2 2 2 2 2" xfId="4249" xr:uid="{00000000-0005-0000-0000-0000B8170000}"/>
    <cellStyle name="Vírgula 3 2 6 2 2 2 2 2 2" xfId="10765" xr:uid="{00000000-0005-0000-0000-0000B9170000}"/>
    <cellStyle name="Vírgula 3 2 6 2 2 2 2 3" xfId="6479" xr:uid="{00000000-0005-0000-0000-0000BA170000}"/>
    <cellStyle name="Vírgula 3 2 6 2 2 2 2 3 2" xfId="12993" xr:uid="{00000000-0005-0000-0000-0000BB170000}"/>
    <cellStyle name="Vírgula 3 2 6 2 2 2 2 4" xfId="8709" xr:uid="{00000000-0005-0000-0000-0000BC170000}"/>
    <cellStyle name="Vírgula 3 2 6 2 2 2 3" xfId="3221" xr:uid="{00000000-0005-0000-0000-0000BD170000}"/>
    <cellStyle name="Vírgula 3 2 6 2 2 2 3 2" xfId="9737" xr:uid="{00000000-0005-0000-0000-0000BE170000}"/>
    <cellStyle name="Vírgula 3 2 6 2 2 2 4" xfId="5451" xr:uid="{00000000-0005-0000-0000-0000BF170000}"/>
    <cellStyle name="Vírgula 3 2 6 2 2 2 4 2" xfId="11965" xr:uid="{00000000-0005-0000-0000-0000C0170000}"/>
    <cellStyle name="Vírgula 3 2 6 2 2 2 5" xfId="7681" xr:uid="{00000000-0005-0000-0000-0000C1170000}"/>
    <cellStyle name="Vírgula 3 2 6 2 2 3" xfId="1677" xr:uid="{00000000-0005-0000-0000-0000C2170000}"/>
    <cellStyle name="Vírgula 3 2 6 2 2 3 2" xfId="3735" xr:uid="{00000000-0005-0000-0000-0000C3170000}"/>
    <cellStyle name="Vírgula 3 2 6 2 2 3 2 2" xfId="10251" xr:uid="{00000000-0005-0000-0000-0000C4170000}"/>
    <cellStyle name="Vírgula 3 2 6 2 2 3 3" xfId="5965" xr:uid="{00000000-0005-0000-0000-0000C5170000}"/>
    <cellStyle name="Vírgula 3 2 6 2 2 3 3 2" xfId="12479" xr:uid="{00000000-0005-0000-0000-0000C6170000}"/>
    <cellStyle name="Vírgula 3 2 6 2 2 3 4" xfId="8195" xr:uid="{00000000-0005-0000-0000-0000C7170000}"/>
    <cellStyle name="Vírgula 3 2 6 2 2 4" xfId="2707" xr:uid="{00000000-0005-0000-0000-0000C8170000}"/>
    <cellStyle name="Vírgula 3 2 6 2 2 4 2" xfId="9223" xr:uid="{00000000-0005-0000-0000-0000C9170000}"/>
    <cellStyle name="Vírgula 3 2 6 2 2 5" xfId="4935" xr:uid="{00000000-0005-0000-0000-0000CA170000}"/>
    <cellStyle name="Vírgula 3 2 6 2 2 5 2" xfId="11449" xr:uid="{00000000-0005-0000-0000-0000CB170000}"/>
    <cellStyle name="Vírgula 3 2 6 2 2 6" xfId="7165" xr:uid="{00000000-0005-0000-0000-0000CC170000}"/>
    <cellStyle name="Vírgula 3 2 6 2 3" xfId="907" xr:uid="{00000000-0005-0000-0000-0000CD170000}"/>
    <cellStyle name="Vírgula 3 2 6 2 3 2" xfId="1935" xr:uid="{00000000-0005-0000-0000-0000CE170000}"/>
    <cellStyle name="Vírgula 3 2 6 2 3 2 2" xfId="3993" xr:uid="{00000000-0005-0000-0000-0000CF170000}"/>
    <cellStyle name="Vírgula 3 2 6 2 3 2 2 2" xfId="10509" xr:uid="{00000000-0005-0000-0000-0000D0170000}"/>
    <cellStyle name="Vírgula 3 2 6 2 3 2 3" xfId="6223" xr:uid="{00000000-0005-0000-0000-0000D1170000}"/>
    <cellStyle name="Vírgula 3 2 6 2 3 2 3 2" xfId="12737" xr:uid="{00000000-0005-0000-0000-0000D2170000}"/>
    <cellStyle name="Vírgula 3 2 6 2 3 2 4" xfId="8453" xr:uid="{00000000-0005-0000-0000-0000D3170000}"/>
    <cellStyle name="Vírgula 3 2 6 2 3 3" xfId="2965" xr:uid="{00000000-0005-0000-0000-0000D4170000}"/>
    <cellStyle name="Vírgula 3 2 6 2 3 3 2" xfId="9481" xr:uid="{00000000-0005-0000-0000-0000D5170000}"/>
    <cellStyle name="Vírgula 3 2 6 2 3 4" xfId="5195" xr:uid="{00000000-0005-0000-0000-0000D6170000}"/>
    <cellStyle name="Vírgula 3 2 6 2 3 4 2" xfId="11709" xr:uid="{00000000-0005-0000-0000-0000D7170000}"/>
    <cellStyle name="Vírgula 3 2 6 2 3 5" xfId="7425" xr:uid="{00000000-0005-0000-0000-0000D8170000}"/>
    <cellStyle name="Vírgula 3 2 6 2 4" xfId="1421" xr:uid="{00000000-0005-0000-0000-0000D9170000}"/>
    <cellStyle name="Vírgula 3 2 6 2 4 2" xfId="3479" xr:uid="{00000000-0005-0000-0000-0000DA170000}"/>
    <cellStyle name="Vírgula 3 2 6 2 4 2 2" xfId="9995" xr:uid="{00000000-0005-0000-0000-0000DB170000}"/>
    <cellStyle name="Vírgula 3 2 6 2 4 3" xfId="5709" xr:uid="{00000000-0005-0000-0000-0000DC170000}"/>
    <cellStyle name="Vírgula 3 2 6 2 4 3 2" xfId="12223" xr:uid="{00000000-0005-0000-0000-0000DD170000}"/>
    <cellStyle name="Vírgula 3 2 6 2 4 4" xfId="7939" xr:uid="{00000000-0005-0000-0000-0000DE170000}"/>
    <cellStyle name="Vírgula 3 2 6 2 5" xfId="2451" xr:uid="{00000000-0005-0000-0000-0000DF170000}"/>
    <cellStyle name="Vírgula 3 2 6 2 5 2" xfId="8967" xr:uid="{00000000-0005-0000-0000-0000E0170000}"/>
    <cellStyle name="Vírgula 3 2 6 2 6" xfId="4593" xr:uid="{00000000-0005-0000-0000-0000E1170000}"/>
    <cellStyle name="Vírgula 3 2 6 2 6 2" xfId="11107" xr:uid="{00000000-0005-0000-0000-0000E2170000}"/>
    <cellStyle name="Vírgula 3 2 6 2 7" xfId="6823" xr:uid="{00000000-0005-0000-0000-0000E3170000}"/>
    <cellStyle name="Vírgula 3 2 6 3" xfId="511" xr:uid="{00000000-0005-0000-0000-0000E4170000}"/>
    <cellStyle name="Vírgula 3 2 6 3 2" xfId="1035" xr:uid="{00000000-0005-0000-0000-0000E5170000}"/>
    <cellStyle name="Vírgula 3 2 6 3 2 2" xfId="2063" xr:uid="{00000000-0005-0000-0000-0000E6170000}"/>
    <cellStyle name="Vírgula 3 2 6 3 2 2 2" xfId="4121" xr:uid="{00000000-0005-0000-0000-0000E7170000}"/>
    <cellStyle name="Vírgula 3 2 6 3 2 2 2 2" xfId="10637" xr:uid="{00000000-0005-0000-0000-0000E8170000}"/>
    <cellStyle name="Vírgula 3 2 6 3 2 2 3" xfId="6351" xr:uid="{00000000-0005-0000-0000-0000E9170000}"/>
    <cellStyle name="Vírgula 3 2 6 3 2 2 3 2" xfId="12865" xr:uid="{00000000-0005-0000-0000-0000EA170000}"/>
    <cellStyle name="Vírgula 3 2 6 3 2 2 4" xfId="8581" xr:uid="{00000000-0005-0000-0000-0000EB170000}"/>
    <cellStyle name="Vírgula 3 2 6 3 2 3" xfId="3093" xr:uid="{00000000-0005-0000-0000-0000EC170000}"/>
    <cellStyle name="Vírgula 3 2 6 3 2 3 2" xfId="9609" xr:uid="{00000000-0005-0000-0000-0000ED170000}"/>
    <cellStyle name="Vírgula 3 2 6 3 2 4" xfId="5323" xr:uid="{00000000-0005-0000-0000-0000EE170000}"/>
    <cellStyle name="Vírgula 3 2 6 3 2 4 2" xfId="11837" xr:uid="{00000000-0005-0000-0000-0000EF170000}"/>
    <cellStyle name="Vírgula 3 2 6 3 2 5" xfId="7553" xr:uid="{00000000-0005-0000-0000-0000F0170000}"/>
    <cellStyle name="Vírgula 3 2 6 3 3" xfId="1549" xr:uid="{00000000-0005-0000-0000-0000F1170000}"/>
    <cellStyle name="Vírgula 3 2 6 3 3 2" xfId="3607" xr:uid="{00000000-0005-0000-0000-0000F2170000}"/>
    <cellStyle name="Vírgula 3 2 6 3 3 2 2" xfId="10123" xr:uid="{00000000-0005-0000-0000-0000F3170000}"/>
    <cellStyle name="Vírgula 3 2 6 3 3 3" xfId="5837" xr:uid="{00000000-0005-0000-0000-0000F4170000}"/>
    <cellStyle name="Vírgula 3 2 6 3 3 3 2" xfId="12351" xr:uid="{00000000-0005-0000-0000-0000F5170000}"/>
    <cellStyle name="Vírgula 3 2 6 3 3 4" xfId="8067" xr:uid="{00000000-0005-0000-0000-0000F6170000}"/>
    <cellStyle name="Vírgula 3 2 6 3 4" xfId="2579" xr:uid="{00000000-0005-0000-0000-0000F7170000}"/>
    <cellStyle name="Vírgula 3 2 6 3 4 2" xfId="9095" xr:uid="{00000000-0005-0000-0000-0000F8170000}"/>
    <cellStyle name="Vírgula 3 2 6 3 5" xfId="4807" xr:uid="{00000000-0005-0000-0000-0000F9170000}"/>
    <cellStyle name="Vírgula 3 2 6 3 5 2" xfId="11321" xr:uid="{00000000-0005-0000-0000-0000FA170000}"/>
    <cellStyle name="Vírgula 3 2 6 3 6" xfId="7037" xr:uid="{00000000-0005-0000-0000-0000FB170000}"/>
    <cellStyle name="Vírgula 3 2 6 4" xfId="779" xr:uid="{00000000-0005-0000-0000-0000FC170000}"/>
    <cellStyle name="Vírgula 3 2 6 4 2" xfId="1807" xr:uid="{00000000-0005-0000-0000-0000FD170000}"/>
    <cellStyle name="Vírgula 3 2 6 4 2 2" xfId="3865" xr:uid="{00000000-0005-0000-0000-0000FE170000}"/>
    <cellStyle name="Vírgula 3 2 6 4 2 2 2" xfId="10381" xr:uid="{00000000-0005-0000-0000-0000FF170000}"/>
    <cellStyle name="Vírgula 3 2 6 4 2 3" xfId="6095" xr:uid="{00000000-0005-0000-0000-000000180000}"/>
    <cellStyle name="Vírgula 3 2 6 4 2 3 2" xfId="12609" xr:uid="{00000000-0005-0000-0000-000001180000}"/>
    <cellStyle name="Vírgula 3 2 6 4 2 4" xfId="8325" xr:uid="{00000000-0005-0000-0000-000002180000}"/>
    <cellStyle name="Vírgula 3 2 6 4 3" xfId="2837" xr:uid="{00000000-0005-0000-0000-000003180000}"/>
    <cellStyle name="Vírgula 3 2 6 4 3 2" xfId="9353" xr:uid="{00000000-0005-0000-0000-000004180000}"/>
    <cellStyle name="Vírgula 3 2 6 4 4" xfId="5067" xr:uid="{00000000-0005-0000-0000-000005180000}"/>
    <cellStyle name="Vírgula 3 2 6 4 4 2" xfId="11581" xr:uid="{00000000-0005-0000-0000-000006180000}"/>
    <cellStyle name="Vírgula 3 2 6 4 5" xfId="7297" xr:uid="{00000000-0005-0000-0000-000007180000}"/>
    <cellStyle name="Vírgula 3 2 6 5" xfId="1293" xr:uid="{00000000-0005-0000-0000-000008180000}"/>
    <cellStyle name="Vírgula 3 2 6 5 2" xfId="3351" xr:uid="{00000000-0005-0000-0000-000009180000}"/>
    <cellStyle name="Vírgula 3 2 6 5 2 2" xfId="9867" xr:uid="{00000000-0005-0000-0000-00000A180000}"/>
    <cellStyle name="Vírgula 3 2 6 5 3" xfId="5581" xr:uid="{00000000-0005-0000-0000-00000B180000}"/>
    <cellStyle name="Vírgula 3 2 6 5 3 2" xfId="12095" xr:uid="{00000000-0005-0000-0000-00000C180000}"/>
    <cellStyle name="Vírgula 3 2 6 5 4" xfId="7811" xr:uid="{00000000-0005-0000-0000-00000D180000}"/>
    <cellStyle name="Vírgula 3 2 6 6" xfId="2323" xr:uid="{00000000-0005-0000-0000-00000E180000}"/>
    <cellStyle name="Vírgula 3 2 6 6 2" xfId="8839" xr:uid="{00000000-0005-0000-0000-00000F180000}"/>
    <cellStyle name="Vírgula 3 2 6 7" xfId="4465" xr:uid="{00000000-0005-0000-0000-000010180000}"/>
    <cellStyle name="Vírgula 3 2 6 7 2" xfId="10979" xr:uid="{00000000-0005-0000-0000-000011180000}"/>
    <cellStyle name="Vírgula 3 2 6 8" xfId="6695" xr:uid="{00000000-0005-0000-0000-000012180000}"/>
    <cellStyle name="Vírgula 3 2 7" xfId="232" xr:uid="{00000000-0005-0000-0000-000013180000}"/>
    <cellStyle name="Vírgula 3 2 7 2" xfId="575" xr:uid="{00000000-0005-0000-0000-000014180000}"/>
    <cellStyle name="Vírgula 3 2 7 2 2" xfId="1099" xr:uid="{00000000-0005-0000-0000-000015180000}"/>
    <cellStyle name="Vírgula 3 2 7 2 2 2" xfId="2127" xr:uid="{00000000-0005-0000-0000-000016180000}"/>
    <cellStyle name="Vírgula 3 2 7 2 2 2 2" xfId="4185" xr:uid="{00000000-0005-0000-0000-000017180000}"/>
    <cellStyle name="Vírgula 3 2 7 2 2 2 2 2" xfId="10701" xr:uid="{00000000-0005-0000-0000-000018180000}"/>
    <cellStyle name="Vírgula 3 2 7 2 2 2 3" xfId="6415" xr:uid="{00000000-0005-0000-0000-000019180000}"/>
    <cellStyle name="Vírgula 3 2 7 2 2 2 3 2" xfId="12929" xr:uid="{00000000-0005-0000-0000-00001A180000}"/>
    <cellStyle name="Vírgula 3 2 7 2 2 2 4" xfId="8645" xr:uid="{00000000-0005-0000-0000-00001B180000}"/>
    <cellStyle name="Vírgula 3 2 7 2 2 3" xfId="3157" xr:uid="{00000000-0005-0000-0000-00001C180000}"/>
    <cellStyle name="Vírgula 3 2 7 2 2 3 2" xfId="9673" xr:uid="{00000000-0005-0000-0000-00001D180000}"/>
    <cellStyle name="Vírgula 3 2 7 2 2 4" xfId="5387" xr:uid="{00000000-0005-0000-0000-00001E180000}"/>
    <cellStyle name="Vírgula 3 2 7 2 2 4 2" xfId="11901" xr:uid="{00000000-0005-0000-0000-00001F180000}"/>
    <cellStyle name="Vírgula 3 2 7 2 2 5" xfId="7617" xr:uid="{00000000-0005-0000-0000-000020180000}"/>
    <cellStyle name="Vírgula 3 2 7 2 3" xfId="1613" xr:uid="{00000000-0005-0000-0000-000021180000}"/>
    <cellStyle name="Vírgula 3 2 7 2 3 2" xfId="3671" xr:uid="{00000000-0005-0000-0000-000022180000}"/>
    <cellStyle name="Vírgula 3 2 7 2 3 2 2" xfId="10187" xr:uid="{00000000-0005-0000-0000-000023180000}"/>
    <cellStyle name="Vírgula 3 2 7 2 3 3" xfId="5901" xr:uid="{00000000-0005-0000-0000-000024180000}"/>
    <cellStyle name="Vírgula 3 2 7 2 3 3 2" xfId="12415" xr:uid="{00000000-0005-0000-0000-000025180000}"/>
    <cellStyle name="Vírgula 3 2 7 2 3 4" xfId="8131" xr:uid="{00000000-0005-0000-0000-000026180000}"/>
    <cellStyle name="Vírgula 3 2 7 2 4" xfId="2643" xr:uid="{00000000-0005-0000-0000-000027180000}"/>
    <cellStyle name="Vírgula 3 2 7 2 4 2" xfId="9159" xr:uid="{00000000-0005-0000-0000-000028180000}"/>
    <cellStyle name="Vírgula 3 2 7 2 5" xfId="4871" xr:uid="{00000000-0005-0000-0000-000029180000}"/>
    <cellStyle name="Vírgula 3 2 7 2 5 2" xfId="11385" xr:uid="{00000000-0005-0000-0000-00002A180000}"/>
    <cellStyle name="Vírgula 3 2 7 2 6" xfId="7101" xr:uid="{00000000-0005-0000-0000-00002B180000}"/>
    <cellStyle name="Vírgula 3 2 7 3" xfId="843" xr:uid="{00000000-0005-0000-0000-00002C180000}"/>
    <cellStyle name="Vírgula 3 2 7 3 2" xfId="1871" xr:uid="{00000000-0005-0000-0000-00002D180000}"/>
    <cellStyle name="Vírgula 3 2 7 3 2 2" xfId="3929" xr:uid="{00000000-0005-0000-0000-00002E180000}"/>
    <cellStyle name="Vírgula 3 2 7 3 2 2 2" xfId="10445" xr:uid="{00000000-0005-0000-0000-00002F180000}"/>
    <cellStyle name="Vírgula 3 2 7 3 2 3" xfId="6159" xr:uid="{00000000-0005-0000-0000-000030180000}"/>
    <cellStyle name="Vírgula 3 2 7 3 2 3 2" xfId="12673" xr:uid="{00000000-0005-0000-0000-000031180000}"/>
    <cellStyle name="Vírgula 3 2 7 3 2 4" xfId="8389" xr:uid="{00000000-0005-0000-0000-000032180000}"/>
    <cellStyle name="Vírgula 3 2 7 3 3" xfId="2901" xr:uid="{00000000-0005-0000-0000-000033180000}"/>
    <cellStyle name="Vírgula 3 2 7 3 3 2" xfId="9417" xr:uid="{00000000-0005-0000-0000-000034180000}"/>
    <cellStyle name="Vírgula 3 2 7 3 4" xfId="5131" xr:uid="{00000000-0005-0000-0000-000035180000}"/>
    <cellStyle name="Vírgula 3 2 7 3 4 2" xfId="11645" xr:uid="{00000000-0005-0000-0000-000036180000}"/>
    <cellStyle name="Vírgula 3 2 7 3 5" xfId="7361" xr:uid="{00000000-0005-0000-0000-000037180000}"/>
    <cellStyle name="Vírgula 3 2 7 4" xfId="1357" xr:uid="{00000000-0005-0000-0000-000038180000}"/>
    <cellStyle name="Vírgula 3 2 7 4 2" xfId="3415" xr:uid="{00000000-0005-0000-0000-000039180000}"/>
    <cellStyle name="Vírgula 3 2 7 4 2 2" xfId="9931" xr:uid="{00000000-0005-0000-0000-00003A180000}"/>
    <cellStyle name="Vírgula 3 2 7 4 3" xfId="5645" xr:uid="{00000000-0005-0000-0000-00003B180000}"/>
    <cellStyle name="Vírgula 3 2 7 4 3 2" xfId="12159" xr:uid="{00000000-0005-0000-0000-00003C180000}"/>
    <cellStyle name="Vírgula 3 2 7 4 4" xfId="7875" xr:uid="{00000000-0005-0000-0000-00003D180000}"/>
    <cellStyle name="Vírgula 3 2 7 5" xfId="2387" xr:uid="{00000000-0005-0000-0000-00003E180000}"/>
    <cellStyle name="Vírgula 3 2 7 5 2" xfId="8903" xr:uid="{00000000-0005-0000-0000-00003F180000}"/>
    <cellStyle name="Vírgula 3 2 7 6" xfId="4529" xr:uid="{00000000-0005-0000-0000-000040180000}"/>
    <cellStyle name="Vírgula 3 2 7 6 2" xfId="11043" xr:uid="{00000000-0005-0000-0000-000041180000}"/>
    <cellStyle name="Vírgula 3 2 7 7" xfId="6759" xr:uid="{00000000-0005-0000-0000-000042180000}"/>
    <cellStyle name="Vírgula 3 2 8" xfId="367" xr:uid="{00000000-0005-0000-0000-000043180000}"/>
    <cellStyle name="Vírgula 3 2 8 2" xfId="971" xr:uid="{00000000-0005-0000-0000-000044180000}"/>
    <cellStyle name="Vírgula 3 2 8 2 2" xfId="1999" xr:uid="{00000000-0005-0000-0000-000045180000}"/>
    <cellStyle name="Vírgula 3 2 8 2 2 2" xfId="4057" xr:uid="{00000000-0005-0000-0000-000046180000}"/>
    <cellStyle name="Vírgula 3 2 8 2 2 2 2" xfId="10573" xr:uid="{00000000-0005-0000-0000-000047180000}"/>
    <cellStyle name="Vírgula 3 2 8 2 2 3" xfId="6287" xr:uid="{00000000-0005-0000-0000-000048180000}"/>
    <cellStyle name="Vírgula 3 2 8 2 2 3 2" xfId="12801" xr:uid="{00000000-0005-0000-0000-000049180000}"/>
    <cellStyle name="Vírgula 3 2 8 2 2 4" xfId="8517" xr:uid="{00000000-0005-0000-0000-00004A180000}"/>
    <cellStyle name="Vírgula 3 2 8 2 3" xfId="3029" xr:uid="{00000000-0005-0000-0000-00004B180000}"/>
    <cellStyle name="Vírgula 3 2 8 2 3 2" xfId="9545" xr:uid="{00000000-0005-0000-0000-00004C180000}"/>
    <cellStyle name="Vírgula 3 2 8 2 4" xfId="5259" xr:uid="{00000000-0005-0000-0000-00004D180000}"/>
    <cellStyle name="Vírgula 3 2 8 2 4 2" xfId="11773" xr:uid="{00000000-0005-0000-0000-00004E180000}"/>
    <cellStyle name="Vírgula 3 2 8 2 5" xfId="7489" xr:uid="{00000000-0005-0000-0000-00004F180000}"/>
    <cellStyle name="Vírgula 3 2 8 3" xfId="1485" xr:uid="{00000000-0005-0000-0000-000050180000}"/>
    <cellStyle name="Vírgula 3 2 8 3 2" xfId="3543" xr:uid="{00000000-0005-0000-0000-000051180000}"/>
    <cellStyle name="Vírgula 3 2 8 3 2 2" xfId="10059" xr:uid="{00000000-0005-0000-0000-000052180000}"/>
    <cellStyle name="Vírgula 3 2 8 3 3" xfId="5773" xr:uid="{00000000-0005-0000-0000-000053180000}"/>
    <cellStyle name="Vírgula 3 2 8 3 3 2" xfId="12287" xr:uid="{00000000-0005-0000-0000-000054180000}"/>
    <cellStyle name="Vírgula 3 2 8 3 4" xfId="8003" xr:uid="{00000000-0005-0000-0000-000055180000}"/>
    <cellStyle name="Vírgula 3 2 8 4" xfId="2515" xr:uid="{00000000-0005-0000-0000-000056180000}"/>
    <cellStyle name="Vírgula 3 2 8 4 2" xfId="9031" xr:uid="{00000000-0005-0000-0000-000057180000}"/>
    <cellStyle name="Vírgula 3 2 8 5" xfId="4663" xr:uid="{00000000-0005-0000-0000-000058180000}"/>
    <cellStyle name="Vírgula 3 2 8 5 2" xfId="11177" xr:uid="{00000000-0005-0000-0000-000059180000}"/>
    <cellStyle name="Vírgula 3 2 8 6" xfId="6893" xr:uid="{00000000-0005-0000-0000-00005A180000}"/>
    <cellStyle name="Vírgula 3 2 9" xfId="715" xr:uid="{00000000-0005-0000-0000-00005B180000}"/>
    <cellStyle name="Vírgula 3 2 9 2" xfId="1743" xr:uid="{00000000-0005-0000-0000-00005C180000}"/>
    <cellStyle name="Vírgula 3 2 9 2 2" xfId="3801" xr:uid="{00000000-0005-0000-0000-00005D180000}"/>
    <cellStyle name="Vírgula 3 2 9 2 2 2" xfId="10317" xr:uid="{00000000-0005-0000-0000-00005E180000}"/>
    <cellStyle name="Vírgula 3 2 9 2 3" xfId="6031" xr:uid="{00000000-0005-0000-0000-00005F180000}"/>
    <cellStyle name="Vírgula 3 2 9 2 3 2" xfId="12545" xr:uid="{00000000-0005-0000-0000-000060180000}"/>
    <cellStyle name="Vírgula 3 2 9 2 4" xfId="8261" xr:uid="{00000000-0005-0000-0000-000061180000}"/>
    <cellStyle name="Vírgula 3 2 9 3" xfId="2773" xr:uid="{00000000-0005-0000-0000-000062180000}"/>
    <cellStyle name="Vírgula 3 2 9 3 2" xfId="9289" xr:uid="{00000000-0005-0000-0000-000063180000}"/>
    <cellStyle name="Vírgula 3 2 9 4" xfId="5003" xr:uid="{00000000-0005-0000-0000-000064180000}"/>
    <cellStyle name="Vírgula 3 2 9 4 2" xfId="11517" xr:uid="{00000000-0005-0000-0000-000065180000}"/>
    <cellStyle name="Vírgula 3 2 9 5" xfId="7233" xr:uid="{00000000-0005-0000-0000-000066180000}"/>
    <cellStyle name="Vírgula 3 3" xfId="26" xr:uid="{00000000-0005-0000-0000-000067180000}"/>
    <cellStyle name="Vírgula 3 3 10" xfId="1230" xr:uid="{00000000-0005-0000-0000-000068180000}"/>
    <cellStyle name="Vírgula 3 3 10 2" xfId="3288" xr:uid="{00000000-0005-0000-0000-000069180000}"/>
    <cellStyle name="Vírgula 3 3 10 2 2" xfId="9804" xr:uid="{00000000-0005-0000-0000-00006A180000}"/>
    <cellStyle name="Vírgula 3 3 10 3" xfId="5518" xr:uid="{00000000-0005-0000-0000-00006B180000}"/>
    <cellStyle name="Vírgula 3 3 10 3 2" xfId="12032" xr:uid="{00000000-0005-0000-0000-00006C180000}"/>
    <cellStyle name="Vírgula 3 3 10 4" xfId="7748" xr:uid="{00000000-0005-0000-0000-00006D180000}"/>
    <cellStyle name="Vírgula 3 3 11" xfId="2260" xr:uid="{00000000-0005-0000-0000-00006E180000}"/>
    <cellStyle name="Vírgula 3 3 11 2" xfId="8776" xr:uid="{00000000-0005-0000-0000-00006F180000}"/>
    <cellStyle name="Vírgula 3 3 12" xfId="4324" xr:uid="{00000000-0005-0000-0000-000070180000}"/>
    <cellStyle name="Vírgula 3 3 12 2" xfId="10838" xr:uid="{00000000-0005-0000-0000-000071180000}"/>
    <cellStyle name="Vírgula 3 3 13" xfId="6554" xr:uid="{00000000-0005-0000-0000-000072180000}"/>
    <cellStyle name="Vírgula 3 3 2" xfId="41" xr:uid="{00000000-0005-0000-0000-000073180000}"/>
    <cellStyle name="Vírgula 3 3 2 10" xfId="4339" xr:uid="{00000000-0005-0000-0000-000074180000}"/>
    <cellStyle name="Vírgula 3 3 2 10 2" xfId="10853" xr:uid="{00000000-0005-0000-0000-000075180000}"/>
    <cellStyle name="Vírgula 3 3 2 11" xfId="6569" xr:uid="{00000000-0005-0000-0000-000076180000}"/>
    <cellStyle name="Vírgula 3 3 2 2" xfId="79" xr:uid="{00000000-0005-0000-0000-000077180000}"/>
    <cellStyle name="Vírgula 3 3 2 2 10" xfId="6606" xr:uid="{00000000-0005-0000-0000-000078180000}"/>
    <cellStyle name="Vírgula 3 3 2 2 2" xfId="153" xr:uid="{00000000-0005-0000-0000-000079180000}"/>
    <cellStyle name="Vírgula 3 3 2 2 2 2" xfId="223" xr:uid="{00000000-0005-0000-0000-00007A180000}"/>
    <cellStyle name="Vírgula 3 3 2 2 2 2 2" xfId="351" xr:uid="{00000000-0005-0000-0000-00007B180000}"/>
    <cellStyle name="Vírgula 3 3 2 2 2 2 2 2" xfId="694" xr:uid="{00000000-0005-0000-0000-00007C180000}"/>
    <cellStyle name="Vírgula 3 3 2 2 2 2 2 2 2" xfId="1218" xr:uid="{00000000-0005-0000-0000-00007D180000}"/>
    <cellStyle name="Vírgula 3 3 2 2 2 2 2 2 2 2" xfId="2246" xr:uid="{00000000-0005-0000-0000-00007E180000}"/>
    <cellStyle name="Vírgula 3 3 2 2 2 2 2 2 2 2 2" xfId="4304" xr:uid="{00000000-0005-0000-0000-00007F180000}"/>
    <cellStyle name="Vírgula 3 3 2 2 2 2 2 2 2 2 2 2" xfId="10820" xr:uid="{00000000-0005-0000-0000-000080180000}"/>
    <cellStyle name="Vírgula 3 3 2 2 2 2 2 2 2 2 3" xfId="6534" xr:uid="{00000000-0005-0000-0000-000081180000}"/>
    <cellStyle name="Vírgula 3 3 2 2 2 2 2 2 2 2 3 2" xfId="13048" xr:uid="{00000000-0005-0000-0000-000082180000}"/>
    <cellStyle name="Vírgula 3 3 2 2 2 2 2 2 2 2 4" xfId="8764" xr:uid="{00000000-0005-0000-0000-000083180000}"/>
    <cellStyle name="Vírgula 3 3 2 2 2 2 2 2 2 3" xfId="3276" xr:uid="{00000000-0005-0000-0000-000084180000}"/>
    <cellStyle name="Vírgula 3 3 2 2 2 2 2 2 2 3 2" xfId="9792" xr:uid="{00000000-0005-0000-0000-000085180000}"/>
    <cellStyle name="Vírgula 3 3 2 2 2 2 2 2 2 4" xfId="5506" xr:uid="{00000000-0005-0000-0000-000086180000}"/>
    <cellStyle name="Vírgula 3 3 2 2 2 2 2 2 2 4 2" xfId="12020" xr:uid="{00000000-0005-0000-0000-000087180000}"/>
    <cellStyle name="Vírgula 3 3 2 2 2 2 2 2 2 5" xfId="7736" xr:uid="{00000000-0005-0000-0000-000088180000}"/>
    <cellStyle name="Vírgula 3 3 2 2 2 2 2 2 3" xfId="1732" xr:uid="{00000000-0005-0000-0000-000089180000}"/>
    <cellStyle name="Vírgula 3 3 2 2 2 2 2 2 3 2" xfId="3790" xr:uid="{00000000-0005-0000-0000-00008A180000}"/>
    <cellStyle name="Vírgula 3 3 2 2 2 2 2 2 3 2 2" xfId="10306" xr:uid="{00000000-0005-0000-0000-00008B180000}"/>
    <cellStyle name="Vírgula 3 3 2 2 2 2 2 2 3 3" xfId="6020" xr:uid="{00000000-0005-0000-0000-00008C180000}"/>
    <cellStyle name="Vírgula 3 3 2 2 2 2 2 2 3 3 2" xfId="12534" xr:uid="{00000000-0005-0000-0000-00008D180000}"/>
    <cellStyle name="Vírgula 3 3 2 2 2 2 2 2 3 4" xfId="8250" xr:uid="{00000000-0005-0000-0000-00008E180000}"/>
    <cellStyle name="Vírgula 3 3 2 2 2 2 2 2 4" xfId="2762" xr:uid="{00000000-0005-0000-0000-00008F180000}"/>
    <cellStyle name="Vírgula 3 3 2 2 2 2 2 2 4 2" xfId="9278" xr:uid="{00000000-0005-0000-0000-000090180000}"/>
    <cellStyle name="Vírgula 3 3 2 2 2 2 2 2 5" xfId="4990" xr:uid="{00000000-0005-0000-0000-000091180000}"/>
    <cellStyle name="Vírgula 3 3 2 2 2 2 2 2 5 2" xfId="11504" xr:uid="{00000000-0005-0000-0000-000092180000}"/>
    <cellStyle name="Vírgula 3 3 2 2 2 2 2 2 6" xfId="7220" xr:uid="{00000000-0005-0000-0000-000093180000}"/>
    <cellStyle name="Vírgula 3 3 2 2 2 2 2 3" xfId="962" xr:uid="{00000000-0005-0000-0000-000094180000}"/>
    <cellStyle name="Vírgula 3 3 2 2 2 2 2 3 2" xfId="1990" xr:uid="{00000000-0005-0000-0000-000095180000}"/>
    <cellStyle name="Vírgula 3 3 2 2 2 2 2 3 2 2" xfId="4048" xr:uid="{00000000-0005-0000-0000-000096180000}"/>
    <cellStyle name="Vírgula 3 3 2 2 2 2 2 3 2 2 2" xfId="10564" xr:uid="{00000000-0005-0000-0000-000097180000}"/>
    <cellStyle name="Vírgula 3 3 2 2 2 2 2 3 2 3" xfId="6278" xr:uid="{00000000-0005-0000-0000-000098180000}"/>
    <cellStyle name="Vírgula 3 3 2 2 2 2 2 3 2 3 2" xfId="12792" xr:uid="{00000000-0005-0000-0000-000099180000}"/>
    <cellStyle name="Vírgula 3 3 2 2 2 2 2 3 2 4" xfId="8508" xr:uid="{00000000-0005-0000-0000-00009A180000}"/>
    <cellStyle name="Vírgula 3 3 2 2 2 2 2 3 3" xfId="3020" xr:uid="{00000000-0005-0000-0000-00009B180000}"/>
    <cellStyle name="Vírgula 3 3 2 2 2 2 2 3 3 2" xfId="9536" xr:uid="{00000000-0005-0000-0000-00009C180000}"/>
    <cellStyle name="Vírgula 3 3 2 2 2 2 2 3 4" xfId="5250" xr:uid="{00000000-0005-0000-0000-00009D180000}"/>
    <cellStyle name="Vírgula 3 3 2 2 2 2 2 3 4 2" xfId="11764" xr:uid="{00000000-0005-0000-0000-00009E180000}"/>
    <cellStyle name="Vírgula 3 3 2 2 2 2 2 3 5" xfId="7480" xr:uid="{00000000-0005-0000-0000-00009F180000}"/>
    <cellStyle name="Vírgula 3 3 2 2 2 2 2 4" xfId="1476" xr:uid="{00000000-0005-0000-0000-0000A0180000}"/>
    <cellStyle name="Vírgula 3 3 2 2 2 2 2 4 2" xfId="3534" xr:uid="{00000000-0005-0000-0000-0000A1180000}"/>
    <cellStyle name="Vírgula 3 3 2 2 2 2 2 4 2 2" xfId="10050" xr:uid="{00000000-0005-0000-0000-0000A2180000}"/>
    <cellStyle name="Vírgula 3 3 2 2 2 2 2 4 3" xfId="5764" xr:uid="{00000000-0005-0000-0000-0000A3180000}"/>
    <cellStyle name="Vírgula 3 3 2 2 2 2 2 4 3 2" xfId="12278" xr:uid="{00000000-0005-0000-0000-0000A4180000}"/>
    <cellStyle name="Vírgula 3 3 2 2 2 2 2 4 4" xfId="7994" xr:uid="{00000000-0005-0000-0000-0000A5180000}"/>
    <cellStyle name="Vírgula 3 3 2 2 2 2 2 5" xfId="2506" xr:uid="{00000000-0005-0000-0000-0000A6180000}"/>
    <cellStyle name="Vírgula 3 3 2 2 2 2 2 5 2" xfId="9022" xr:uid="{00000000-0005-0000-0000-0000A7180000}"/>
    <cellStyle name="Vírgula 3 3 2 2 2 2 2 6" xfId="4648" xr:uid="{00000000-0005-0000-0000-0000A8180000}"/>
    <cellStyle name="Vírgula 3 3 2 2 2 2 2 6 2" xfId="11162" xr:uid="{00000000-0005-0000-0000-0000A9180000}"/>
    <cellStyle name="Vírgula 3 3 2 2 2 2 2 7" xfId="6878" xr:uid="{00000000-0005-0000-0000-0000AA180000}"/>
    <cellStyle name="Vírgula 3 3 2 2 2 2 3" xfId="566" xr:uid="{00000000-0005-0000-0000-0000AB180000}"/>
    <cellStyle name="Vírgula 3 3 2 2 2 2 3 2" xfId="1090" xr:uid="{00000000-0005-0000-0000-0000AC180000}"/>
    <cellStyle name="Vírgula 3 3 2 2 2 2 3 2 2" xfId="2118" xr:uid="{00000000-0005-0000-0000-0000AD180000}"/>
    <cellStyle name="Vírgula 3 3 2 2 2 2 3 2 2 2" xfId="4176" xr:uid="{00000000-0005-0000-0000-0000AE180000}"/>
    <cellStyle name="Vírgula 3 3 2 2 2 2 3 2 2 2 2" xfId="10692" xr:uid="{00000000-0005-0000-0000-0000AF180000}"/>
    <cellStyle name="Vírgula 3 3 2 2 2 2 3 2 2 3" xfId="6406" xr:uid="{00000000-0005-0000-0000-0000B0180000}"/>
    <cellStyle name="Vírgula 3 3 2 2 2 2 3 2 2 3 2" xfId="12920" xr:uid="{00000000-0005-0000-0000-0000B1180000}"/>
    <cellStyle name="Vírgula 3 3 2 2 2 2 3 2 2 4" xfId="8636" xr:uid="{00000000-0005-0000-0000-0000B2180000}"/>
    <cellStyle name="Vírgula 3 3 2 2 2 2 3 2 3" xfId="3148" xr:uid="{00000000-0005-0000-0000-0000B3180000}"/>
    <cellStyle name="Vírgula 3 3 2 2 2 2 3 2 3 2" xfId="9664" xr:uid="{00000000-0005-0000-0000-0000B4180000}"/>
    <cellStyle name="Vírgula 3 3 2 2 2 2 3 2 4" xfId="5378" xr:uid="{00000000-0005-0000-0000-0000B5180000}"/>
    <cellStyle name="Vírgula 3 3 2 2 2 2 3 2 4 2" xfId="11892" xr:uid="{00000000-0005-0000-0000-0000B6180000}"/>
    <cellStyle name="Vírgula 3 3 2 2 2 2 3 2 5" xfId="7608" xr:uid="{00000000-0005-0000-0000-0000B7180000}"/>
    <cellStyle name="Vírgula 3 3 2 2 2 2 3 3" xfId="1604" xr:uid="{00000000-0005-0000-0000-0000B8180000}"/>
    <cellStyle name="Vírgula 3 3 2 2 2 2 3 3 2" xfId="3662" xr:uid="{00000000-0005-0000-0000-0000B9180000}"/>
    <cellStyle name="Vírgula 3 3 2 2 2 2 3 3 2 2" xfId="10178" xr:uid="{00000000-0005-0000-0000-0000BA180000}"/>
    <cellStyle name="Vírgula 3 3 2 2 2 2 3 3 3" xfId="5892" xr:uid="{00000000-0005-0000-0000-0000BB180000}"/>
    <cellStyle name="Vírgula 3 3 2 2 2 2 3 3 3 2" xfId="12406" xr:uid="{00000000-0005-0000-0000-0000BC180000}"/>
    <cellStyle name="Vírgula 3 3 2 2 2 2 3 3 4" xfId="8122" xr:uid="{00000000-0005-0000-0000-0000BD180000}"/>
    <cellStyle name="Vírgula 3 3 2 2 2 2 3 4" xfId="2634" xr:uid="{00000000-0005-0000-0000-0000BE180000}"/>
    <cellStyle name="Vírgula 3 3 2 2 2 2 3 4 2" xfId="9150" xr:uid="{00000000-0005-0000-0000-0000BF180000}"/>
    <cellStyle name="Vírgula 3 3 2 2 2 2 3 5" xfId="4862" xr:uid="{00000000-0005-0000-0000-0000C0180000}"/>
    <cellStyle name="Vírgula 3 3 2 2 2 2 3 5 2" xfId="11376" xr:uid="{00000000-0005-0000-0000-0000C1180000}"/>
    <cellStyle name="Vírgula 3 3 2 2 2 2 3 6" xfId="7092" xr:uid="{00000000-0005-0000-0000-0000C2180000}"/>
    <cellStyle name="Vírgula 3 3 2 2 2 2 4" xfId="834" xr:uid="{00000000-0005-0000-0000-0000C3180000}"/>
    <cellStyle name="Vírgula 3 3 2 2 2 2 4 2" xfId="1862" xr:uid="{00000000-0005-0000-0000-0000C4180000}"/>
    <cellStyle name="Vírgula 3 3 2 2 2 2 4 2 2" xfId="3920" xr:uid="{00000000-0005-0000-0000-0000C5180000}"/>
    <cellStyle name="Vírgula 3 3 2 2 2 2 4 2 2 2" xfId="10436" xr:uid="{00000000-0005-0000-0000-0000C6180000}"/>
    <cellStyle name="Vírgula 3 3 2 2 2 2 4 2 3" xfId="6150" xr:uid="{00000000-0005-0000-0000-0000C7180000}"/>
    <cellStyle name="Vírgula 3 3 2 2 2 2 4 2 3 2" xfId="12664" xr:uid="{00000000-0005-0000-0000-0000C8180000}"/>
    <cellStyle name="Vírgula 3 3 2 2 2 2 4 2 4" xfId="8380" xr:uid="{00000000-0005-0000-0000-0000C9180000}"/>
    <cellStyle name="Vírgula 3 3 2 2 2 2 4 3" xfId="2892" xr:uid="{00000000-0005-0000-0000-0000CA180000}"/>
    <cellStyle name="Vírgula 3 3 2 2 2 2 4 3 2" xfId="9408" xr:uid="{00000000-0005-0000-0000-0000CB180000}"/>
    <cellStyle name="Vírgula 3 3 2 2 2 2 4 4" xfId="5122" xr:uid="{00000000-0005-0000-0000-0000CC180000}"/>
    <cellStyle name="Vírgula 3 3 2 2 2 2 4 4 2" xfId="11636" xr:uid="{00000000-0005-0000-0000-0000CD180000}"/>
    <cellStyle name="Vírgula 3 3 2 2 2 2 4 5" xfId="7352" xr:uid="{00000000-0005-0000-0000-0000CE180000}"/>
    <cellStyle name="Vírgula 3 3 2 2 2 2 5" xfId="1348" xr:uid="{00000000-0005-0000-0000-0000CF180000}"/>
    <cellStyle name="Vírgula 3 3 2 2 2 2 5 2" xfId="3406" xr:uid="{00000000-0005-0000-0000-0000D0180000}"/>
    <cellStyle name="Vírgula 3 3 2 2 2 2 5 2 2" xfId="9922" xr:uid="{00000000-0005-0000-0000-0000D1180000}"/>
    <cellStyle name="Vírgula 3 3 2 2 2 2 5 3" xfId="5636" xr:uid="{00000000-0005-0000-0000-0000D2180000}"/>
    <cellStyle name="Vírgula 3 3 2 2 2 2 5 3 2" xfId="12150" xr:uid="{00000000-0005-0000-0000-0000D3180000}"/>
    <cellStyle name="Vírgula 3 3 2 2 2 2 5 4" xfId="7866" xr:uid="{00000000-0005-0000-0000-0000D4180000}"/>
    <cellStyle name="Vírgula 3 3 2 2 2 2 6" xfId="2378" xr:uid="{00000000-0005-0000-0000-0000D5180000}"/>
    <cellStyle name="Vírgula 3 3 2 2 2 2 6 2" xfId="8894" xr:uid="{00000000-0005-0000-0000-0000D6180000}"/>
    <cellStyle name="Vírgula 3 3 2 2 2 2 7" xfId="4520" xr:uid="{00000000-0005-0000-0000-0000D7180000}"/>
    <cellStyle name="Vírgula 3 3 2 2 2 2 7 2" xfId="11034" xr:uid="{00000000-0005-0000-0000-0000D8180000}"/>
    <cellStyle name="Vírgula 3 3 2 2 2 2 8" xfId="6750" xr:uid="{00000000-0005-0000-0000-0000D9180000}"/>
    <cellStyle name="Vírgula 3 3 2 2 2 3" xfId="287" xr:uid="{00000000-0005-0000-0000-0000DA180000}"/>
    <cellStyle name="Vírgula 3 3 2 2 2 3 2" xfId="630" xr:uid="{00000000-0005-0000-0000-0000DB180000}"/>
    <cellStyle name="Vírgula 3 3 2 2 2 3 2 2" xfId="1154" xr:uid="{00000000-0005-0000-0000-0000DC180000}"/>
    <cellStyle name="Vírgula 3 3 2 2 2 3 2 2 2" xfId="2182" xr:uid="{00000000-0005-0000-0000-0000DD180000}"/>
    <cellStyle name="Vírgula 3 3 2 2 2 3 2 2 2 2" xfId="4240" xr:uid="{00000000-0005-0000-0000-0000DE180000}"/>
    <cellStyle name="Vírgula 3 3 2 2 2 3 2 2 2 2 2" xfId="10756" xr:uid="{00000000-0005-0000-0000-0000DF180000}"/>
    <cellStyle name="Vírgula 3 3 2 2 2 3 2 2 2 3" xfId="6470" xr:uid="{00000000-0005-0000-0000-0000E0180000}"/>
    <cellStyle name="Vírgula 3 3 2 2 2 3 2 2 2 3 2" xfId="12984" xr:uid="{00000000-0005-0000-0000-0000E1180000}"/>
    <cellStyle name="Vírgula 3 3 2 2 2 3 2 2 2 4" xfId="8700" xr:uid="{00000000-0005-0000-0000-0000E2180000}"/>
    <cellStyle name="Vírgula 3 3 2 2 2 3 2 2 3" xfId="3212" xr:uid="{00000000-0005-0000-0000-0000E3180000}"/>
    <cellStyle name="Vírgula 3 3 2 2 2 3 2 2 3 2" xfId="9728" xr:uid="{00000000-0005-0000-0000-0000E4180000}"/>
    <cellStyle name="Vírgula 3 3 2 2 2 3 2 2 4" xfId="5442" xr:uid="{00000000-0005-0000-0000-0000E5180000}"/>
    <cellStyle name="Vírgula 3 3 2 2 2 3 2 2 4 2" xfId="11956" xr:uid="{00000000-0005-0000-0000-0000E6180000}"/>
    <cellStyle name="Vírgula 3 3 2 2 2 3 2 2 5" xfId="7672" xr:uid="{00000000-0005-0000-0000-0000E7180000}"/>
    <cellStyle name="Vírgula 3 3 2 2 2 3 2 3" xfId="1668" xr:uid="{00000000-0005-0000-0000-0000E8180000}"/>
    <cellStyle name="Vírgula 3 3 2 2 2 3 2 3 2" xfId="3726" xr:uid="{00000000-0005-0000-0000-0000E9180000}"/>
    <cellStyle name="Vírgula 3 3 2 2 2 3 2 3 2 2" xfId="10242" xr:uid="{00000000-0005-0000-0000-0000EA180000}"/>
    <cellStyle name="Vírgula 3 3 2 2 2 3 2 3 3" xfId="5956" xr:uid="{00000000-0005-0000-0000-0000EB180000}"/>
    <cellStyle name="Vírgula 3 3 2 2 2 3 2 3 3 2" xfId="12470" xr:uid="{00000000-0005-0000-0000-0000EC180000}"/>
    <cellStyle name="Vírgula 3 3 2 2 2 3 2 3 4" xfId="8186" xr:uid="{00000000-0005-0000-0000-0000ED180000}"/>
    <cellStyle name="Vírgula 3 3 2 2 2 3 2 4" xfId="2698" xr:uid="{00000000-0005-0000-0000-0000EE180000}"/>
    <cellStyle name="Vírgula 3 3 2 2 2 3 2 4 2" xfId="9214" xr:uid="{00000000-0005-0000-0000-0000EF180000}"/>
    <cellStyle name="Vírgula 3 3 2 2 2 3 2 5" xfId="4926" xr:uid="{00000000-0005-0000-0000-0000F0180000}"/>
    <cellStyle name="Vírgula 3 3 2 2 2 3 2 5 2" xfId="11440" xr:uid="{00000000-0005-0000-0000-0000F1180000}"/>
    <cellStyle name="Vírgula 3 3 2 2 2 3 2 6" xfId="7156" xr:uid="{00000000-0005-0000-0000-0000F2180000}"/>
    <cellStyle name="Vírgula 3 3 2 2 2 3 3" xfId="898" xr:uid="{00000000-0005-0000-0000-0000F3180000}"/>
    <cellStyle name="Vírgula 3 3 2 2 2 3 3 2" xfId="1926" xr:uid="{00000000-0005-0000-0000-0000F4180000}"/>
    <cellStyle name="Vírgula 3 3 2 2 2 3 3 2 2" xfId="3984" xr:uid="{00000000-0005-0000-0000-0000F5180000}"/>
    <cellStyle name="Vírgula 3 3 2 2 2 3 3 2 2 2" xfId="10500" xr:uid="{00000000-0005-0000-0000-0000F6180000}"/>
    <cellStyle name="Vírgula 3 3 2 2 2 3 3 2 3" xfId="6214" xr:uid="{00000000-0005-0000-0000-0000F7180000}"/>
    <cellStyle name="Vírgula 3 3 2 2 2 3 3 2 3 2" xfId="12728" xr:uid="{00000000-0005-0000-0000-0000F8180000}"/>
    <cellStyle name="Vírgula 3 3 2 2 2 3 3 2 4" xfId="8444" xr:uid="{00000000-0005-0000-0000-0000F9180000}"/>
    <cellStyle name="Vírgula 3 3 2 2 2 3 3 3" xfId="2956" xr:uid="{00000000-0005-0000-0000-0000FA180000}"/>
    <cellStyle name="Vírgula 3 3 2 2 2 3 3 3 2" xfId="9472" xr:uid="{00000000-0005-0000-0000-0000FB180000}"/>
    <cellStyle name="Vírgula 3 3 2 2 2 3 3 4" xfId="5186" xr:uid="{00000000-0005-0000-0000-0000FC180000}"/>
    <cellStyle name="Vírgula 3 3 2 2 2 3 3 4 2" xfId="11700" xr:uid="{00000000-0005-0000-0000-0000FD180000}"/>
    <cellStyle name="Vírgula 3 3 2 2 2 3 3 5" xfId="7416" xr:uid="{00000000-0005-0000-0000-0000FE180000}"/>
    <cellStyle name="Vírgula 3 3 2 2 2 3 4" xfId="1412" xr:uid="{00000000-0005-0000-0000-0000FF180000}"/>
    <cellStyle name="Vírgula 3 3 2 2 2 3 4 2" xfId="3470" xr:uid="{00000000-0005-0000-0000-000000190000}"/>
    <cellStyle name="Vírgula 3 3 2 2 2 3 4 2 2" xfId="9986" xr:uid="{00000000-0005-0000-0000-000001190000}"/>
    <cellStyle name="Vírgula 3 3 2 2 2 3 4 3" xfId="5700" xr:uid="{00000000-0005-0000-0000-000002190000}"/>
    <cellStyle name="Vírgula 3 3 2 2 2 3 4 3 2" xfId="12214" xr:uid="{00000000-0005-0000-0000-000003190000}"/>
    <cellStyle name="Vírgula 3 3 2 2 2 3 4 4" xfId="7930" xr:uid="{00000000-0005-0000-0000-000004190000}"/>
    <cellStyle name="Vírgula 3 3 2 2 2 3 5" xfId="2442" xr:uid="{00000000-0005-0000-0000-000005190000}"/>
    <cellStyle name="Vírgula 3 3 2 2 2 3 5 2" xfId="8958" xr:uid="{00000000-0005-0000-0000-000006190000}"/>
    <cellStyle name="Vírgula 3 3 2 2 2 3 6" xfId="4584" xr:uid="{00000000-0005-0000-0000-000007190000}"/>
    <cellStyle name="Vírgula 3 3 2 2 2 3 6 2" xfId="11098" xr:uid="{00000000-0005-0000-0000-000008190000}"/>
    <cellStyle name="Vírgula 3 3 2 2 2 3 7" xfId="6814" xr:uid="{00000000-0005-0000-0000-000009190000}"/>
    <cellStyle name="Vírgula 3 3 2 2 2 4" xfId="496" xr:uid="{00000000-0005-0000-0000-00000A190000}"/>
    <cellStyle name="Vírgula 3 3 2 2 2 4 2" xfId="1026" xr:uid="{00000000-0005-0000-0000-00000B190000}"/>
    <cellStyle name="Vírgula 3 3 2 2 2 4 2 2" xfId="2054" xr:uid="{00000000-0005-0000-0000-00000C190000}"/>
    <cellStyle name="Vírgula 3 3 2 2 2 4 2 2 2" xfId="4112" xr:uid="{00000000-0005-0000-0000-00000D190000}"/>
    <cellStyle name="Vírgula 3 3 2 2 2 4 2 2 2 2" xfId="10628" xr:uid="{00000000-0005-0000-0000-00000E190000}"/>
    <cellStyle name="Vírgula 3 3 2 2 2 4 2 2 3" xfId="6342" xr:uid="{00000000-0005-0000-0000-00000F190000}"/>
    <cellStyle name="Vírgula 3 3 2 2 2 4 2 2 3 2" xfId="12856" xr:uid="{00000000-0005-0000-0000-000010190000}"/>
    <cellStyle name="Vírgula 3 3 2 2 2 4 2 2 4" xfId="8572" xr:uid="{00000000-0005-0000-0000-000011190000}"/>
    <cellStyle name="Vírgula 3 3 2 2 2 4 2 3" xfId="3084" xr:uid="{00000000-0005-0000-0000-000012190000}"/>
    <cellStyle name="Vírgula 3 3 2 2 2 4 2 3 2" xfId="9600" xr:uid="{00000000-0005-0000-0000-000013190000}"/>
    <cellStyle name="Vírgula 3 3 2 2 2 4 2 4" xfId="5314" xr:uid="{00000000-0005-0000-0000-000014190000}"/>
    <cellStyle name="Vírgula 3 3 2 2 2 4 2 4 2" xfId="11828" xr:uid="{00000000-0005-0000-0000-000015190000}"/>
    <cellStyle name="Vírgula 3 3 2 2 2 4 2 5" xfId="7544" xr:uid="{00000000-0005-0000-0000-000016190000}"/>
    <cellStyle name="Vírgula 3 3 2 2 2 4 3" xfId="1540" xr:uid="{00000000-0005-0000-0000-000017190000}"/>
    <cellStyle name="Vírgula 3 3 2 2 2 4 3 2" xfId="3598" xr:uid="{00000000-0005-0000-0000-000018190000}"/>
    <cellStyle name="Vírgula 3 3 2 2 2 4 3 2 2" xfId="10114" xr:uid="{00000000-0005-0000-0000-000019190000}"/>
    <cellStyle name="Vírgula 3 3 2 2 2 4 3 3" xfId="5828" xr:uid="{00000000-0005-0000-0000-00001A190000}"/>
    <cellStyle name="Vírgula 3 3 2 2 2 4 3 3 2" xfId="12342" xr:uid="{00000000-0005-0000-0000-00001B190000}"/>
    <cellStyle name="Vírgula 3 3 2 2 2 4 3 4" xfId="8058" xr:uid="{00000000-0005-0000-0000-00001C190000}"/>
    <cellStyle name="Vírgula 3 3 2 2 2 4 4" xfId="2570" xr:uid="{00000000-0005-0000-0000-00001D190000}"/>
    <cellStyle name="Vírgula 3 3 2 2 2 4 4 2" xfId="9086" xr:uid="{00000000-0005-0000-0000-00001E190000}"/>
    <cellStyle name="Vírgula 3 3 2 2 2 4 5" xfId="4792" xr:uid="{00000000-0005-0000-0000-00001F190000}"/>
    <cellStyle name="Vírgula 3 3 2 2 2 4 5 2" xfId="11306" xr:uid="{00000000-0005-0000-0000-000020190000}"/>
    <cellStyle name="Vírgula 3 3 2 2 2 4 6" xfId="7022" xr:uid="{00000000-0005-0000-0000-000021190000}"/>
    <cellStyle name="Vírgula 3 3 2 2 2 5" xfId="770" xr:uid="{00000000-0005-0000-0000-000022190000}"/>
    <cellStyle name="Vírgula 3 3 2 2 2 5 2" xfId="1798" xr:uid="{00000000-0005-0000-0000-000023190000}"/>
    <cellStyle name="Vírgula 3 3 2 2 2 5 2 2" xfId="3856" xr:uid="{00000000-0005-0000-0000-000024190000}"/>
    <cellStyle name="Vírgula 3 3 2 2 2 5 2 2 2" xfId="10372" xr:uid="{00000000-0005-0000-0000-000025190000}"/>
    <cellStyle name="Vírgula 3 3 2 2 2 5 2 3" xfId="6086" xr:uid="{00000000-0005-0000-0000-000026190000}"/>
    <cellStyle name="Vírgula 3 3 2 2 2 5 2 3 2" xfId="12600" xr:uid="{00000000-0005-0000-0000-000027190000}"/>
    <cellStyle name="Vírgula 3 3 2 2 2 5 2 4" xfId="8316" xr:uid="{00000000-0005-0000-0000-000028190000}"/>
    <cellStyle name="Vírgula 3 3 2 2 2 5 3" xfId="2828" xr:uid="{00000000-0005-0000-0000-000029190000}"/>
    <cellStyle name="Vírgula 3 3 2 2 2 5 3 2" xfId="9344" xr:uid="{00000000-0005-0000-0000-00002A190000}"/>
    <cellStyle name="Vírgula 3 3 2 2 2 5 4" xfId="5058" xr:uid="{00000000-0005-0000-0000-00002B190000}"/>
    <cellStyle name="Vírgula 3 3 2 2 2 5 4 2" xfId="11572" xr:uid="{00000000-0005-0000-0000-00002C190000}"/>
    <cellStyle name="Vírgula 3 3 2 2 2 5 5" xfId="7288" xr:uid="{00000000-0005-0000-0000-00002D190000}"/>
    <cellStyle name="Vírgula 3 3 2 2 2 6" xfId="1284" xr:uid="{00000000-0005-0000-0000-00002E190000}"/>
    <cellStyle name="Vírgula 3 3 2 2 2 6 2" xfId="3342" xr:uid="{00000000-0005-0000-0000-00002F190000}"/>
    <cellStyle name="Vírgula 3 3 2 2 2 6 2 2" xfId="9858" xr:uid="{00000000-0005-0000-0000-000030190000}"/>
    <cellStyle name="Vírgula 3 3 2 2 2 6 3" xfId="5572" xr:uid="{00000000-0005-0000-0000-000031190000}"/>
    <cellStyle name="Vírgula 3 3 2 2 2 6 3 2" xfId="12086" xr:uid="{00000000-0005-0000-0000-000032190000}"/>
    <cellStyle name="Vírgula 3 3 2 2 2 6 4" xfId="7802" xr:uid="{00000000-0005-0000-0000-000033190000}"/>
    <cellStyle name="Vírgula 3 3 2 2 2 7" xfId="2314" xr:uid="{00000000-0005-0000-0000-000034190000}"/>
    <cellStyle name="Vírgula 3 3 2 2 2 7 2" xfId="8830" xr:uid="{00000000-0005-0000-0000-000035190000}"/>
    <cellStyle name="Vírgula 3 3 2 2 2 8" xfId="4450" xr:uid="{00000000-0005-0000-0000-000036190000}"/>
    <cellStyle name="Vírgula 3 3 2 2 2 8 2" xfId="10964" xr:uid="{00000000-0005-0000-0000-000037190000}"/>
    <cellStyle name="Vírgula 3 3 2 2 2 9" xfId="6680" xr:uid="{00000000-0005-0000-0000-000038190000}"/>
    <cellStyle name="Vírgula 3 3 2 2 3" xfId="191" xr:uid="{00000000-0005-0000-0000-000039190000}"/>
    <cellStyle name="Vírgula 3 3 2 2 3 2" xfId="319" xr:uid="{00000000-0005-0000-0000-00003A190000}"/>
    <cellStyle name="Vírgula 3 3 2 2 3 2 2" xfId="662" xr:uid="{00000000-0005-0000-0000-00003B190000}"/>
    <cellStyle name="Vírgula 3 3 2 2 3 2 2 2" xfId="1186" xr:uid="{00000000-0005-0000-0000-00003C190000}"/>
    <cellStyle name="Vírgula 3 3 2 2 3 2 2 2 2" xfId="2214" xr:uid="{00000000-0005-0000-0000-00003D190000}"/>
    <cellStyle name="Vírgula 3 3 2 2 3 2 2 2 2 2" xfId="4272" xr:uid="{00000000-0005-0000-0000-00003E190000}"/>
    <cellStyle name="Vírgula 3 3 2 2 3 2 2 2 2 2 2" xfId="10788" xr:uid="{00000000-0005-0000-0000-00003F190000}"/>
    <cellStyle name="Vírgula 3 3 2 2 3 2 2 2 2 3" xfId="6502" xr:uid="{00000000-0005-0000-0000-000040190000}"/>
    <cellStyle name="Vírgula 3 3 2 2 3 2 2 2 2 3 2" xfId="13016" xr:uid="{00000000-0005-0000-0000-000041190000}"/>
    <cellStyle name="Vírgula 3 3 2 2 3 2 2 2 2 4" xfId="8732" xr:uid="{00000000-0005-0000-0000-000042190000}"/>
    <cellStyle name="Vírgula 3 3 2 2 3 2 2 2 3" xfId="3244" xr:uid="{00000000-0005-0000-0000-000043190000}"/>
    <cellStyle name="Vírgula 3 3 2 2 3 2 2 2 3 2" xfId="9760" xr:uid="{00000000-0005-0000-0000-000044190000}"/>
    <cellStyle name="Vírgula 3 3 2 2 3 2 2 2 4" xfId="5474" xr:uid="{00000000-0005-0000-0000-000045190000}"/>
    <cellStyle name="Vírgula 3 3 2 2 3 2 2 2 4 2" xfId="11988" xr:uid="{00000000-0005-0000-0000-000046190000}"/>
    <cellStyle name="Vírgula 3 3 2 2 3 2 2 2 5" xfId="7704" xr:uid="{00000000-0005-0000-0000-000047190000}"/>
    <cellStyle name="Vírgula 3 3 2 2 3 2 2 3" xfId="1700" xr:uid="{00000000-0005-0000-0000-000048190000}"/>
    <cellStyle name="Vírgula 3 3 2 2 3 2 2 3 2" xfId="3758" xr:uid="{00000000-0005-0000-0000-000049190000}"/>
    <cellStyle name="Vírgula 3 3 2 2 3 2 2 3 2 2" xfId="10274" xr:uid="{00000000-0005-0000-0000-00004A190000}"/>
    <cellStyle name="Vírgula 3 3 2 2 3 2 2 3 3" xfId="5988" xr:uid="{00000000-0005-0000-0000-00004B190000}"/>
    <cellStyle name="Vírgula 3 3 2 2 3 2 2 3 3 2" xfId="12502" xr:uid="{00000000-0005-0000-0000-00004C190000}"/>
    <cellStyle name="Vírgula 3 3 2 2 3 2 2 3 4" xfId="8218" xr:uid="{00000000-0005-0000-0000-00004D190000}"/>
    <cellStyle name="Vírgula 3 3 2 2 3 2 2 4" xfId="2730" xr:uid="{00000000-0005-0000-0000-00004E190000}"/>
    <cellStyle name="Vírgula 3 3 2 2 3 2 2 4 2" xfId="9246" xr:uid="{00000000-0005-0000-0000-00004F190000}"/>
    <cellStyle name="Vírgula 3 3 2 2 3 2 2 5" xfId="4958" xr:uid="{00000000-0005-0000-0000-000050190000}"/>
    <cellStyle name="Vírgula 3 3 2 2 3 2 2 5 2" xfId="11472" xr:uid="{00000000-0005-0000-0000-000051190000}"/>
    <cellStyle name="Vírgula 3 3 2 2 3 2 2 6" xfId="7188" xr:uid="{00000000-0005-0000-0000-000052190000}"/>
    <cellStyle name="Vírgula 3 3 2 2 3 2 3" xfId="930" xr:uid="{00000000-0005-0000-0000-000053190000}"/>
    <cellStyle name="Vírgula 3 3 2 2 3 2 3 2" xfId="1958" xr:uid="{00000000-0005-0000-0000-000054190000}"/>
    <cellStyle name="Vírgula 3 3 2 2 3 2 3 2 2" xfId="4016" xr:uid="{00000000-0005-0000-0000-000055190000}"/>
    <cellStyle name="Vírgula 3 3 2 2 3 2 3 2 2 2" xfId="10532" xr:uid="{00000000-0005-0000-0000-000056190000}"/>
    <cellStyle name="Vírgula 3 3 2 2 3 2 3 2 3" xfId="6246" xr:uid="{00000000-0005-0000-0000-000057190000}"/>
    <cellStyle name="Vírgula 3 3 2 2 3 2 3 2 3 2" xfId="12760" xr:uid="{00000000-0005-0000-0000-000058190000}"/>
    <cellStyle name="Vírgula 3 3 2 2 3 2 3 2 4" xfId="8476" xr:uid="{00000000-0005-0000-0000-000059190000}"/>
    <cellStyle name="Vírgula 3 3 2 2 3 2 3 3" xfId="2988" xr:uid="{00000000-0005-0000-0000-00005A190000}"/>
    <cellStyle name="Vírgula 3 3 2 2 3 2 3 3 2" xfId="9504" xr:uid="{00000000-0005-0000-0000-00005B190000}"/>
    <cellStyle name="Vírgula 3 3 2 2 3 2 3 4" xfId="5218" xr:uid="{00000000-0005-0000-0000-00005C190000}"/>
    <cellStyle name="Vírgula 3 3 2 2 3 2 3 4 2" xfId="11732" xr:uid="{00000000-0005-0000-0000-00005D190000}"/>
    <cellStyle name="Vírgula 3 3 2 2 3 2 3 5" xfId="7448" xr:uid="{00000000-0005-0000-0000-00005E190000}"/>
    <cellStyle name="Vírgula 3 3 2 2 3 2 4" xfId="1444" xr:uid="{00000000-0005-0000-0000-00005F190000}"/>
    <cellStyle name="Vírgula 3 3 2 2 3 2 4 2" xfId="3502" xr:uid="{00000000-0005-0000-0000-000060190000}"/>
    <cellStyle name="Vírgula 3 3 2 2 3 2 4 2 2" xfId="10018" xr:uid="{00000000-0005-0000-0000-000061190000}"/>
    <cellStyle name="Vírgula 3 3 2 2 3 2 4 3" xfId="5732" xr:uid="{00000000-0005-0000-0000-000062190000}"/>
    <cellStyle name="Vírgula 3 3 2 2 3 2 4 3 2" xfId="12246" xr:uid="{00000000-0005-0000-0000-000063190000}"/>
    <cellStyle name="Vírgula 3 3 2 2 3 2 4 4" xfId="7962" xr:uid="{00000000-0005-0000-0000-000064190000}"/>
    <cellStyle name="Vírgula 3 3 2 2 3 2 5" xfId="2474" xr:uid="{00000000-0005-0000-0000-000065190000}"/>
    <cellStyle name="Vírgula 3 3 2 2 3 2 5 2" xfId="8990" xr:uid="{00000000-0005-0000-0000-000066190000}"/>
    <cellStyle name="Vírgula 3 3 2 2 3 2 6" xfId="4616" xr:uid="{00000000-0005-0000-0000-000067190000}"/>
    <cellStyle name="Vírgula 3 3 2 2 3 2 6 2" xfId="11130" xr:uid="{00000000-0005-0000-0000-000068190000}"/>
    <cellStyle name="Vírgula 3 3 2 2 3 2 7" xfId="6846" xr:uid="{00000000-0005-0000-0000-000069190000}"/>
    <cellStyle name="Vírgula 3 3 2 2 3 3" xfId="534" xr:uid="{00000000-0005-0000-0000-00006A190000}"/>
    <cellStyle name="Vírgula 3 3 2 2 3 3 2" xfId="1058" xr:uid="{00000000-0005-0000-0000-00006B190000}"/>
    <cellStyle name="Vírgula 3 3 2 2 3 3 2 2" xfId="2086" xr:uid="{00000000-0005-0000-0000-00006C190000}"/>
    <cellStyle name="Vírgula 3 3 2 2 3 3 2 2 2" xfId="4144" xr:uid="{00000000-0005-0000-0000-00006D190000}"/>
    <cellStyle name="Vírgula 3 3 2 2 3 3 2 2 2 2" xfId="10660" xr:uid="{00000000-0005-0000-0000-00006E190000}"/>
    <cellStyle name="Vírgula 3 3 2 2 3 3 2 2 3" xfId="6374" xr:uid="{00000000-0005-0000-0000-00006F190000}"/>
    <cellStyle name="Vírgula 3 3 2 2 3 3 2 2 3 2" xfId="12888" xr:uid="{00000000-0005-0000-0000-000070190000}"/>
    <cellStyle name="Vírgula 3 3 2 2 3 3 2 2 4" xfId="8604" xr:uid="{00000000-0005-0000-0000-000071190000}"/>
    <cellStyle name="Vírgula 3 3 2 2 3 3 2 3" xfId="3116" xr:uid="{00000000-0005-0000-0000-000072190000}"/>
    <cellStyle name="Vírgula 3 3 2 2 3 3 2 3 2" xfId="9632" xr:uid="{00000000-0005-0000-0000-000073190000}"/>
    <cellStyle name="Vírgula 3 3 2 2 3 3 2 4" xfId="5346" xr:uid="{00000000-0005-0000-0000-000074190000}"/>
    <cellStyle name="Vírgula 3 3 2 2 3 3 2 4 2" xfId="11860" xr:uid="{00000000-0005-0000-0000-000075190000}"/>
    <cellStyle name="Vírgula 3 3 2 2 3 3 2 5" xfId="7576" xr:uid="{00000000-0005-0000-0000-000076190000}"/>
    <cellStyle name="Vírgula 3 3 2 2 3 3 3" xfId="1572" xr:uid="{00000000-0005-0000-0000-000077190000}"/>
    <cellStyle name="Vírgula 3 3 2 2 3 3 3 2" xfId="3630" xr:uid="{00000000-0005-0000-0000-000078190000}"/>
    <cellStyle name="Vírgula 3 3 2 2 3 3 3 2 2" xfId="10146" xr:uid="{00000000-0005-0000-0000-000079190000}"/>
    <cellStyle name="Vírgula 3 3 2 2 3 3 3 3" xfId="5860" xr:uid="{00000000-0005-0000-0000-00007A190000}"/>
    <cellStyle name="Vírgula 3 3 2 2 3 3 3 3 2" xfId="12374" xr:uid="{00000000-0005-0000-0000-00007B190000}"/>
    <cellStyle name="Vírgula 3 3 2 2 3 3 3 4" xfId="8090" xr:uid="{00000000-0005-0000-0000-00007C190000}"/>
    <cellStyle name="Vírgula 3 3 2 2 3 3 4" xfId="2602" xr:uid="{00000000-0005-0000-0000-00007D190000}"/>
    <cellStyle name="Vírgula 3 3 2 2 3 3 4 2" xfId="9118" xr:uid="{00000000-0005-0000-0000-00007E190000}"/>
    <cellStyle name="Vírgula 3 3 2 2 3 3 5" xfId="4830" xr:uid="{00000000-0005-0000-0000-00007F190000}"/>
    <cellStyle name="Vírgula 3 3 2 2 3 3 5 2" xfId="11344" xr:uid="{00000000-0005-0000-0000-000080190000}"/>
    <cellStyle name="Vírgula 3 3 2 2 3 3 6" xfId="7060" xr:uid="{00000000-0005-0000-0000-000081190000}"/>
    <cellStyle name="Vírgula 3 3 2 2 3 4" xfId="802" xr:uid="{00000000-0005-0000-0000-000082190000}"/>
    <cellStyle name="Vírgula 3 3 2 2 3 4 2" xfId="1830" xr:uid="{00000000-0005-0000-0000-000083190000}"/>
    <cellStyle name="Vírgula 3 3 2 2 3 4 2 2" xfId="3888" xr:uid="{00000000-0005-0000-0000-000084190000}"/>
    <cellStyle name="Vírgula 3 3 2 2 3 4 2 2 2" xfId="10404" xr:uid="{00000000-0005-0000-0000-000085190000}"/>
    <cellStyle name="Vírgula 3 3 2 2 3 4 2 3" xfId="6118" xr:uid="{00000000-0005-0000-0000-000086190000}"/>
    <cellStyle name="Vírgula 3 3 2 2 3 4 2 3 2" xfId="12632" xr:uid="{00000000-0005-0000-0000-000087190000}"/>
    <cellStyle name="Vírgula 3 3 2 2 3 4 2 4" xfId="8348" xr:uid="{00000000-0005-0000-0000-000088190000}"/>
    <cellStyle name="Vírgula 3 3 2 2 3 4 3" xfId="2860" xr:uid="{00000000-0005-0000-0000-000089190000}"/>
    <cellStyle name="Vírgula 3 3 2 2 3 4 3 2" xfId="9376" xr:uid="{00000000-0005-0000-0000-00008A190000}"/>
    <cellStyle name="Vírgula 3 3 2 2 3 4 4" xfId="5090" xr:uid="{00000000-0005-0000-0000-00008B190000}"/>
    <cellStyle name="Vírgula 3 3 2 2 3 4 4 2" xfId="11604" xr:uid="{00000000-0005-0000-0000-00008C190000}"/>
    <cellStyle name="Vírgula 3 3 2 2 3 4 5" xfId="7320" xr:uid="{00000000-0005-0000-0000-00008D190000}"/>
    <cellStyle name="Vírgula 3 3 2 2 3 5" xfId="1316" xr:uid="{00000000-0005-0000-0000-00008E190000}"/>
    <cellStyle name="Vírgula 3 3 2 2 3 5 2" xfId="3374" xr:uid="{00000000-0005-0000-0000-00008F190000}"/>
    <cellStyle name="Vírgula 3 3 2 2 3 5 2 2" xfId="9890" xr:uid="{00000000-0005-0000-0000-000090190000}"/>
    <cellStyle name="Vírgula 3 3 2 2 3 5 3" xfId="5604" xr:uid="{00000000-0005-0000-0000-000091190000}"/>
    <cellStyle name="Vírgula 3 3 2 2 3 5 3 2" xfId="12118" xr:uid="{00000000-0005-0000-0000-000092190000}"/>
    <cellStyle name="Vírgula 3 3 2 2 3 5 4" xfId="7834" xr:uid="{00000000-0005-0000-0000-000093190000}"/>
    <cellStyle name="Vírgula 3 3 2 2 3 6" xfId="2346" xr:uid="{00000000-0005-0000-0000-000094190000}"/>
    <cellStyle name="Vírgula 3 3 2 2 3 6 2" xfId="8862" xr:uid="{00000000-0005-0000-0000-000095190000}"/>
    <cellStyle name="Vírgula 3 3 2 2 3 7" xfId="4488" xr:uid="{00000000-0005-0000-0000-000096190000}"/>
    <cellStyle name="Vírgula 3 3 2 2 3 7 2" xfId="11002" xr:uid="{00000000-0005-0000-0000-000097190000}"/>
    <cellStyle name="Vírgula 3 3 2 2 3 8" xfId="6718" xr:uid="{00000000-0005-0000-0000-000098190000}"/>
    <cellStyle name="Vírgula 3 3 2 2 4" xfId="255" xr:uid="{00000000-0005-0000-0000-000099190000}"/>
    <cellStyle name="Vírgula 3 3 2 2 4 2" xfId="598" xr:uid="{00000000-0005-0000-0000-00009A190000}"/>
    <cellStyle name="Vírgula 3 3 2 2 4 2 2" xfId="1122" xr:uid="{00000000-0005-0000-0000-00009B190000}"/>
    <cellStyle name="Vírgula 3 3 2 2 4 2 2 2" xfId="2150" xr:uid="{00000000-0005-0000-0000-00009C190000}"/>
    <cellStyle name="Vírgula 3 3 2 2 4 2 2 2 2" xfId="4208" xr:uid="{00000000-0005-0000-0000-00009D190000}"/>
    <cellStyle name="Vírgula 3 3 2 2 4 2 2 2 2 2" xfId="10724" xr:uid="{00000000-0005-0000-0000-00009E190000}"/>
    <cellStyle name="Vírgula 3 3 2 2 4 2 2 2 3" xfId="6438" xr:uid="{00000000-0005-0000-0000-00009F190000}"/>
    <cellStyle name="Vírgula 3 3 2 2 4 2 2 2 3 2" xfId="12952" xr:uid="{00000000-0005-0000-0000-0000A0190000}"/>
    <cellStyle name="Vírgula 3 3 2 2 4 2 2 2 4" xfId="8668" xr:uid="{00000000-0005-0000-0000-0000A1190000}"/>
    <cellStyle name="Vírgula 3 3 2 2 4 2 2 3" xfId="3180" xr:uid="{00000000-0005-0000-0000-0000A2190000}"/>
    <cellStyle name="Vírgula 3 3 2 2 4 2 2 3 2" xfId="9696" xr:uid="{00000000-0005-0000-0000-0000A3190000}"/>
    <cellStyle name="Vírgula 3 3 2 2 4 2 2 4" xfId="5410" xr:uid="{00000000-0005-0000-0000-0000A4190000}"/>
    <cellStyle name="Vírgula 3 3 2 2 4 2 2 4 2" xfId="11924" xr:uid="{00000000-0005-0000-0000-0000A5190000}"/>
    <cellStyle name="Vírgula 3 3 2 2 4 2 2 5" xfId="7640" xr:uid="{00000000-0005-0000-0000-0000A6190000}"/>
    <cellStyle name="Vírgula 3 3 2 2 4 2 3" xfId="1636" xr:uid="{00000000-0005-0000-0000-0000A7190000}"/>
    <cellStyle name="Vírgula 3 3 2 2 4 2 3 2" xfId="3694" xr:uid="{00000000-0005-0000-0000-0000A8190000}"/>
    <cellStyle name="Vírgula 3 3 2 2 4 2 3 2 2" xfId="10210" xr:uid="{00000000-0005-0000-0000-0000A9190000}"/>
    <cellStyle name="Vírgula 3 3 2 2 4 2 3 3" xfId="5924" xr:uid="{00000000-0005-0000-0000-0000AA190000}"/>
    <cellStyle name="Vírgula 3 3 2 2 4 2 3 3 2" xfId="12438" xr:uid="{00000000-0005-0000-0000-0000AB190000}"/>
    <cellStyle name="Vírgula 3 3 2 2 4 2 3 4" xfId="8154" xr:uid="{00000000-0005-0000-0000-0000AC190000}"/>
    <cellStyle name="Vírgula 3 3 2 2 4 2 4" xfId="2666" xr:uid="{00000000-0005-0000-0000-0000AD190000}"/>
    <cellStyle name="Vírgula 3 3 2 2 4 2 4 2" xfId="9182" xr:uid="{00000000-0005-0000-0000-0000AE190000}"/>
    <cellStyle name="Vírgula 3 3 2 2 4 2 5" xfId="4894" xr:uid="{00000000-0005-0000-0000-0000AF190000}"/>
    <cellStyle name="Vírgula 3 3 2 2 4 2 5 2" xfId="11408" xr:uid="{00000000-0005-0000-0000-0000B0190000}"/>
    <cellStyle name="Vírgula 3 3 2 2 4 2 6" xfId="7124" xr:uid="{00000000-0005-0000-0000-0000B1190000}"/>
    <cellStyle name="Vírgula 3 3 2 2 4 3" xfId="866" xr:uid="{00000000-0005-0000-0000-0000B2190000}"/>
    <cellStyle name="Vírgula 3 3 2 2 4 3 2" xfId="1894" xr:uid="{00000000-0005-0000-0000-0000B3190000}"/>
    <cellStyle name="Vírgula 3 3 2 2 4 3 2 2" xfId="3952" xr:uid="{00000000-0005-0000-0000-0000B4190000}"/>
    <cellStyle name="Vírgula 3 3 2 2 4 3 2 2 2" xfId="10468" xr:uid="{00000000-0005-0000-0000-0000B5190000}"/>
    <cellStyle name="Vírgula 3 3 2 2 4 3 2 3" xfId="6182" xr:uid="{00000000-0005-0000-0000-0000B6190000}"/>
    <cellStyle name="Vírgula 3 3 2 2 4 3 2 3 2" xfId="12696" xr:uid="{00000000-0005-0000-0000-0000B7190000}"/>
    <cellStyle name="Vírgula 3 3 2 2 4 3 2 4" xfId="8412" xr:uid="{00000000-0005-0000-0000-0000B8190000}"/>
    <cellStyle name="Vírgula 3 3 2 2 4 3 3" xfId="2924" xr:uid="{00000000-0005-0000-0000-0000B9190000}"/>
    <cellStyle name="Vírgula 3 3 2 2 4 3 3 2" xfId="9440" xr:uid="{00000000-0005-0000-0000-0000BA190000}"/>
    <cellStyle name="Vírgula 3 3 2 2 4 3 4" xfId="5154" xr:uid="{00000000-0005-0000-0000-0000BB190000}"/>
    <cellStyle name="Vírgula 3 3 2 2 4 3 4 2" xfId="11668" xr:uid="{00000000-0005-0000-0000-0000BC190000}"/>
    <cellStyle name="Vírgula 3 3 2 2 4 3 5" xfId="7384" xr:uid="{00000000-0005-0000-0000-0000BD190000}"/>
    <cellStyle name="Vírgula 3 3 2 2 4 4" xfId="1380" xr:uid="{00000000-0005-0000-0000-0000BE190000}"/>
    <cellStyle name="Vírgula 3 3 2 2 4 4 2" xfId="3438" xr:uid="{00000000-0005-0000-0000-0000BF190000}"/>
    <cellStyle name="Vírgula 3 3 2 2 4 4 2 2" xfId="9954" xr:uid="{00000000-0005-0000-0000-0000C0190000}"/>
    <cellStyle name="Vírgula 3 3 2 2 4 4 3" xfId="5668" xr:uid="{00000000-0005-0000-0000-0000C1190000}"/>
    <cellStyle name="Vírgula 3 3 2 2 4 4 3 2" xfId="12182" xr:uid="{00000000-0005-0000-0000-0000C2190000}"/>
    <cellStyle name="Vírgula 3 3 2 2 4 4 4" xfId="7898" xr:uid="{00000000-0005-0000-0000-0000C3190000}"/>
    <cellStyle name="Vírgula 3 3 2 2 4 5" xfId="2410" xr:uid="{00000000-0005-0000-0000-0000C4190000}"/>
    <cellStyle name="Vírgula 3 3 2 2 4 5 2" xfId="8926" xr:uid="{00000000-0005-0000-0000-0000C5190000}"/>
    <cellStyle name="Vírgula 3 3 2 2 4 6" xfId="4552" xr:uid="{00000000-0005-0000-0000-0000C6190000}"/>
    <cellStyle name="Vírgula 3 3 2 2 4 6 2" xfId="11066" xr:uid="{00000000-0005-0000-0000-0000C7190000}"/>
    <cellStyle name="Vírgula 3 3 2 2 4 7" xfId="6782" xr:uid="{00000000-0005-0000-0000-0000C8190000}"/>
    <cellStyle name="Vírgula 3 3 2 2 5" xfId="422" xr:uid="{00000000-0005-0000-0000-0000C9190000}"/>
    <cellStyle name="Vírgula 3 3 2 2 5 2" xfId="994" xr:uid="{00000000-0005-0000-0000-0000CA190000}"/>
    <cellStyle name="Vírgula 3 3 2 2 5 2 2" xfId="2022" xr:uid="{00000000-0005-0000-0000-0000CB190000}"/>
    <cellStyle name="Vírgula 3 3 2 2 5 2 2 2" xfId="4080" xr:uid="{00000000-0005-0000-0000-0000CC190000}"/>
    <cellStyle name="Vírgula 3 3 2 2 5 2 2 2 2" xfId="10596" xr:uid="{00000000-0005-0000-0000-0000CD190000}"/>
    <cellStyle name="Vírgula 3 3 2 2 5 2 2 3" xfId="6310" xr:uid="{00000000-0005-0000-0000-0000CE190000}"/>
    <cellStyle name="Vírgula 3 3 2 2 5 2 2 3 2" xfId="12824" xr:uid="{00000000-0005-0000-0000-0000CF190000}"/>
    <cellStyle name="Vírgula 3 3 2 2 5 2 2 4" xfId="8540" xr:uid="{00000000-0005-0000-0000-0000D0190000}"/>
    <cellStyle name="Vírgula 3 3 2 2 5 2 3" xfId="3052" xr:uid="{00000000-0005-0000-0000-0000D1190000}"/>
    <cellStyle name="Vírgula 3 3 2 2 5 2 3 2" xfId="9568" xr:uid="{00000000-0005-0000-0000-0000D2190000}"/>
    <cellStyle name="Vírgula 3 3 2 2 5 2 4" xfId="5282" xr:uid="{00000000-0005-0000-0000-0000D3190000}"/>
    <cellStyle name="Vírgula 3 3 2 2 5 2 4 2" xfId="11796" xr:uid="{00000000-0005-0000-0000-0000D4190000}"/>
    <cellStyle name="Vírgula 3 3 2 2 5 2 5" xfId="7512" xr:uid="{00000000-0005-0000-0000-0000D5190000}"/>
    <cellStyle name="Vírgula 3 3 2 2 5 3" xfId="1508" xr:uid="{00000000-0005-0000-0000-0000D6190000}"/>
    <cellStyle name="Vírgula 3 3 2 2 5 3 2" xfId="3566" xr:uid="{00000000-0005-0000-0000-0000D7190000}"/>
    <cellStyle name="Vírgula 3 3 2 2 5 3 2 2" xfId="10082" xr:uid="{00000000-0005-0000-0000-0000D8190000}"/>
    <cellStyle name="Vírgula 3 3 2 2 5 3 3" xfId="5796" xr:uid="{00000000-0005-0000-0000-0000D9190000}"/>
    <cellStyle name="Vírgula 3 3 2 2 5 3 3 2" xfId="12310" xr:uid="{00000000-0005-0000-0000-0000DA190000}"/>
    <cellStyle name="Vírgula 3 3 2 2 5 3 4" xfId="8026" xr:uid="{00000000-0005-0000-0000-0000DB190000}"/>
    <cellStyle name="Vírgula 3 3 2 2 5 4" xfId="2538" xr:uid="{00000000-0005-0000-0000-0000DC190000}"/>
    <cellStyle name="Vírgula 3 3 2 2 5 4 2" xfId="9054" xr:uid="{00000000-0005-0000-0000-0000DD190000}"/>
    <cellStyle name="Vírgula 3 3 2 2 5 5" xfId="4718" xr:uid="{00000000-0005-0000-0000-0000DE190000}"/>
    <cellStyle name="Vírgula 3 3 2 2 5 5 2" xfId="11232" xr:uid="{00000000-0005-0000-0000-0000DF190000}"/>
    <cellStyle name="Vírgula 3 3 2 2 5 6" xfId="6948" xr:uid="{00000000-0005-0000-0000-0000E0190000}"/>
    <cellStyle name="Vírgula 3 3 2 2 6" xfId="738" xr:uid="{00000000-0005-0000-0000-0000E1190000}"/>
    <cellStyle name="Vírgula 3 3 2 2 6 2" xfId="1766" xr:uid="{00000000-0005-0000-0000-0000E2190000}"/>
    <cellStyle name="Vírgula 3 3 2 2 6 2 2" xfId="3824" xr:uid="{00000000-0005-0000-0000-0000E3190000}"/>
    <cellStyle name="Vírgula 3 3 2 2 6 2 2 2" xfId="10340" xr:uid="{00000000-0005-0000-0000-0000E4190000}"/>
    <cellStyle name="Vírgula 3 3 2 2 6 2 3" xfId="6054" xr:uid="{00000000-0005-0000-0000-0000E5190000}"/>
    <cellStyle name="Vírgula 3 3 2 2 6 2 3 2" xfId="12568" xr:uid="{00000000-0005-0000-0000-0000E6190000}"/>
    <cellStyle name="Vírgula 3 3 2 2 6 2 4" xfId="8284" xr:uid="{00000000-0005-0000-0000-0000E7190000}"/>
    <cellStyle name="Vírgula 3 3 2 2 6 3" xfId="2796" xr:uid="{00000000-0005-0000-0000-0000E8190000}"/>
    <cellStyle name="Vírgula 3 3 2 2 6 3 2" xfId="9312" xr:uid="{00000000-0005-0000-0000-0000E9190000}"/>
    <cellStyle name="Vírgula 3 3 2 2 6 4" xfId="5026" xr:uid="{00000000-0005-0000-0000-0000EA190000}"/>
    <cellStyle name="Vírgula 3 3 2 2 6 4 2" xfId="11540" xr:uid="{00000000-0005-0000-0000-0000EB190000}"/>
    <cellStyle name="Vírgula 3 3 2 2 6 5" xfId="7256" xr:uid="{00000000-0005-0000-0000-0000EC190000}"/>
    <cellStyle name="Vírgula 3 3 2 2 7" xfId="1252" xr:uid="{00000000-0005-0000-0000-0000ED190000}"/>
    <cellStyle name="Vírgula 3 3 2 2 7 2" xfId="3310" xr:uid="{00000000-0005-0000-0000-0000EE190000}"/>
    <cellStyle name="Vírgula 3 3 2 2 7 2 2" xfId="9826" xr:uid="{00000000-0005-0000-0000-0000EF190000}"/>
    <cellStyle name="Vírgula 3 3 2 2 7 3" xfId="5540" xr:uid="{00000000-0005-0000-0000-0000F0190000}"/>
    <cellStyle name="Vírgula 3 3 2 2 7 3 2" xfId="12054" xr:uid="{00000000-0005-0000-0000-0000F1190000}"/>
    <cellStyle name="Vírgula 3 3 2 2 7 4" xfId="7770" xr:uid="{00000000-0005-0000-0000-0000F2190000}"/>
    <cellStyle name="Vírgula 3 3 2 2 8" xfId="2282" xr:uid="{00000000-0005-0000-0000-0000F3190000}"/>
    <cellStyle name="Vírgula 3 3 2 2 8 2" xfId="8798" xr:uid="{00000000-0005-0000-0000-0000F4190000}"/>
    <cellStyle name="Vírgula 3 3 2 2 9" xfId="4376" xr:uid="{00000000-0005-0000-0000-0000F5190000}"/>
    <cellStyle name="Vírgula 3 3 2 2 9 2" xfId="10890" xr:uid="{00000000-0005-0000-0000-0000F6190000}"/>
    <cellStyle name="Vírgula 3 3 2 3" xfId="116" xr:uid="{00000000-0005-0000-0000-0000F7190000}"/>
    <cellStyle name="Vírgula 3 3 2 3 2" xfId="207" xr:uid="{00000000-0005-0000-0000-0000F8190000}"/>
    <cellStyle name="Vírgula 3 3 2 3 2 2" xfId="335" xr:uid="{00000000-0005-0000-0000-0000F9190000}"/>
    <cellStyle name="Vírgula 3 3 2 3 2 2 2" xfId="678" xr:uid="{00000000-0005-0000-0000-0000FA190000}"/>
    <cellStyle name="Vírgula 3 3 2 3 2 2 2 2" xfId="1202" xr:uid="{00000000-0005-0000-0000-0000FB190000}"/>
    <cellStyle name="Vírgula 3 3 2 3 2 2 2 2 2" xfId="2230" xr:uid="{00000000-0005-0000-0000-0000FC190000}"/>
    <cellStyle name="Vírgula 3 3 2 3 2 2 2 2 2 2" xfId="4288" xr:uid="{00000000-0005-0000-0000-0000FD190000}"/>
    <cellStyle name="Vírgula 3 3 2 3 2 2 2 2 2 2 2" xfId="10804" xr:uid="{00000000-0005-0000-0000-0000FE190000}"/>
    <cellStyle name="Vírgula 3 3 2 3 2 2 2 2 2 3" xfId="6518" xr:uid="{00000000-0005-0000-0000-0000FF190000}"/>
    <cellStyle name="Vírgula 3 3 2 3 2 2 2 2 2 3 2" xfId="13032" xr:uid="{00000000-0005-0000-0000-0000001A0000}"/>
    <cellStyle name="Vírgula 3 3 2 3 2 2 2 2 2 4" xfId="8748" xr:uid="{00000000-0005-0000-0000-0000011A0000}"/>
    <cellStyle name="Vírgula 3 3 2 3 2 2 2 2 3" xfId="3260" xr:uid="{00000000-0005-0000-0000-0000021A0000}"/>
    <cellStyle name="Vírgula 3 3 2 3 2 2 2 2 3 2" xfId="9776" xr:uid="{00000000-0005-0000-0000-0000031A0000}"/>
    <cellStyle name="Vírgula 3 3 2 3 2 2 2 2 4" xfId="5490" xr:uid="{00000000-0005-0000-0000-0000041A0000}"/>
    <cellStyle name="Vírgula 3 3 2 3 2 2 2 2 4 2" xfId="12004" xr:uid="{00000000-0005-0000-0000-0000051A0000}"/>
    <cellStyle name="Vírgula 3 3 2 3 2 2 2 2 5" xfId="7720" xr:uid="{00000000-0005-0000-0000-0000061A0000}"/>
    <cellStyle name="Vírgula 3 3 2 3 2 2 2 3" xfId="1716" xr:uid="{00000000-0005-0000-0000-0000071A0000}"/>
    <cellStyle name="Vírgula 3 3 2 3 2 2 2 3 2" xfId="3774" xr:uid="{00000000-0005-0000-0000-0000081A0000}"/>
    <cellStyle name="Vírgula 3 3 2 3 2 2 2 3 2 2" xfId="10290" xr:uid="{00000000-0005-0000-0000-0000091A0000}"/>
    <cellStyle name="Vírgula 3 3 2 3 2 2 2 3 3" xfId="6004" xr:uid="{00000000-0005-0000-0000-00000A1A0000}"/>
    <cellStyle name="Vírgula 3 3 2 3 2 2 2 3 3 2" xfId="12518" xr:uid="{00000000-0005-0000-0000-00000B1A0000}"/>
    <cellStyle name="Vírgula 3 3 2 3 2 2 2 3 4" xfId="8234" xr:uid="{00000000-0005-0000-0000-00000C1A0000}"/>
    <cellStyle name="Vírgula 3 3 2 3 2 2 2 4" xfId="2746" xr:uid="{00000000-0005-0000-0000-00000D1A0000}"/>
    <cellStyle name="Vírgula 3 3 2 3 2 2 2 4 2" xfId="9262" xr:uid="{00000000-0005-0000-0000-00000E1A0000}"/>
    <cellStyle name="Vírgula 3 3 2 3 2 2 2 5" xfId="4974" xr:uid="{00000000-0005-0000-0000-00000F1A0000}"/>
    <cellStyle name="Vírgula 3 3 2 3 2 2 2 5 2" xfId="11488" xr:uid="{00000000-0005-0000-0000-0000101A0000}"/>
    <cellStyle name="Vírgula 3 3 2 3 2 2 2 6" xfId="7204" xr:uid="{00000000-0005-0000-0000-0000111A0000}"/>
    <cellStyle name="Vírgula 3 3 2 3 2 2 3" xfId="946" xr:uid="{00000000-0005-0000-0000-0000121A0000}"/>
    <cellStyle name="Vírgula 3 3 2 3 2 2 3 2" xfId="1974" xr:uid="{00000000-0005-0000-0000-0000131A0000}"/>
    <cellStyle name="Vírgula 3 3 2 3 2 2 3 2 2" xfId="4032" xr:uid="{00000000-0005-0000-0000-0000141A0000}"/>
    <cellStyle name="Vírgula 3 3 2 3 2 2 3 2 2 2" xfId="10548" xr:uid="{00000000-0005-0000-0000-0000151A0000}"/>
    <cellStyle name="Vírgula 3 3 2 3 2 2 3 2 3" xfId="6262" xr:uid="{00000000-0005-0000-0000-0000161A0000}"/>
    <cellStyle name="Vírgula 3 3 2 3 2 2 3 2 3 2" xfId="12776" xr:uid="{00000000-0005-0000-0000-0000171A0000}"/>
    <cellStyle name="Vírgula 3 3 2 3 2 2 3 2 4" xfId="8492" xr:uid="{00000000-0005-0000-0000-0000181A0000}"/>
    <cellStyle name="Vírgula 3 3 2 3 2 2 3 3" xfId="3004" xr:uid="{00000000-0005-0000-0000-0000191A0000}"/>
    <cellStyle name="Vírgula 3 3 2 3 2 2 3 3 2" xfId="9520" xr:uid="{00000000-0005-0000-0000-00001A1A0000}"/>
    <cellStyle name="Vírgula 3 3 2 3 2 2 3 4" xfId="5234" xr:uid="{00000000-0005-0000-0000-00001B1A0000}"/>
    <cellStyle name="Vírgula 3 3 2 3 2 2 3 4 2" xfId="11748" xr:uid="{00000000-0005-0000-0000-00001C1A0000}"/>
    <cellStyle name="Vírgula 3 3 2 3 2 2 3 5" xfId="7464" xr:uid="{00000000-0005-0000-0000-00001D1A0000}"/>
    <cellStyle name="Vírgula 3 3 2 3 2 2 4" xfId="1460" xr:uid="{00000000-0005-0000-0000-00001E1A0000}"/>
    <cellStyle name="Vírgula 3 3 2 3 2 2 4 2" xfId="3518" xr:uid="{00000000-0005-0000-0000-00001F1A0000}"/>
    <cellStyle name="Vírgula 3 3 2 3 2 2 4 2 2" xfId="10034" xr:uid="{00000000-0005-0000-0000-0000201A0000}"/>
    <cellStyle name="Vírgula 3 3 2 3 2 2 4 3" xfId="5748" xr:uid="{00000000-0005-0000-0000-0000211A0000}"/>
    <cellStyle name="Vírgula 3 3 2 3 2 2 4 3 2" xfId="12262" xr:uid="{00000000-0005-0000-0000-0000221A0000}"/>
    <cellStyle name="Vírgula 3 3 2 3 2 2 4 4" xfId="7978" xr:uid="{00000000-0005-0000-0000-0000231A0000}"/>
    <cellStyle name="Vírgula 3 3 2 3 2 2 5" xfId="2490" xr:uid="{00000000-0005-0000-0000-0000241A0000}"/>
    <cellStyle name="Vírgula 3 3 2 3 2 2 5 2" xfId="9006" xr:uid="{00000000-0005-0000-0000-0000251A0000}"/>
    <cellStyle name="Vírgula 3 3 2 3 2 2 6" xfId="4632" xr:uid="{00000000-0005-0000-0000-0000261A0000}"/>
    <cellStyle name="Vírgula 3 3 2 3 2 2 6 2" xfId="11146" xr:uid="{00000000-0005-0000-0000-0000271A0000}"/>
    <cellStyle name="Vírgula 3 3 2 3 2 2 7" xfId="6862" xr:uid="{00000000-0005-0000-0000-0000281A0000}"/>
    <cellStyle name="Vírgula 3 3 2 3 2 3" xfId="550" xr:uid="{00000000-0005-0000-0000-0000291A0000}"/>
    <cellStyle name="Vírgula 3 3 2 3 2 3 2" xfId="1074" xr:uid="{00000000-0005-0000-0000-00002A1A0000}"/>
    <cellStyle name="Vírgula 3 3 2 3 2 3 2 2" xfId="2102" xr:uid="{00000000-0005-0000-0000-00002B1A0000}"/>
    <cellStyle name="Vírgula 3 3 2 3 2 3 2 2 2" xfId="4160" xr:uid="{00000000-0005-0000-0000-00002C1A0000}"/>
    <cellStyle name="Vírgula 3 3 2 3 2 3 2 2 2 2" xfId="10676" xr:uid="{00000000-0005-0000-0000-00002D1A0000}"/>
    <cellStyle name="Vírgula 3 3 2 3 2 3 2 2 3" xfId="6390" xr:uid="{00000000-0005-0000-0000-00002E1A0000}"/>
    <cellStyle name="Vírgula 3 3 2 3 2 3 2 2 3 2" xfId="12904" xr:uid="{00000000-0005-0000-0000-00002F1A0000}"/>
    <cellStyle name="Vírgula 3 3 2 3 2 3 2 2 4" xfId="8620" xr:uid="{00000000-0005-0000-0000-0000301A0000}"/>
    <cellStyle name="Vírgula 3 3 2 3 2 3 2 3" xfId="3132" xr:uid="{00000000-0005-0000-0000-0000311A0000}"/>
    <cellStyle name="Vírgula 3 3 2 3 2 3 2 3 2" xfId="9648" xr:uid="{00000000-0005-0000-0000-0000321A0000}"/>
    <cellStyle name="Vírgula 3 3 2 3 2 3 2 4" xfId="5362" xr:uid="{00000000-0005-0000-0000-0000331A0000}"/>
    <cellStyle name="Vírgula 3 3 2 3 2 3 2 4 2" xfId="11876" xr:uid="{00000000-0005-0000-0000-0000341A0000}"/>
    <cellStyle name="Vírgula 3 3 2 3 2 3 2 5" xfId="7592" xr:uid="{00000000-0005-0000-0000-0000351A0000}"/>
    <cellStyle name="Vírgula 3 3 2 3 2 3 3" xfId="1588" xr:uid="{00000000-0005-0000-0000-0000361A0000}"/>
    <cellStyle name="Vírgula 3 3 2 3 2 3 3 2" xfId="3646" xr:uid="{00000000-0005-0000-0000-0000371A0000}"/>
    <cellStyle name="Vírgula 3 3 2 3 2 3 3 2 2" xfId="10162" xr:uid="{00000000-0005-0000-0000-0000381A0000}"/>
    <cellStyle name="Vírgula 3 3 2 3 2 3 3 3" xfId="5876" xr:uid="{00000000-0005-0000-0000-0000391A0000}"/>
    <cellStyle name="Vírgula 3 3 2 3 2 3 3 3 2" xfId="12390" xr:uid="{00000000-0005-0000-0000-00003A1A0000}"/>
    <cellStyle name="Vírgula 3 3 2 3 2 3 3 4" xfId="8106" xr:uid="{00000000-0005-0000-0000-00003B1A0000}"/>
    <cellStyle name="Vírgula 3 3 2 3 2 3 4" xfId="2618" xr:uid="{00000000-0005-0000-0000-00003C1A0000}"/>
    <cellStyle name="Vírgula 3 3 2 3 2 3 4 2" xfId="9134" xr:uid="{00000000-0005-0000-0000-00003D1A0000}"/>
    <cellStyle name="Vírgula 3 3 2 3 2 3 5" xfId="4846" xr:uid="{00000000-0005-0000-0000-00003E1A0000}"/>
    <cellStyle name="Vírgula 3 3 2 3 2 3 5 2" xfId="11360" xr:uid="{00000000-0005-0000-0000-00003F1A0000}"/>
    <cellStyle name="Vírgula 3 3 2 3 2 3 6" xfId="7076" xr:uid="{00000000-0005-0000-0000-0000401A0000}"/>
    <cellStyle name="Vírgula 3 3 2 3 2 4" xfId="818" xr:uid="{00000000-0005-0000-0000-0000411A0000}"/>
    <cellStyle name="Vírgula 3 3 2 3 2 4 2" xfId="1846" xr:uid="{00000000-0005-0000-0000-0000421A0000}"/>
    <cellStyle name="Vírgula 3 3 2 3 2 4 2 2" xfId="3904" xr:uid="{00000000-0005-0000-0000-0000431A0000}"/>
    <cellStyle name="Vírgula 3 3 2 3 2 4 2 2 2" xfId="10420" xr:uid="{00000000-0005-0000-0000-0000441A0000}"/>
    <cellStyle name="Vírgula 3 3 2 3 2 4 2 3" xfId="6134" xr:uid="{00000000-0005-0000-0000-0000451A0000}"/>
    <cellStyle name="Vírgula 3 3 2 3 2 4 2 3 2" xfId="12648" xr:uid="{00000000-0005-0000-0000-0000461A0000}"/>
    <cellStyle name="Vírgula 3 3 2 3 2 4 2 4" xfId="8364" xr:uid="{00000000-0005-0000-0000-0000471A0000}"/>
    <cellStyle name="Vírgula 3 3 2 3 2 4 3" xfId="2876" xr:uid="{00000000-0005-0000-0000-0000481A0000}"/>
    <cellStyle name="Vírgula 3 3 2 3 2 4 3 2" xfId="9392" xr:uid="{00000000-0005-0000-0000-0000491A0000}"/>
    <cellStyle name="Vírgula 3 3 2 3 2 4 4" xfId="5106" xr:uid="{00000000-0005-0000-0000-00004A1A0000}"/>
    <cellStyle name="Vírgula 3 3 2 3 2 4 4 2" xfId="11620" xr:uid="{00000000-0005-0000-0000-00004B1A0000}"/>
    <cellStyle name="Vírgula 3 3 2 3 2 4 5" xfId="7336" xr:uid="{00000000-0005-0000-0000-00004C1A0000}"/>
    <cellStyle name="Vírgula 3 3 2 3 2 5" xfId="1332" xr:uid="{00000000-0005-0000-0000-00004D1A0000}"/>
    <cellStyle name="Vírgula 3 3 2 3 2 5 2" xfId="3390" xr:uid="{00000000-0005-0000-0000-00004E1A0000}"/>
    <cellStyle name="Vírgula 3 3 2 3 2 5 2 2" xfId="9906" xr:uid="{00000000-0005-0000-0000-00004F1A0000}"/>
    <cellStyle name="Vírgula 3 3 2 3 2 5 3" xfId="5620" xr:uid="{00000000-0005-0000-0000-0000501A0000}"/>
    <cellStyle name="Vírgula 3 3 2 3 2 5 3 2" xfId="12134" xr:uid="{00000000-0005-0000-0000-0000511A0000}"/>
    <cellStyle name="Vírgula 3 3 2 3 2 5 4" xfId="7850" xr:uid="{00000000-0005-0000-0000-0000521A0000}"/>
    <cellStyle name="Vírgula 3 3 2 3 2 6" xfId="2362" xr:uid="{00000000-0005-0000-0000-0000531A0000}"/>
    <cellStyle name="Vírgula 3 3 2 3 2 6 2" xfId="8878" xr:uid="{00000000-0005-0000-0000-0000541A0000}"/>
    <cellStyle name="Vírgula 3 3 2 3 2 7" xfId="4504" xr:uid="{00000000-0005-0000-0000-0000551A0000}"/>
    <cellStyle name="Vírgula 3 3 2 3 2 7 2" xfId="11018" xr:uid="{00000000-0005-0000-0000-0000561A0000}"/>
    <cellStyle name="Vírgula 3 3 2 3 2 8" xfId="6734" xr:uid="{00000000-0005-0000-0000-0000571A0000}"/>
    <cellStyle name="Vírgula 3 3 2 3 3" xfId="271" xr:uid="{00000000-0005-0000-0000-0000581A0000}"/>
    <cellStyle name="Vírgula 3 3 2 3 3 2" xfId="614" xr:uid="{00000000-0005-0000-0000-0000591A0000}"/>
    <cellStyle name="Vírgula 3 3 2 3 3 2 2" xfId="1138" xr:uid="{00000000-0005-0000-0000-00005A1A0000}"/>
    <cellStyle name="Vírgula 3 3 2 3 3 2 2 2" xfId="2166" xr:uid="{00000000-0005-0000-0000-00005B1A0000}"/>
    <cellStyle name="Vírgula 3 3 2 3 3 2 2 2 2" xfId="4224" xr:uid="{00000000-0005-0000-0000-00005C1A0000}"/>
    <cellStyle name="Vírgula 3 3 2 3 3 2 2 2 2 2" xfId="10740" xr:uid="{00000000-0005-0000-0000-00005D1A0000}"/>
    <cellStyle name="Vírgula 3 3 2 3 3 2 2 2 3" xfId="6454" xr:uid="{00000000-0005-0000-0000-00005E1A0000}"/>
    <cellStyle name="Vírgula 3 3 2 3 3 2 2 2 3 2" xfId="12968" xr:uid="{00000000-0005-0000-0000-00005F1A0000}"/>
    <cellStyle name="Vírgula 3 3 2 3 3 2 2 2 4" xfId="8684" xr:uid="{00000000-0005-0000-0000-0000601A0000}"/>
    <cellStyle name="Vírgula 3 3 2 3 3 2 2 3" xfId="3196" xr:uid="{00000000-0005-0000-0000-0000611A0000}"/>
    <cellStyle name="Vírgula 3 3 2 3 3 2 2 3 2" xfId="9712" xr:uid="{00000000-0005-0000-0000-0000621A0000}"/>
    <cellStyle name="Vírgula 3 3 2 3 3 2 2 4" xfId="5426" xr:uid="{00000000-0005-0000-0000-0000631A0000}"/>
    <cellStyle name="Vírgula 3 3 2 3 3 2 2 4 2" xfId="11940" xr:uid="{00000000-0005-0000-0000-0000641A0000}"/>
    <cellStyle name="Vírgula 3 3 2 3 3 2 2 5" xfId="7656" xr:uid="{00000000-0005-0000-0000-0000651A0000}"/>
    <cellStyle name="Vírgula 3 3 2 3 3 2 3" xfId="1652" xr:uid="{00000000-0005-0000-0000-0000661A0000}"/>
    <cellStyle name="Vírgula 3 3 2 3 3 2 3 2" xfId="3710" xr:uid="{00000000-0005-0000-0000-0000671A0000}"/>
    <cellStyle name="Vírgula 3 3 2 3 3 2 3 2 2" xfId="10226" xr:uid="{00000000-0005-0000-0000-0000681A0000}"/>
    <cellStyle name="Vírgula 3 3 2 3 3 2 3 3" xfId="5940" xr:uid="{00000000-0005-0000-0000-0000691A0000}"/>
    <cellStyle name="Vírgula 3 3 2 3 3 2 3 3 2" xfId="12454" xr:uid="{00000000-0005-0000-0000-00006A1A0000}"/>
    <cellStyle name="Vírgula 3 3 2 3 3 2 3 4" xfId="8170" xr:uid="{00000000-0005-0000-0000-00006B1A0000}"/>
    <cellStyle name="Vírgula 3 3 2 3 3 2 4" xfId="2682" xr:uid="{00000000-0005-0000-0000-00006C1A0000}"/>
    <cellStyle name="Vírgula 3 3 2 3 3 2 4 2" xfId="9198" xr:uid="{00000000-0005-0000-0000-00006D1A0000}"/>
    <cellStyle name="Vírgula 3 3 2 3 3 2 5" xfId="4910" xr:uid="{00000000-0005-0000-0000-00006E1A0000}"/>
    <cellStyle name="Vírgula 3 3 2 3 3 2 5 2" xfId="11424" xr:uid="{00000000-0005-0000-0000-00006F1A0000}"/>
    <cellStyle name="Vírgula 3 3 2 3 3 2 6" xfId="7140" xr:uid="{00000000-0005-0000-0000-0000701A0000}"/>
    <cellStyle name="Vírgula 3 3 2 3 3 3" xfId="882" xr:uid="{00000000-0005-0000-0000-0000711A0000}"/>
    <cellStyle name="Vírgula 3 3 2 3 3 3 2" xfId="1910" xr:uid="{00000000-0005-0000-0000-0000721A0000}"/>
    <cellStyle name="Vírgula 3 3 2 3 3 3 2 2" xfId="3968" xr:uid="{00000000-0005-0000-0000-0000731A0000}"/>
    <cellStyle name="Vírgula 3 3 2 3 3 3 2 2 2" xfId="10484" xr:uid="{00000000-0005-0000-0000-0000741A0000}"/>
    <cellStyle name="Vírgula 3 3 2 3 3 3 2 3" xfId="6198" xr:uid="{00000000-0005-0000-0000-0000751A0000}"/>
    <cellStyle name="Vírgula 3 3 2 3 3 3 2 3 2" xfId="12712" xr:uid="{00000000-0005-0000-0000-0000761A0000}"/>
    <cellStyle name="Vírgula 3 3 2 3 3 3 2 4" xfId="8428" xr:uid="{00000000-0005-0000-0000-0000771A0000}"/>
    <cellStyle name="Vírgula 3 3 2 3 3 3 3" xfId="2940" xr:uid="{00000000-0005-0000-0000-0000781A0000}"/>
    <cellStyle name="Vírgula 3 3 2 3 3 3 3 2" xfId="9456" xr:uid="{00000000-0005-0000-0000-0000791A0000}"/>
    <cellStyle name="Vírgula 3 3 2 3 3 3 4" xfId="5170" xr:uid="{00000000-0005-0000-0000-00007A1A0000}"/>
    <cellStyle name="Vírgula 3 3 2 3 3 3 4 2" xfId="11684" xr:uid="{00000000-0005-0000-0000-00007B1A0000}"/>
    <cellStyle name="Vírgula 3 3 2 3 3 3 5" xfId="7400" xr:uid="{00000000-0005-0000-0000-00007C1A0000}"/>
    <cellStyle name="Vírgula 3 3 2 3 3 4" xfId="1396" xr:uid="{00000000-0005-0000-0000-00007D1A0000}"/>
    <cellStyle name="Vírgula 3 3 2 3 3 4 2" xfId="3454" xr:uid="{00000000-0005-0000-0000-00007E1A0000}"/>
    <cellStyle name="Vírgula 3 3 2 3 3 4 2 2" xfId="9970" xr:uid="{00000000-0005-0000-0000-00007F1A0000}"/>
    <cellStyle name="Vírgula 3 3 2 3 3 4 3" xfId="5684" xr:uid="{00000000-0005-0000-0000-0000801A0000}"/>
    <cellStyle name="Vírgula 3 3 2 3 3 4 3 2" xfId="12198" xr:uid="{00000000-0005-0000-0000-0000811A0000}"/>
    <cellStyle name="Vírgula 3 3 2 3 3 4 4" xfId="7914" xr:uid="{00000000-0005-0000-0000-0000821A0000}"/>
    <cellStyle name="Vírgula 3 3 2 3 3 5" xfId="2426" xr:uid="{00000000-0005-0000-0000-0000831A0000}"/>
    <cellStyle name="Vírgula 3 3 2 3 3 5 2" xfId="8942" xr:uid="{00000000-0005-0000-0000-0000841A0000}"/>
    <cellStyle name="Vírgula 3 3 2 3 3 6" xfId="4568" xr:uid="{00000000-0005-0000-0000-0000851A0000}"/>
    <cellStyle name="Vírgula 3 3 2 3 3 6 2" xfId="11082" xr:uid="{00000000-0005-0000-0000-0000861A0000}"/>
    <cellStyle name="Vírgula 3 3 2 3 3 7" xfId="6798" xr:uid="{00000000-0005-0000-0000-0000871A0000}"/>
    <cellStyle name="Vírgula 3 3 2 3 4" xfId="459" xr:uid="{00000000-0005-0000-0000-0000881A0000}"/>
    <cellStyle name="Vírgula 3 3 2 3 4 2" xfId="1010" xr:uid="{00000000-0005-0000-0000-0000891A0000}"/>
    <cellStyle name="Vírgula 3 3 2 3 4 2 2" xfId="2038" xr:uid="{00000000-0005-0000-0000-00008A1A0000}"/>
    <cellStyle name="Vírgula 3 3 2 3 4 2 2 2" xfId="4096" xr:uid="{00000000-0005-0000-0000-00008B1A0000}"/>
    <cellStyle name="Vírgula 3 3 2 3 4 2 2 2 2" xfId="10612" xr:uid="{00000000-0005-0000-0000-00008C1A0000}"/>
    <cellStyle name="Vírgula 3 3 2 3 4 2 2 3" xfId="6326" xr:uid="{00000000-0005-0000-0000-00008D1A0000}"/>
    <cellStyle name="Vírgula 3 3 2 3 4 2 2 3 2" xfId="12840" xr:uid="{00000000-0005-0000-0000-00008E1A0000}"/>
    <cellStyle name="Vírgula 3 3 2 3 4 2 2 4" xfId="8556" xr:uid="{00000000-0005-0000-0000-00008F1A0000}"/>
    <cellStyle name="Vírgula 3 3 2 3 4 2 3" xfId="3068" xr:uid="{00000000-0005-0000-0000-0000901A0000}"/>
    <cellStyle name="Vírgula 3 3 2 3 4 2 3 2" xfId="9584" xr:uid="{00000000-0005-0000-0000-0000911A0000}"/>
    <cellStyle name="Vírgula 3 3 2 3 4 2 4" xfId="5298" xr:uid="{00000000-0005-0000-0000-0000921A0000}"/>
    <cellStyle name="Vírgula 3 3 2 3 4 2 4 2" xfId="11812" xr:uid="{00000000-0005-0000-0000-0000931A0000}"/>
    <cellStyle name="Vírgula 3 3 2 3 4 2 5" xfId="7528" xr:uid="{00000000-0005-0000-0000-0000941A0000}"/>
    <cellStyle name="Vírgula 3 3 2 3 4 3" xfId="1524" xr:uid="{00000000-0005-0000-0000-0000951A0000}"/>
    <cellStyle name="Vírgula 3 3 2 3 4 3 2" xfId="3582" xr:uid="{00000000-0005-0000-0000-0000961A0000}"/>
    <cellStyle name="Vírgula 3 3 2 3 4 3 2 2" xfId="10098" xr:uid="{00000000-0005-0000-0000-0000971A0000}"/>
    <cellStyle name="Vírgula 3 3 2 3 4 3 3" xfId="5812" xr:uid="{00000000-0005-0000-0000-0000981A0000}"/>
    <cellStyle name="Vírgula 3 3 2 3 4 3 3 2" xfId="12326" xr:uid="{00000000-0005-0000-0000-0000991A0000}"/>
    <cellStyle name="Vírgula 3 3 2 3 4 3 4" xfId="8042" xr:uid="{00000000-0005-0000-0000-00009A1A0000}"/>
    <cellStyle name="Vírgula 3 3 2 3 4 4" xfId="2554" xr:uid="{00000000-0005-0000-0000-00009B1A0000}"/>
    <cellStyle name="Vírgula 3 3 2 3 4 4 2" xfId="9070" xr:uid="{00000000-0005-0000-0000-00009C1A0000}"/>
    <cellStyle name="Vírgula 3 3 2 3 4 5" xfId="4755" xr:uid="{00000000-0005-0000-0000-00009D1A0000}"/>
    <cellStyle name="Vírgula 3 3 2 3 4 5 2" xfId="11269" xr:uid="{00000000-0005-0000-0000-00009E1A0000}"/>
    <cellStyle name="Vírgula 3 3 2 3 4 6" xfId="6985" xr:uid="{00000000-0005-0000-0000-00009F1A0000}"/>
    <cellStyle name="Vírgula 3 3 2 3 5" xfId="754" xr:uid="{00000000-0005-0000-0000-0000A01A0000}"/>
    <cellStyle name="Vírgula 3 3 2 3 5 2" xfId="1782" xr:uid="{00000000-0005-0000-0000-0000A11A0000}"/>
    <cellStyle name="Vírgula 3 3 2 3 5 2 2" xfId="3840" xr:uid="{00000000-0005-0000-0000-0000A21A0000}"/>
    <cellStyle name="Vírgula 3 3 2 3 5 2 2 2" xfId="10356" xr:uid="{00000000-0005-0000-0000-0000A31A0000}"/>
    <cellStyle name="Vírgula 3 3 2 3 5 2 3" xfId="6070" xr:uid="{00000000-0005-0000-0000-0000A41A0000}"/>
    <cellStyle name="Vírgula 3 3 2 3 5 2 3 2" xfId="12584" xr:uid="{00000000-0005-0000-0000-0000A51A0000}"/>
    <cellStyle name="Vírgula 3 3 2 3 5 2 4" xfId="8300" xr:uid="{00000000-0005-0000-0000-0000A61A0000}"/>
    <cellStyle name="Vírgula 3 3 2 3 5 3" xfId="2812" xr:uid="{00000000-0005-0000-0000-0000A71A0000}"/>
    <cellStyle name="Vírgula 3 3 2 3 5 3 2" xfId="9328" xr:uid="{00000000-0005-0000-0000-0000A81A0000}"/>
    <cellStyle name="Vírgula 3 3 2 3 5 4" xfId="5042" xr:uid="{00000000-0005-0000-0000-0000A91A0000}"/>
    <cellStyle name="Vírgula 3 3 2 3 5 4 2" xfId="11556" xr:uid="{00000000-0005-0000-0000-0000AA1A0000}"/>
    <cellStyle name="Vírgula 3 3 2 3 5 5" xfId="7272" xr:uid="{00000000-0005-0000-0000-0000AB1A0000}"/>
    <cellStyle name="Vírgula 3 3 2 3 6" xfId="1268" xr:uid="{00000000-0005-0000-0000-0000AC1A0000}"/>
    <cellStyle name="Vírgula 3 3 2 3 6 2" xfId="3326" xr:uid="{00000000-0005-0000-0000-0000AD1A0000}"/>
    <cellStyle name="Vírgula 3 3 2 3 6 2 2" xfId="9842" xr:uid="{00000000-0005-0000-0000-0000AE1A0000}"/>
    <cellStyle name="Vírgula 3 3 2 3 6 3" xfId="5556" xr:uid="{00000000-0005-0000-0000-0000AF1A0000}"/>
    <cellStyle name="Vírgula 3 3 2 3 6 3 2" xfId="12070" xr:uid="{00000000-0005-0000-0000-0000B01A0000}"/>
    <cellStyle name="Vírgula 3 3 2 3 6 4" xfId="7786" xr:uid="{00000000-0005-0000-0000-0000B11A0000}"/>
    <cellStyle name="Vírgula 3 3 2 3 7" xfId="2298" xr:uid="{00000000-0005-0000-0000-0000B21A0000}"/>
    <cellStyle name="Vírgula 3 3 2 3 7 2" xfId="8814" xr:uid="{00000000-0005-0000-0000-0000B31A0000}"/>
    <cellStyle name="Vírgula 3 3 2 3 8" xfId="4413" xr:uid="{00000000-0005-0000-0000-0000B41A0000}"/>
    <cellStyle name="Vírgula 3 3 2 3 8 2" xfId="10927" xr:uid="{00000000-0005-0000-0000-0000B51A0000}"/>
    <cellStyle name="Vírgula 3 3 2 3 9" xfId="6643" xr:uid="{00000000-0005-0000-0000-0000B61A0000}"/>
    <cellStyle name="Vírgula 3 3 2 4" xfId="175" xr:uid="{00000000-0005-0000-0000-0000B71A0000}"/>
    <cellStyle name="Vírgula 3 3 2 4 2" xfId="303" xr:uid="{00000000-0005-0000-0000-0000B81A0000}"/>
    <cellStyle name="Vírgula 3 3 2 4 2 2" xfId="646" xr:uid="{00000000-0005-0000-0000-0000B91A0000}"/>
    <cellStyle name="Vírgula 3 3 2 4 2 2 2" xfId="1170" xr:uid="{00000000-0005-0000-0000-0000BA1A0000}"/>
    <cellStyle name="Vírgula 3 3 2 4 2 2 2 2" xfId="2198" xr:uid="{00000000-0005-0000-0000-0000BB1A0000}"/>
    <cellStyle name="Vírgula 3 3 2 4 2 2 2 2 2" xfId="4256" xr:uid="{00000000-0005-0000-0000-0000BC1A0000}"/>
    <cellStyle name="Vírgula 3 3 2 4 2 2 2 2 2 2" xfId="10772" xr:uid="{00000000-0005-0000-0000-0000BD1A0000}"/>
    <cellStyle name="Vírgula 3 3 2 4 2 2 2 2 3" xfId="6486" xr:uid="{00000000-0005-0000-0000-0000BE1A0000}"/>
    <cellStyle name="Vírgula 3 3 2 4 2 2 2 2 3 2" xfId="13000" xr:uid="{00000000-0005-0000-0000-0000BF1A0000}"/>
    <cellStyle name="Vírgula 3 3 2 4 2 2 2 2 4" xfId="8716" xr:uid="{00000000-0005-0000-0000-0000C01A0000}"/>
    <cellStyle name="Vírgula 3 3 2 4 2 2 2 3" xfId="3228" xr:uid="{00000000-0005-0000-0000-0000C11A0000}"/>
    <cellStyle name="Vírgula 3 3 2 4 2 2 2 3 2" xfId="9744" xr:uid="{00000000-0005-0000-0000-0000C21A0000}"/>
    <cellStyle name="Vírgula 3 3 2 4 2 2 2 4" xfId="5458" xr:uid="{00000000-0005-0000-0000-0000C31A0000}"/>
    <cellStyle name="Vírgula 3 3 2 4 2 2 2 4 2" xfId="11972" xr:uid="{00000000-0005-0000-0000-0000C41A0000}"/>
    <cellStyle name="Vírgula 3 3 2 4 2 2 2 5" xfId="7688" xr:uid="{00000000-0005-0000-0000-0000C51A0000}"/>
    <cellStyle name="Vírgula 3 3 2 4 2 2 3" xfId="1684" xr:uid="{00000000-0005-0000-0000-0000C61A0000}"/>
    <cellStyle name="Vírgula 3 3 2 4 2 2 3 2" xfId="3742" xr:uid="{00000000-0005-0000-0000-0000C71A0000}"/>
    <cellStyle name="Vírgula 3 3 2 4 2 2 3 2 2" xfId="10258" xr:uid="{00000000-0005-0000-0000-0000C81A0000}"/>
    <cellStyle name="Vírgula 3 3 2 4 2 2 3 3" xfId="5972" xr:uid="{00000000-0005-0000-0000-0000C91A0000}"/>
    <cellStyle name="Vírgula 3 3 2 4 2 2 3 3 2" xfId="12486" xr:uid="{00000000-0005-0000-0000-0000CA1A0000}"/>
    <cellStyle name="Vírgula 3 3 2 4 2 2 3 4" xfId="8202" xr:uid="{00000000-0005-0000-0000-0000CB1A0000}"/>
    <cellStyle name="Vírgula 3 3 2 4 2 2 4" xfId="2714" xr:uid="{00000000-0005-0000-0000-0000CC1A0000}"/>
    <cellStyle name="Vírgula 3 3 2 4 2 2 4 2" xfId="9230" xr:uid="{00000000-0005-0000-0000-0000CD1A0000}"/>
    <cellStyle name="Vírgula 3 3 2 4 2 2 5" xfId="4942" xr:uid="{00000000-0005-0000-0000-0000CE1A0000}"/>
    <cellStyle name="Vírgula 3 3 2 4 2 2 5 2" xfId="11456" xr:uid="{00000000-0005-0000-0000-0000CF1A0000}"/>
    <cellStyle name="Vírgula 3 3 2 4 2 2 6" xfId="7172" xr:uid="{00000000-0005-0000-0000-0000D01A0000}"/>
    <cellStyle name="Vírgula 3 3 2 4 2 3" xfId="914" xr:uid="{00000000-0005-0000-0000-0000D11A0000}"/>
    <cellStyle name="Vírgula 3 3 2 4 2 3 2" xfId="1942" xr:uid="{00000000-0005-0000-0000-0000D21A0000}"/>
    <cellStyle name="Vírgula 3 3 2 4 2 3 2 2" xfId="4000" xr:uid="{00000000-0005-0000-0000-0000D31A0000}"/>
    <cellStyle name="Vírgula 3 3 2 4 2 3 2 2 2" xfId="10516" xr:uid="{00000000-0005-0000-0000-0000D41A0000}"/>
    <cellStyle name="Vírgula 3 3 2 4 2 3 2 3" xfId="6230" xr:uid="{00000000-0005-0000-0000-0000D51A0000}"/>
    <cellStyle name="Vírgula 3 3 2 4 2 3 2 3 2" xfId="12744" xr:uid="{00000000-0005-0000-0000-0000D61A0000}"/>
    <cellStyle name="Vírgula 3 3 2 4 2 3 2 4" xfId="8460" xr:uid="{00000000-0005-0000-0000-0000D71A0000}"/>
    <cellStyle name="Vírgula 3 3 2 4 2 3 3" xfId="2972" xr:uid="{00000000-0005-0000-0000-0000D81A0000}"/>
    <cellStyle name="Vírgula 3 3 2 4 2 3 3 2" xfId="9488" xr:uid="{00000000-0005-0000-0000-0000D91A0000}"/>
    <cellStyle name="Vírgula 3 3 2 4 2 3 4" xfId="5202" xr:uid="{00000000-0005-0000-0000-0000DA1A0000}"/>
    <cellStyle name="Vírgula 3 3 2 4 2 3 4 2" xfId="11716" xr:uid="{00000000-0005-0000-0000-0000DB1A0000}"/>
    <cellStyle name="Vírgula 3 3 2 4 2 3 5" xfId="7432" xr:uid="{00000000-0005-0000-0000-0000DC1A0000}"/>
    <cellStyle name="Vírgula 3 3 2 4 2 4" xfId="1428" xr:uid="{00000000-0005-0000-0000-0000DD1A0000}"/>
    <cellStyle name="Vírgula 3 3 2 4 2 4 2" xfId="3486" xr:uid="{00000000-0005-0000-0000-0000DE1A0000}"/>
    <cellStyle name="Vírgula 3 3 2 4 2 4 2 2" xfId="10002" xr:uid="{00000000-0005-0000-0000-0000DF1A0000}"/>
    <cellStyle name="Vírgula 3 3 2 4 2 4 3" xfId="5716" xr:uid="{00000000-0005-0000-0000-0000E01A0000}"/>
    <cellStyle name="Vírgula 3 3 2 4 2 4 3 2" xfId="12230" xr:uid="{00000000-0005-0000-0000-0000E11A0000}"/>
    <cellStyle name="Vírgula 3 3 2 4 2 4 4" xfId="7946" xr:uid="{00000000-0005-0000-0000-0000E21A0000}"/>
    <cellStyle name="Vírgula 3 3 2 4 2 5" xfId="2458" xr:uid="{00000000-0005-0000-0000-0000E31A0000}"/>
    <cellStyle name="Vírgula 3 3 2 4 2 5 2" xfId="8974" xr:uid="{00000000-0005-0000-0000-0000E41A0000}"/>
    <cellStyle name="Vírgula 3 3 2 4 2 6" xfId="4600" xr:uid="{00000000-0005-0000-0000-0000E51A0000}"/>
    <cellStyle name="Vírgula 3 3 2 4 2 6 2" xfId="11114" xr:uid="{00000000-0005-0000-0000-0000E61A0000}"/>
    <cellStyle name="Vírgula 3 3 2 4 2 7" xfId="6830" xr:uid="{00000000-0005-0000-0000-0000E71A0000}"/>
    <cellStyle name="Vírgula 3 3 2 4 3" xfId="518" xr:uid="{00000000-0005-0000-0000-0000E81A0000}"/>
    <cellStyle name="Vírgula 3 3 2 4 3 2" xfId="1042" xr:uid="{00000000-0005-0000-0000-0000E91A0000}"/>
    <cellStyle name="Vírgula 3 3 2 4 3 2 2" xfId="2070" xr:uid="{00000000-0005-0000-0000-0000EA1A0000}"/>
    <cellStyle name="Vírgula 3 3 2 4 3 2 2 2" xfId="4128" xr:uid="{00000000-0005-0000-0000-0000EB1A0000}"/>
    <cellStyle name="Vírgula 3 3 2 4 3 2 2 2 2" xfId="10644" xr:uid="{00000000-0005-0000-0000-0000EC1A0000}"/>
    <cellStyle name="Vírgula 3 3 2 4 3 2 2 3" xfId="6358" xr:uid="{00000000-0005-0000-0000-0000ED1A0000}"/>
    <cellStyle name="Vírgula 3 3 2 4 3 2 2 3 2" xfId="12872" xr:uid="{00000000-0005-0000-0000-0000EE1A0000}"/>
    <cellStyle name="Vírgula 3 3 2 4 3 2 2 4" xfId="8588" xr:uid="{00000000-0005-0000-0000-0000EF1A0000}"/>
    <cellStyle name="Vírgula 3 3 2 4 3 2 3" xfId="3100" xr:uid="{00000000-0005-0000-0000-0000F01A0000}"/>
    <cellStyle name="Vírgula 3 3 2 4 3 2 3 2" xfId="9616" xr:uid="{00000000-0005-0000-0000-0000F11A0000}"/>
    <cellStyle name="Vírgula 3 3 2 4 3 2 4" xfId="5330" xr:uid="{00000000-0005-0000-0000-0000F21A0000}"/>
    <cellStyle name="Vírgula 3 3 2 4 3 2 4 2" xfId="11844" xr:uid="{00000000-0005-0000-0000-0000F31A0000}"/>
    <cellStyle name="Vírgula 3 3 2 4 3 2 5" xfId="7560" xr:uid="{00000000-0005-0000-0000-0000F41A0000}"/>
    <cellStyle name="Vírgula 3 3 2 4 3 3" xfId="1556" xr:uid="{00000000-0005-0000-0000-0000F51A0000}"/>
    <cellStyle name="Vírgula 3 3 2 4 3 3 2" xfId="3614" xr:uid="{00000000-0005-0000-0000-0000F61A0000}"/>
    <cellStyle name="Vírgula 3 3 2 4 3 3 2 2" xfId="10130" xr:uid="{00000000-0005-0000-0000-0000F71A0000}"/>
    <cellStyle name="Vírgula 3 3 2 4 3 3 3" xfId="5844" xr:uid="{00000000-0005-0000-0000-0000F81A0000}"/>
    <cellStyle name="Vírgula 3 3 2 4 3 3 3 2" xfId="12358" xr:uid="{00000000-0005-0000-0000-0000F91A0000}"/>
    <cellStyle name="Vírgula 3 3 2 4 3 3 4" xfId="8074" xr:uid="{00000000-0005-0000-0000-0000FA1A0000}"/>
    <cellStyle name="Vírgula 3 3 2 4 3 4" xfId="2586" xr:uid="{00000000-0005-0000-0000-0000FB1A0000}"/>
    <cellStyle name="Vírgula 3 3 2 4 3 4 2" xfId="9102" xr:uid="{00000000-0005-0000-0000-0000FC1A0000}"/>
    <cellStyle name="Vírgula 3 3 2 4 3 5" xfId="4814" xr:uid="{00000000-0005-0000-0000-0000FD1A0000}"/>
    <cellStyle name="Vírgula 3 3 2 4 3 5 2" xfId="11328" xr:uid="{00000000-0005-0000-0000-0000FE1A0000}"/>
    <cellStyle name="Vírgula 3 3 2 4 3 6" xfId="7044" xr:uid="{00000000-0005-0000-0000-0000FF1A0000}"/>
    <cellStyle name="Vírgula 3 3 2 4 4" xfId="786" xr:uid="{00000000-0005-0000-0000-0000001B0000}"/>
    <cellStyle name="Vírgula 3 3 2 4 4 2" xfId="1814" xr:uid="{00000000-0005-0000-0000-0000011B0000}"/>
    <cellStyle name="Vírgula 3 3 2 4 4 2 2" xfId="3872" xr:uid="{00000000-0005-0000-0000-0000021B0000}"/>
    <cellStyle name="Vírgula 3 3 2 4 4 2 2 2" xfId="10388" xr:uid="{00000000-0005-0000-0000-0000031B0000}"/>
    <cellStyle name="Vírgula 3 3 2 4 4 2 3" xfId="6102" xr:uid="{00000000-0005-0000-0000-0000041B0000}"/>
    <cellStyle name="Vírgula 3 3 2 4 4 2 3 2" xfId="12616" xr:uid="{00000000-0005-0000-0000-0000051B0000}"/>
    <cellStyle name="Vírgula 3 3 2 4 4 2 4" xfId="8332" xr:uid="{00000000-0005-0000-0000-0000061B0000}"/>
    <cellStyle name="Vírgula 3 3 2 4 4 3" xfId="2844" xr:uid="{00000000-0005-0000-0000-0000071B0000}"/>
    <cellStyle name="Vírgula 3 3 2 4 4 3 2" xfId="9360" xr:uid="{00000000-0005-0000-0000-0000081B0000}"/>
    <cellStyle name="Vírgula 3 3 2 4 4 4" xfId="5074" xr:uid="{00000000-0005-0000-0000-0000091B0000}"/>
    <cellStyle name="Vírgula 3 3 2 4 4 4 2" xfId="11588" xr:uid="{00000000-0005-0000-0000-00000A1B0000}"/>
    <cellStyle name="Vírgula 3 3 2 4 4 5" xfId="7304" xr:uid="{00000000-0005-0000-0000-00000B1B0000}"/>
    <cellStyle name="Vírgula 3 3 2 4 5" xfId="1300" xr:uid="{00000000-0005-0000-0000-00000C1B0000}"/>
    <cellStyle name="Vírgula 3 3 2 4 5 2" xfId="3358" xr:uid="{00000000-0005-0000-0000-00000D1B0000}"/>
    <cellStyle name="Vírgula 3 3 2 4 5 2 2" xfId="9874" xr:uid="{00000000-0005-0000-0000-00000E1B0000}"/>
    <cellStyle name="Vírgula 3 3 2 4 5 3" xfId="5588" xr:uid="{00000000-0005-0000-0000-00000F1B0000}"/>
    <cellStyle name="Vírgula 3 3 2 4 5 3 2" xfId="12102" xr:uid="{00000000-0005-0000-0000-0000101B0000}"/>
    <cellStyle name="Vírgula 3 3 2 4 5 4" xfId="7818" xr:uid="{00000000-0005-0000-0000-0000111B0000}"/>
    <cellStyle name="Vírgula 3 3 2 4 6" xfId="2330" xr:uid="{00000000-0005-0000-0000-0000121B0000}"/>
    <cellStyle name="Vírgula 3 3 2 4 6 2" xfId="8846" xr:uid="{00000000-0005-0000-0000-0000131B0000}"/>
    <cellStyle name="Vírgula 3 3 2 4 7" xfId="4472" xr:uid="{00000000-0005-0000-0000-0000141B0000}"/>
    <cellStyle name="Vírgula 3 3 2 4 7 2" xfId="10986" xr:uid="{00000000-0005-0000-0000-0000151B0000}"/>
    <cellStyle name="Vírgula 3 3 2 4 8" xfId="6702" xr:uid="{00000000-0005-0000-0000-0000161B0000}"/>
    <cellStyle name="Vírgula 3 3 2 5" xfId="239" xr:uid="{00000000-0005-0000-0000-0000171B0000}"/>
    <cellStyle name="Vírgula 3 3 2 5 2" xfId="582" xr:uid="{00000000-0005-0000-0000-0000181B0000}"/>
    <cellStyle name="Vírgula 3 3 2 5 2 2" xfId="1106" xr:uid="{00000000-0005-0000-0000-0000191B0000}"/>
    <cellStyle name="Vírgula 3 3 2 5 2 2 2" xfId="2134" xr:uid="{00000000-0005-0000-0000-00001A1B0000}"/>
    <cellStyle name="Vírgula 3 3 2 5 2 2 2 2" xfId="4192" xr:uid="{00000000-0005-0000-0000-00001B1B0000}"/>
    <cellStyle name="Vírgula 3 3 2 5 2 2 2 2 2" xfId="10708" xr:uid="{00000000-0005-0000-0000-00001C1B0000}"/>
    <cellStyle name="Vírgula 3 3 2 5 2 2 2 3" xfId="6422" xr:uid="{00000000-0005-0000-0000-00001D1B0000}"/>
    <cellStyle name="Vírgula 3 3 2 5 2 2 2 3 2" xfId="12936" xr:uid="{00000000-0005-0000-0000-00001E1B0000}"/>
    <cellStyle name="Vírgula 3 3 2 5 2 2 2 4" xfId="8652" xr:uid="{00000000-0005-0000-0000-00001F1B0000}"/>
    <cellStyle name="Vírgula 3 3 2 5 2 2 3" xfId="3164" xr:uid="{00000000-0005-0000-0000-0000201B0000}"/>
    <cellStyle name="Vírgula 3 3 2 5 2 2 3 2" xfId="9680" xr:uid="{00000000-0005-0000-0000-0000211B0000}"/>
    <cellStyle name="Vírgula 3 3 2 5 2 2 4" xfId="5394" xr:uid="{00000000-0005-0000-0000-0000221B0000}"/>
    <cellStyle name="Vírgula 3 3 2 5 2 2 4 2" xfId="11908" xr:uid="{00000000-0005-0000-0000-0000231B0000}"/>
    <cellStyle name="Vírgula 3 3 2 5 2 2 5" xfId="7624" xr:uid="{00000000-0005-0000-0000-0000241B0000}"/>
    <cellStyle name="Vírgula 3 3 2 5 2 3" xfId="1620" xr:uid="{00000000-0005-0000-0000-0000251B0000}"/>
    <cellStyle name="Vírgula 3 3 2 5 2 3 2" xfId="3678" xr:uid="{00000000-0005-0000-0000-0000261B0000}"/>
    <cellStyle name="Vírgula 3 3 2 5 2 3 2 2" xfId="10194" xr:uid="{00000000-0005-0000-0000-0000271B0000}"/>
    <cellStyle name="Vírgula 3 3 2 5 2 3 3" xfId="5908" xr:uid="{00000000-0005-0000-0000-0000281B0000}"/>
    <cellStyle name="Vírgula 3 3 2 5 2 3 3 2" xfId="12422" xr:uid="{00000000-0005-0000-0000-0000291B0000}"/>
    <cellStyle name="Vírgula 3 3 2 5 2 3 4" xfId="8138" xr:uid="{00000000-0005-0000-0000-00002A1B0000}"/>
    <cellStyle name="Vírgula 3 3 2 5 2 4" xfId="2650" xr:uid="{00000000-0005-0000-0000-00002B1B0000}"/>
    <cellStyle name="Vírgula 3 3 2 5 2 4 2" xfId="9166" xr:uid="{00000000-0005-0000-0000-00002C1B0000}"/>
    <cellStyle name="Vírgula 3 3 2 5 2 5" xfId="4878" xr:uid="{00000000-0005-0000-0000-00002D1B0000}"/>
    <cellStyle name="Vírgula 3 3 2 5 2 5 2" xfId="11392" xr:uid="{00000000-0005-0000-0000-00002E1B0000}"/>
    <cellStyle name="Vírgula 3 3 2 5 2 6" xfId="7108" xr:uid="{00000000-0005-0000-0000-00002F1B0000}"/>
    <cellStyle name="Vírgula 3 3 2 5 3" xfId="850" xr:uid="{00000000-0005-0000-0000-0000301B0000}"/>
    <cellStyle name="Vírgula 3 3 2 5 3 2" xfId="1878" xr:uid="{00000000-0005-0000-0000-0000311B0000}"/>
    <cellStyle name="Vírgula 3 3 2 5 3 2 2" xfId="3936" xr:uid="{00000000-0005-0000-0000-0000321B0000}"/>
    <cellStyle name="Vírgula 3 3 2 5 3 2 2 2" xfId="10452" xr:uid="{00000000-0005-0000-0000-0000331B0000}"/>
    <cellStyle name="Vírgula 3 3 2 5 3 2 3" xfId="6166" xr:uid="{00000000-0005-0000-0000-0000341B0000}"/>
    <cellStyle name="Vírgula 3 3 2 5 3 2 3 2" xfId="12680" xr:uid="{00000000-0005-0000-0000-0000351B0000}"/>
    <cellStyle name="Vírgula 3 3 2 5 3 2 4" xfId="8396" xr:uid="{00000000-0005-0000-0000-0000361B0000}"/>
    <cellStyle name="Vírgula 3 3 2 5 3 3" xfId="2908" xr:uid="{00000000-0005-0000-0000-0000371B0000}"/>
    <cellStyle name="Vírgula 3 3 2 5 3 3 2" xfId="9424" xr:uid="{00000000-0005-0000-0000-0000381B0000}"/>
    <cellStyle name="Vírgula 3 3 2 5 3 4" xfId="5138" xr:uid="{00000000-0005-0000-0000-0000391B0000}"/>
    <cellStyle name="Vírgula 3 3 2 5 3 4 2" xfId="11652" xr:uid="{00000000-0005-0000-0000-00003A1B0000}"/>
    <cellStyle name="Vírgula 3 3 2 5 3 5" xfId="7368" xr:uid="{00000000-0005-0000-0000-00003B1B0000}"/>
    <cellStyle name="Vírgula 3 3 2 5 4" xfId="1364" xr:uid="{00000000-0005-0000-0000-00003C1B0000}"/>
    <cellStyle name="Vírgula 3 3 2 5 4 2" xfId="3422" xr:uid="{00000000-0005-0000-0000-00003D1B0000}"/>
    <cellStyle name="Vírgula 3 3 2 5 4 2 2" xfId="9938" xr:uid="{00000000-0005-0000-0000-00003E1B0000}"/>
    <cellStyle name="Vírgula 3 3 2 5 4 3" xfId="5652" xr:uid="{00000000-0005-0000-0000-00003F1B0000}"/>
    <cellStyle name="Vírgula 3 3 2 5 4 3 2" xfId="12166" xr:uid="{00000000-0005-0000-0000-0000401B0000}"/>
    <cellStyle name="Vírgula 3 3 2 5 4 4" xfId="7882" xr:uid="{00000000-0005-0000-0000-0000411B0000}"/>
    <cellStyle name="Vírgula 3 3 2 5 5" xfId="2394" xr:uid="{00000000-0005-0000-0000-0000421B0000}"/>
    <cellStyle name="Vírgula 3 3 2 5 5 2" xfId="8910" xr:uid="{00000000-0005-0000-0000-0000431B0000}"/>
    <cellStyle name="Vírgula 3 3 2 5 6" xfId="4536" xr:uid="{00000000-0005-0000-0000-0000441B0000}"/>
    <cellStyle name="Vírgula 3 3 2 5 6 2" xfId="11050" xr:uid="{00000000-0005-0000-0000-0000451B0000}"/>
    <cellStyle name="Vírgula 3 3 2 5 7" xfId="6766" xr:uid="{00000000-0005-0000-0000-0000461B0000}"/>
    <cellStyle name="Vírgula 3 3 2 6" xfId="385" xr:uid="{00000000-0005-0000-0000-0000471B0000}"/>
    <cellStyle name="Vírgula 3 3 2 6 2" xfId="978" xr:uid="{00000000-0005-0000-0000-0000481B0000}"/>
    <cellStyle name="Vírgula 3 3 2 6 2 2" xfId="2006" xr:uid="{00000000-0005-0000-0000-0000491B0000}"/>
    <cellStyle name="Vírgula 3 3 2 6 2 2 2" xfId="4064" xr:uid="{00000000-0005-0000-0000-00004A1B0000}"/>
    <cellStyle name="Vírgula 3 3 2 6 2 2 2 2" xfId="10580" xr:uid="{00000000-0005-0000-0000-00004B1B0000}"/>
    <cellStyle name="Vírgula 3 3 2 6 2 2 3" xfId="6294" xr:uid="{00000000-0005-0000-0000-00004C1B0000}"/>
    <cellStyle name="Vírgula 3 3 2 6 2 2 3 2" xfId="12808" xr:uid="{00000000-0005-0000-0000-00004D1B0000}"/>
    <cellStyle name="Vírgula 3 3 2 6 2 2 4" xfId="8524" xr:uid="{00000000-0005-0000-0000-00004E1B0000}"/>
    <cellStyle name="Vírgula 3 3 2 6 2 3" xfId="3036" xr:uid="{00000000-0005-0000-0000-00004F1B0000}"/>
    <cellStyle name="Vírgula 3 3 2 6 2 3 2" xfId="9552" xr:uid="{00000000-0005-0000-0000-0000501B0000}"/>
    <cellStyle name="Vírgula 3 3 2 6 2 4" xfId="5266" xr:uid="{00000000-0005-0000-0000-0000511B0000}"/>
    <cellStyle name="Vírgula 3 3 2 6 2 4 2" xfId="11780" xr:uid="{00000000-0005-0000-0000-0000521B0000}"/>
    <cellStyle name="Vírgula 3 3 2 6 2 5" xfId="7496" xr:uid="{00000000-0005-0000-0000-0000531B0000}"/>
    <cellStyle name="Vírgula 3 3 2 6 3" xfId="1492" xr:uid="{00000000-0005-0000-0000-0000541B0000}"/>
    <cellStyle name="Vírgula 3 3 2 6 3 2" xfId="3550" xr:uid="{00000000-0005-0000-0000-0000551B0000}"/>
    <cellStyle name="Vírgula 3 3 2 6 3 2 2" xfId="10066" xr:uid="{00000000-0005-0000-0000-0000561B0000}"/>
    <cellStyle name="Vírgula 3 3 2 6 3 3" xfId="5780" xr:uid="{00000000-0005-0000-0000-0000571B0000}"/>
    <cellStyle name="Vírgula 3 3 2 6 3 3 2" xfId="12294" xr:uid="{00000000-0005-0000-0000-0000581B0000}"/>
    <cellStyle name="Vírgula 3 3 2 6 3 4" xfId="8010" xr:uid="{00000000-0005-0000-0000-0000591B0000}"/>
    <cellStyle name="Vírgula 3 3 2 6 4" xfId="2522" xr:uid="{00000000-0005-0000-0000-00005A1B0000}"/>
    <cellStyle name="Vírgula 3 3 2 6 4 2" xfId="9038" xr:uid="{00000000-0005-0000-0000-00005B1B0000}"/>
    <cellStyle name="Vírgula 3 3 2 6 5" xfId="4681" xr:uid="{00000000-0005-0000-0000-00005C1B0000}"/>
    <cellStyle name="Vírgula 3 3 2 6 5 2" xfId="11195" xr:uid="{00000000-0005-0000-0000-00005D1B0000}"/>
    <cellStyle name="Vírgula 3 3 2 6 6" xfId="6911" xr:uid="{00000000-0005-0000-0000-00005E1B0000}"/>
    <cellStyle name="Vírgula 3 3 2 7" xfId="722" xr:uid="{00000000-0005-0000-0000-00005F1B0000}"/>
    <cellStyle name="Vírgula 3 3 2 7 2" xfId="1750" xr:uid="{00000000-0005-0000-0000-0000601B0000}"/>
    <cellStyle name="Vírgula 3 3 2 7 2 2" xfId="3808" xr:uid="{00000000-0005-0000-0000-0000611B0000}"/>
    <cellStyle name="Vírgula 3 3 2 7 2 2 2" xfId="10324" xr:uid="{00000000-0005-0000-0000-0000621B0000}"/>
    <cellStyle name="Vírgula 3 3 2 7 2 3" xfId="6038" xr:uid="{00000000-0005-0000-0000-0000631B0000}"/>
    <cellStyle name="Vírgula 3 3 2 7 2 3 2" xfId="12552" xr:uid="{00000000-0005-0000-0000-0000641B0000}"/>
    <cellStyle name="Vírgula 3 3 2 7 2 4" xfId="8268" xr:uid="{00000000-0005-0000-0000-0000651B0000}"/>
    <cellStyle name="Vírgula 3 3 2 7 3" xfId="2780" xr:uid="{00000000-0005-0000-0000-0000661B0000}"/>
    <cellStyle name="Vírgula 3 3 2 7 3 2" xfId="9296" xr:uid="{00000000-0005-0000-0000-0000671B0000}"/>
    <cellStyle name="Vírgula 3 3 2 7 4" xfId="5010" xr:uid="{00000000-0005-0000-0000-0000681B0000}"/>
    <cellStyle name="Vírgula 3 3 2 7 4 2" xfId="11524" xr:uid="{00000000-0005-0000-0000-0000691B0000}"/>
    <cellStyle name="Vírgula 3 3 2 7 5" xfId="7240" xr:uid="{00000000-0005-0000-0000-00006A1B0000}"/>
    <cellStyle name="Vírgula 3 3 2 8" xfId="1236" xr:uid="{00000000-0005-0000-0000-00006B1B0000}"/>
    <cellStyle name="Vírgula 3 3 2 8 2" xfId="3294" xr:uid="{00000000-0005-0000-0000-00006C1B0000}"/>
    <cellStyle name="Vírgula 3 3 2 8 2 2" xfId="9810" xr:uid="{00000000-0005-0000-0000-00006D1B0000}"/>
    <cellStyle name="Vírgula 3 3 2 8 3" xfId="5524" xr:uid="{00000000-0005-0000-0000-00006E1B0000}"/>
    <cellStyle name="Vírgula 3 3 2 8 3 2" xfId="12038" xr:uid="{00000000-0005-0000-0000-00006F1B0000}"/>
    <cellStyle name="Vírgula 3 3 2 8 4" xfId="7754" xr:uid="{00000000-0005-0000-0000-0000701B0000}"/>
    <cellStyle name="Vírgula 3 3 2 9" xfId="2266" xr:uid="{00000000-0005-0000-0000-0000711B0000}"/>
    <cellStyle name="Vírgula 3 3 2 9 2" xfId="8782" xr:uid="{00000000-0005-0000-0000-0000721B0000}"/>
    <cellStyle name="Vírgula 3 3 3" xfId="58" xr:uid="{00000000-0005-0000-0000-0000731B0000}"/>
    <cellStyle name="Vírgula 3 3 3 10" xfId="4355" xr:uid="{00000000-0005-0000-0000-0000741B0000}"/>
    <cellStyle name="Vírgula 3 3 3 10 2" xfId="10869" xr:uid="{00000000-0005-0000-0000-0000751B0000}"/>
    <cellStyle name="Vírgula 3 3 3 11" xfId="6585" xr:uid="{00000000-0005-0000-0000-0000761B0000}"/>
    <cellStyle name="Vírgula 3 3 3 2" xfId="89" xr:uid="{00000000-0005-0000-0000-0000771B0000}"/>
    <cellStyle name="Vírgula 3 3 3 2 10" xfId="6616" xr:uid="{00000000-0005-0000-0000-0000781B0000}"/>
    <cellStyle name="Vírgula 3 3 3 2 2" xfId="163" xr:uid="{00000000-0005-0000-0000-0000791B0000}"/>
    <cellStyle name="Vírgula 3 3 3 2 2 2" xfId="227" xr:uid="{00000000-0005-0000-0000-00007A1B0000}"/>
    <cellStyle name="Vírgula 3 3 3 2 2 2 2" xfId="355" xr:uid="{00000000-0005-0000-0000-00007B1B0000}"/>
    <cellStyle name="Vírgula 3 3 3 2 2 2 2 2" xfId="698" xr:uid="{00000000-0005-0000-0000-00007C1B0000}"/>
    <cellStyle name="Vírgula 3 3 3 2 2 2 2 2 2" xfId="1222" xr:uid="{00000000-0005-0000-0000-00007D1B0000}"/>
    <cellStyle name="Vírgula 3 3 3 2 2 2 2 2 2 2" xfId="2250" xr:uid="{00000000-0005-0000-0000-00007E1B0000}"/>
    <cellStyle name="Vírgula 3 3 3 2 2 2 2 2 2 2 2" xfId="4308" xr:uid="{00000000-0005-0000-0000-00007F1B0000}"/>
    <cellStyle name="Vírgula 3 3 3 2 2 2 2 2 2 2 2 2" xfId="10824" xr:uid="{00000000-0005-0000-0000-0000801B0000}"/>
    <cellStyle name="Vírgula 3 3 3 2 2 2 2 2 2 2 3" xfId="6538" xr:uid="{00000000-0005-0000-0000-0000811B0000}"/>
    <cellStyle name="Vírgula 3 3 3 2 2 2 2 2 2 2 3 2" xfId="13052" xr:uid="{00000000-0005-0000-0000-0000821B0000}"/>
    <cellStyle name="Vírgula 3 3 3 2 2 2 2 2 2 2 4" xfId="8768" xr:uid="{00000000-0005-0000-0000-0000831B0000}"/>
    <cellStyle name="Vírgula 3 3 3 2 2 2 2 2 2 3" xfId="3280" xr:uid="{00000000-0005-0000-0000-0000841B0000}"/>
    <cellStyle name="Vírgula 3 3 3 2 2 2 2 2 2 3 2" xfId="9796" xr:uid="{00000000-0005-0000-0000-0000851B0000}"/>
    <cellStyle name="Vírgula 3 3 3 2 2 2 2 2 2 4" xfId="5510" xr:uid="{00000000-0005-0000-0000-0000861B0000}"/>
    <cellStyle name="Vírgula 3 3 3 2 2 2 2 2 2 4 2" xfId="12024" xr:uid="{00000000-0005-0000-0000-0000871B0000}"/>
    <cellStyle name="Vírgula 3 3 3 2 2 2 2 2 2 5" xfId="7740" xr:uid="{00000000-0005-0000-0000-0000881B0000}"/>
    <cellStyle name="Vírgula 3 3 3 2 2 2 2 2 3" xfId="1736" xr:uid="{00000000-0005-0000-0000-0000891B0000}"/>
    <cellStyle name="Vírgula 3 3 3 2 2 2 2 2 3 2" xfId="3794" xr:uid="{00000000-0005-0000-0000-00008A1B0000}"/>
    <cellStyle name="Vírgula 3 3 3 2 2 2 2 2 3 2 2" xfId="10310" xr:uid="{00000000-0005-0000-0000-00008B1B0000}"/>
    <cellStyle name="Vírgula 3 3 3 2 2 2 2 2 3 3" xfId="6024" xr:uid="{00000000-0005-0000-0000-00008C1B0000}"/>
    <cellStyle name="Vírgula 3 3 3 2 2 2 2 2 3 3 2" xfId="12538" xr:uid="{00000000-0005-0000-0000-00008D1B0000}"/>
    <cellStyle name="Vírgula 3 3 3 2 2 2 2 2 3 4" xfId="8254" xr:uid="{00000000-0005-0000-0000-00008E1B0000}"/>
    <cellStyle name="Vírgula 3 3 3 2 2 2 2 2 4" xfId="2766" xr:uid="{00000000-0005-0000-0000-00008F1B0000}"/>
    <cellStyle name="Vírgula 3 3 3 2 2 2 2 2 4 2" xfId="9282" xr:uid="{00000000-0005-0000-0000-0000901B0000}"/>
    <cellStyle name="Vírgula 3 3 3 2 2 2 2 2 5" xfId="4994" xr:uid="{00000000-0005-0000-0000-0000911B0000}"/>
    <cellStyle name="Vírgula 3 3 3 2 2 2 2 2 5 2" xfId="11508" xr:uid="{00000000-0005-0000-0000-0000921B0000}"/>
    <cellStyle name="Vírgula 3 3 3 2 2 2 2 2 6" xfId="7224" xr:uid="{00000000-0005-0000-0000-0000931B0000}"/>
    <cellStyle name="Vírgula 3 3 3 2 2 2 2 3" xfId="966" xr:uid="{00000000-0005-0000-0000-0000941B0000}"/>
    <cellStyle name="Vírgula 3 3 3 2 2 2 2 3 2" xfId="1994" xr:uid="{00000000-0005-0000-0000-0000951B0000}"/>
    <cellStyle name="Vírgula 3 3 3 2 2 2 2 3 2 2" xfId="4052" xr:uid="{00000000-0005-0000-0000-0000961B0000}"/>
    <cellStyle name="Vírgula 3 3 3 2 2 2 2 3 2 2 2" xfId="10568" xr:uid="{00000000-0005-0000-0000-0000971B0000}"/>
    <cellStyle name="Vírgula 3 3 3 2 2 2 2 3 2 3" xfId="6282" xr:uid="{00000000-0005-0000-0000-0000981B0000}"/>
    <cellStyle name="Vírgula 3 3 3 2 2 2 2 3 2 3 2" xfId="12796" xr:uid="{00000000-0005-0000-0000-0000991B0000}"/>
    <cellStyle name="Vírgula 3 3 3 2 2 2 2 3 2 4" xfId="8512" xr:uid="{00000000-0005-0000-0000-00009A1B0000}"/>
    <cellStyle name="Vírgula 3 3 3 2 2 2 2 3 3" xfId="3024" xr:uid="{00000000-0005-0000-0000-00009B1B0000}"/>
    <cellStyle name="Vírgula 3 3 3 2 2 2 2 3 3 2" xfId="9540" xr:uid="{00000000-0005-0000-0000-00009C1B0000}"/>
    <cellStyle name="Vírgula 3 3 3 2 2 2 2 3 4" xfId="5254" xr:uid="{00000000-0005-0000-0000-00009D1B0000}"/>
    <cellStyle name="Vírgula 3 3 3 2 2 2 2 3 4 2" xfId="11768" xr:uid="{00000000-0005-0000-0000-00009E1B0000}"/>
    <cellStyle name="Vírgula 3 3 3 2 2 2 2 3 5" xfId="7484" xr:uid="{00000000-0005-0000-0000-00009F1B0000}"/>
    <cellStyle name="Vírgula 3 3 3 2 2 2 2 4" xfId="1480" xr:uid="{00000000-0005-0000-0000-0000A01B0000}"/>
    <cellStyle name="Vírgula 3 3 3 2 2 2 2 4 2" xfId="3538" xr:uid="{00000000-0005-0000-0000-0000A11B0000}"/>
    <cellStyle name="Vírgula 3 3 3 2 2 2 2 4 2 2" xfId="10054" xr:uid="{00000000-0005-0000-0000-0000A21B0000}"/>
    <cellStyle name="Vírgula 3 3 3 2 2 2 2 4 3" xfId="5768" xr:uid="{00000000-0005-0000-0000-0000A31B0000}"/>
    <cellStyle name="Vírgula 3 3 3 2 2 2 2 4 3 2" xfId="12282" xr:uid="{00000000-0005-0000-0000-0000A41B0000}"/>
    <cellStyle name="Vírgula 3 3 3 2 2 2 2 4 4" xfId="7998" xr:uid="{00000000-0005-0000-0000-0000A51B0000}"/>
    <cellStyle name="Vírgula 3 3 3 2 2 2 2 5" xfId="2510" xr:uid="{00000000-0005-0000-0000-0000A61B0000}"/>
    <cellStyle name="Vírgula 3 3 3 2 2 2 2 5 2" xfId="9026" xr:uid="{00000000-0005-0000-0000-0000A71B0000}"/>
    <cellStyle name="Vírgula 3 3 3 2 2 2 2 6" xfId="4652" xr:uid="{00000000-0005-0000-0000-0000A81B0000}"/>
    <cellStyle name="Vírgula 3 3 3 2 2 2 2 6 2" xfId="11166" xr:uid="{00000000-0005-0000-0000-0000A91B0000}"/>
    <cellStyle name="Vírgula 3 3 3 2 2 2 2 7" xfId="6882" xr:uid="{00000000-0005-0000-0000-0000AA1B0000}"/>
    <cellStyle name="Vírgula 3 3 3 2 2 2 3" xfId="570" xr:uid="{00000000-0005-0000-0000-0000AB1B0000}"/>
    <cellStyle name="Vírgula 3 3 3 2 2 2 3 2" xfId="1094" xr:uid="{00000000-0005-0000-0000-0000AC1B0000}"/>
    <cellStyle name="Vírgula 3 3 3 2 2 2 3 2 2" xfId="2122" xr:uid="{00000000-0005-0000-0000-0000AD1B0000}"/>
    <cellStyle name="Vírgula 3 3 3 2 2 2 3 2 2 2" xfId="4180" xr:uid="{00000000-0005-0000-0000-0000AE1B0000}"/>
    <cellStyle name="Vírgula 3 3 3 2 2 2 3 2 2 2 2" xfId="10696" xr:uid="{00000000-0005-0000-0000-0000AF1B0000}"/>
    <cellStyle name="Vírgula 3 3 3 2 2 2 3 2 2 3" xfId="6410" xr:uid="{00000000-0005-0000-0000-0000B01B0000}"/>
    <cellStyle name="Vírgula 3 3 3 2 2 2 3 2 2 3 2" xfId="12924" xr:uid="{00000000-0005-0000-0000-0000B11B0000}"/>
    <cellStyle name="Vírgula 3 3 3 2 2 2 3 2 2 4" xfId="8640" xr:uid="{00000000-0005-0000-0000-0000B21B0000}"/>
    <cellStyle name="Vírgula 3 3 3 2 2 2 3 2 3" xfId="3152" xr:uid="{00000000-0005-0000-0000-0000B31B0000}"/>
    <cellStyle name="Vírgula 3 3 3 2 2 2 3 2 3 2" xfId="9668" xr:uid="{00000000-0005-0000-0000-0000B41B0000}"/>
    <cellStyle name="Vírgula 3 3 3 2 2 2 3 2 4" xfId="5382" xr:uid="{00000000-0005-0000-0000-0000B51B0000}"/>
    <cellStyle name="Vírgula 3 3 3 2 2 2 3 2 4 2" xfId="11896" xr:uid="{00000000-0005-0000-0000-0000B61B0000}"/>
    <cellStyle name="Vírgula 3 3 3 2 2 2 3 2 5" xfId="7612" xr:uid="{00000000-0005-0000-0000-0000B71B0000}"/>
    <cellStyle name="Vírgula 3 3 3 2 2 2 3 3" xfId="1608" xr:uid="{00000000-0005-0000-0000-0000B81B0000}"/>
    <cellStyle name="Vírgula 3 3 3 2 2 2 3 3 2" xfId="3666" xr:uid="{00000000-0005-0000-0000-0000B91B0000}"/>
    <cellStyle name="Vírgula 3 3 3 2 2 2 3 3 2 2" xfId="10182" xr:uid="{00000000-0005-0000-0000-0000BA1B0000}"/>
    <cellStyle name="Vírgula 3 3 3 2 2 2 3 3 3" xfId="5896" xr:uid="{00000000-0005-0000-0000-0000BB1B0000}"/>
    <cellStyle name="Vírgula 3 3 3 2 2 2 3 3 3 2" xfId="12410" xr:uid="{00000000-0005-0000-0000-0000BC1B0000}"/>
    <cellStyle name="Vírgula 3 3 3 2 2 2 3 3 4" xfId="8126" xr:uid="{00000000-0005-0000-0000-0000BD1B0000}"/>
    <cellStyle name="Vírgula 3 3 3 2 2 2 3 4" xfId="2638" xr:uid="{00000000-0005-0000-0000-0000BE1B0000}"/>
    <cellStyle name="Vírgula 3 3 3 2 2 2 3 4 2" xfId="9154" xr:uid="{00000000-0005-0000-0000-0000BF1B0000}"/>
    <cellStyle name="Vírgula 3 3 3 2 2 2 3 5" xfId="4866" xr:uid="{00000000-0005-0000-0000-0000C01B0000}"/>
    <cellStyle name="Vírgula 3 3 3 2 2 2 3 5 2" xfId="11380" xr:uid="{00000000-0005-0000-0000-0000C11B0000}"/>
    <cellStyle name="Vírgula 3 3 3 2 2 2 3 6" xfId="7096" xr:uid="{00000000-0005-0000-0000-0000C21B0000}"/>
    <cellStyle name="Vírgula 3 3 3 2 2 2 4" xfId="838" xr:uid="{00000000-0005-0000-0000-0000C31B0000}"/>
    <cellStyle name="Vírgula 3 3 3 2 2 2 4 2" xfId="1866" xr:uid="{00000000-0005-0000-0000-0000C41B0000}"/>
    <cellStyle name="Vírgula 3 3 3 2 2 2 4 2 2" xfId="3924" xr:uid="{00000000-0005-0000-0000-0000C51B0000}"/>
    <cellStyle name="Vírgula 3 3 3 2 2 2 4 2 2 2" xfId="10440" xr:uid="{00000000-0005-0000-0000-0000C61B0000}"/>
    <cellStyle name="Vírgula 3 3 3 2 2 2 4 2 3" xfId="6154" xr:uid="{00000000-0005-0000-0000-0000C71B0000}"/>
    <cellStyle name="Vírgula 3 3 3 2 2 2 4 2 3 2" xfId="12668" xr:uid="{00000000-0005-0000-0000-0000C81B0000}"/>
    <cellStyle name="Vírgula 3 3 3 2 2 2 4 2 4" xfId="8384" xr:uid="{00000000-0005-0000-0000-0000C91B0000}"/>
    <cellStyle name="Vírgula 3 3 3 2 2 2 4 3" xfId="2896" xr:uid="{00000000-0005-0000-0000-0000CA1B0000}"/>
    <cellStyle name="Vírgula 3 3 3 2 2 2 4 3 2" xfId="9412" xr:uid="{00000000-0005-0000-0000-0000CB1B0000}"/>
    <cellStyle name="Vírgula 3 3 3 2 2 2 4 4" xfId="5126" xr:uid="{00000000-0005-0000-0000-0000CC1B0000}"/>
    <cellStyle name="Vírgula 3 3 3 2 2 2 4 4 2" xfId="11640" xr:uid="{00000000-0005-0000-0000-0000CD1B0000}"/>
    <cellStyle name="Vírgula 3 3 3 2 2 2 4 5" xfId="7356" xr:uid="{00000000-0005-0000-0000-0000CE1B0000}"/>
    <cellStyle name="Vírgula 3 3 3 2 2 2 5" xfId="1352" xr:uid="{00000000-0005-0000-0000-0000CF1B0000}"/>
    <cellStyle name="Vírgula 3 3 3 2 2 2 5 2" xfId="3410" xr:uid="{00000000-0005-0000-0000-0000D01B0000}"/>
    <cellStyle name="Vírgula 3 3 3 2 2 2 5 2 2" xfId="9926" xr:uid="{00000000-0005-0000-0000-0000D11B0000}"/>
    <cellStyle name="Vírgula 3 3 3 2 2 2 5 3" xfId="5640" xr:uid="{00000000-0005-0000-0000-0000D21B0000}"/>
    <cellStyle name="Vírgula 3 3 3 2 2 2 5 3 2" xfId="12154" xr:uid="{00000000-0005-0000-0000-0000D31B0000}"/>
    <cellStyle name="Vírgula 3 3 3 2 2 2 5 4" xfId="7870" xr:uid="{00000000-0005-0000-0000-0000D41B0000}"/>
    <cellStyle name="Vírgula 3 3 3 2 2 2 6" xfId="2382" xr:uid="{00000000-0005-0000-0000-0000D51B0000}"/>
    <cellStyle name="Vírgula 3 3 3 2 2 2 6 2" xfId="8898" xr:uid="{00000000-0005-0000-0000-0000D61B0000}"/>
    <cellStyle name="Vírgula 3 3 3 2 2 2 7" xfId="4524" xr:uid="{00000000-0005-0000-0000-0000D71B0000}"/>
    <cellStyle name="Vírgula 3 3 3 2 2 2 7 2" xfId="11038" xr:uid="{00000000-0005-0000-0000-0000D81B0000}"/>
    <cellStyle name="Vírgula 3 3 3 2 2 2 8" xfId="6754" xr:uid="{00000000-0005-0000-0000-0000D91B0000}"/>
    <cellStyle name="Vírgula 3 3 3 2 2 3" xfId="291" xr:uid="{00000000-0005-0000-0000-0000DA1B0000}"/>
    <cellStyle name="Vírgula 3 3 3 2 2 3 2" xfId="634" xr:uid="{00000000-0005-0000-0000-0000DB1B0000}"/>
    <cellStyle name="Vírgula 3 3 3 2 2 3 2 2" xfId="1158" xr:uid="{00000000-0005-0000-0000-0000DC1B0000}"/>
    <cellStyle name="Vírgula 3 3 3 2 2 3 2 2 2" xfId="2186" xr:uid="{00000000-0005-0000-0000-0000DD1B0000}"/>
    <cellStyle name="Vírgula 3 3 3 2 2 3 2 2 2 2" xfId="4244" xr:uid="{00000000-0005-0000-0000-0000DE1B0000}"/>
    <cellStyle name="Vírgula 3 3 3 2 2 3 2 2 2 2 2" xfId="10760" xr:uid="{00000000-0005-0000-0000-0000DF1B0000}"/>
    <cellStyle name="Vírgula 3 3 3 2 2 3 2 2 2 3" xfId="6474" xr:uid="{00000000-0005-0000-0000-0000E01B0000}"/>
    <cellStyle name="Vírgula 3 3 3 2 2 3 2 2 2 3 2" xfId="12988" xr:uid="{00000000-0005-0000-0000-0000E11B0000}"/>
    <cellStyle name="Vírgula 3 3 3 2 2 3 2 2 2 4" xfId="8704" xr:uid="{00000000-0005-0000-0000-0000E21B0000}"/>
    <cellStyle name="Vírgula 3 3 3 2 2 3 2 2 3" xfId="3216" xr:uid="{00000000-0005-0000-0000-0000E31B0000}"/>
    <cellStyle name="Vírgula 3 3 3 2 2 3 2 2 3 2" xfId="9732" xr:uid="{00000000-0005-0000-0000-0000E41B0000}"/>
    <cellStyle name="Vírgula 3 3 3 2 2 3 2 2 4" xfId="5446" xr:uid="{00000000-0005-0000-0000-0000E51B0000}"/>
    <cellStyle name="Vírgula 3 3 3 2 2 3 2 2 4 2" xfId="11960" xr:uid="{00000000-0005-0000-0000-0000E61B0000}"/>
    <cellStyle name="Vírgula 3 3 3 2 2 3 2 2 5" xfId="7676" xr:uid="{00000000-0005-0000-0000-0000E71B0000}"/>
    <cellStyle name="Vírgula 3 3 3 2 2 3 2 3" xfId="1672" xr:uid="{00000000-0005-0000-0000-0000E81B0000}"/>
    <cellStyle name="Vírgula 3 3 3 2 2 3 2 3 2" xfId="3730" xr:uid="{00000000-0005-0000-0000-0000E91B0000}"/>
    <cellStyle name="Vírgula 3 3 3 2 2 3 2 3 2 2" xfId="10246" xr:uid="{00000000-0005-0000-0000-0000EA1B0000}"/>
    <cellStyle name="Vírgula 3 3 3 2 2 3 2 3 3" xfId="5960" xr:uid="{00000000-0005-0000-0000-0000EB1B0000}"/>
    <cellStyle name="Vírgula 3 3 3 2 2 3 2 3 3 2" xfId="12474" xr:uid="{00000000-0005-0000-0000-0000EC1B0000}"/>
    <cellStyle name="Vírgula 3 3 3 2 2 3 2 3 4" xfId="8190" xr:uid="{00000000-0005-0000-0000-0000ED1B0000}"/>
    <cellStyle name="Vírgula 3 3 3 2 2 3 2 4" xfId="2702" xr:uid="{00000000-0005-0000-0000-0000EE1B0000}"/>
    <cellStyle name="Vírgula 3 3 3 2 2 3 2 4 2" xfId="9218" xr:uid="{00000000-0005-0000-0000-0000EF1B0000}"/>
    <cellStyle name="Vírgula 3 3 3 2 2 3 2 5" xfId="4930" xr:uid="{00000000-0005-0000-0000-0000F01B0000}"/>
    <cellStyle name="Vírgula 3 3 3 2 2 3 2 5 2" xfId="11444" xr:uid="{00000000-0005-0000-0000-0000F11B0000}"/>
    <cellStyle name="Vírgula 3 3 3 2 2 3 2 6" xfId="7160" xr:uid="{00000000-0005-0000-0000-0000F21B0000}"/>
    <cellStyle name="Vírgula 3 3 3 2 2 3 3" xfId="902" xr:uid="{00000000-0005-0000-0000-0000F31B0000}"/>
    <cellStyle name="Vírgula 3 3 3 2 2 3 3 2" xfId="1930" xr:uid="{00000000-0005-0000-0000-0000F41B0000}"/>
    <cellStyle name="Vírgula 3 3 3 2 2 3 3 2 2" xfId="3988" xr:uid="{00000000-0005-0000-0000-0000F51B0000}"/>
    <cellStyle name="Vírgula 3 3 3 2 2 3 3 2 2 2" xfId="10504" xr:uid="{00000000-0005-0000-0000-0000F61B0000}"/>
    <cellStyle name="Vírgula 3 3 3 2 2 3 3 2 3" xfId="6218" xr:uid="{00000000-0005-0000-0000-0000F71B0000}"/>
    <cellStyle name="Vírgula 3 3 3 2 2 3 3 2 3 2" xfId="12732" xr:uid="{00000000-0005-0000-0000-0000F81B0000}"/>
    <cellStyle name="Vírgula 3 3 3 2 2 3 3 2 4" xfId="8448" xr:uid="{00000000-0005-0000-0000-0000F91B0000}"/>
    <cellStyle name="Vírgula 3 3 3 2 2 3 3 3" xfId="2960" xr:uid="{00000000-0005-0000-0000-0000FA1B0000}"/>
    <cellStyle name="Vírgula 3 3 3 2 2 3 3 3 2" xfId="9476" xr:uid="{00000000-0005-0000-0000-0000FB1B0000}"/>
    <cellStyle name="Vírgula 3 3 3 2 2 3 3 4" xfId="5190" xr:uid="{00000000-0005-0000-0000-0000FC1B0000}"/>
    <cellStyle name="Vírgula 3 3 3 2 2 3 3 4 2" xfId="11704" xr:uid="{00000000-0005-0000-0000-0000FD1B0000}"/>
    <cellStyle name="Vírgula 3 3 3 2 2 3 3 5" xfId="7420" xr:uid="{00000000-0005-0000-0000-0000FE1B0000}"/>
    <cellStyle name="Vírgula 3 3 3 2 2 3 4" xfId="1416" xr:uid="{00000000-0005-0000-0000-0000FF1B0000}"/>
    <cellStyle name="Vírgula 3 3 3 2 2 3 4 2" xfId="3474" xr:uid="{00000000-0005-0000-0000-0000001C0000}"/>
    <cellStyle name="Vírgula 3 3 3 2 2 3 4 2 2" xfId="9990" xr:uid="{00000000-0005-0000-0000-0000011C0000}"/>
    <cellStyle name="Vírgula 3 3 3 2 2 3 4 3" xfId="5704" xr:uid="{00000000-0005-0000-0000-0000021C0000}"/>
    <cellStyle name="Vírgula 3 3 3 2 2 3 4 3 2" xfId="12218" xr:uid="{00000000-0005-0000-0000-0000031C0000}"/>
    <cellStyle name="Vírgula 3 3 3 2 2 3 4 4" xfId="7934" xr:uid="{00000000-0005-0000-0000-0000041C0000}"/>
    <cellStyle name="Vírgula 3 3 3 2 2 3 5" xfId="2446" xr:uid="{00000000-0005-0000-0000-0000051C0000}"/>
    <cellStyle name="Vírgula 3 3 3 2 2 3 5 2" xfId="8962" xr:uid="{00000000-0005-0000-0000-0000061C0000}"/>
    <cellStyle name="Vírgula 3 3 3 2 2 3 6" xfId="4588" xr:uid="{00000000-0005-0000-0000-0000071C0000}"/>
    <cellStyle name="Vírgula 3 3 3 2 2 3 6 2" xfId="11102" xr:uid="{00000000-0005-0000-0000-0000081C0000}"/>
    <cellStyle name="Vírgula 3 3 3 2 2 3 7" xfId="6818" xr:uid="{00000000-0005-0000-0000-0000091C0000}"/>
    <cellStyle name="Vírgula 3 3 3 2 2 4" xfId="506" xr:uid="{00000000-0005-0000-0000-00000A1C0000}"/>
    <cellStyle name="Vírgula 3 3 3 2 2 4 2" xfId="1030" xr:uid="{00000000-0005-0000-0000-00000B1C0000}"/>
    <cellStyle name="Vírgula 3 3 3 2 2 4 2 2" xfId="2058" xr:uid="{00000000-0005-0000-0000-00000C1C0000}"/>
    <cellStyle name="Vírgula 3 3 3 2 2 4 2 2 2" xfId="4116" xr:uid="{00000000-0005-0000-0000-00000D1C0000}"/>
    <cellStyle name="Vírgula 3 3 3 2 2 4 2 2 2 2" xfId="10632" xr:uid="{00000000-0005-0000-0000-00000E1C0000}"/>
    <cellStyle name="Vírgula 3 3 3 2 2 4 2 2 3" xfId="6346" xr:uid="{00000000-0005-0000-0000-00000F1C0000}"/>
    <cellStyle name="Vírgula 3 3 3 2 2 4 2 2 3 2" xfId="12860" xr:uid="{00000000-0005-0000-0000-0000101C0000}"/>
    <cellStyle name="Vírgula 3 3 3 2 2 4 2 2 4" xfId="8576" xr:uid="{00000000-0005-0000-0000-0000111C0000}"/>
    <cellStyle name="Vírgula 3 3 3 2 2 4 2 3" xfId="3088" xr:uid="{00000000-0005-0000-0000-0000121C0000}"/>
    <cellStyle name="Vírgula 3 3 3 2 2 4 2 3 2" xfId="9604" xr:uid="{00000000-0005-0000-0000-0000131C0000}"/>
    <cellStyle name="Vírgula 3 3 3 2 2 4 2 4" xfId="5318" xr:uid="{00000000-0005-0000-0000-0000141C0000}"/>
    <cellStyle name="Vírgula 3 3 3 2 2 4 2 4 2" xfId="11832" xr:uid="{00000000-0005-0000-0000-0000151C0000}"/>
    <cellStyle name="Vírgula 3 3 3 2 2 4 2 5" xfId="7548" xr:uid="{00000000-0005-0000-0000-0000161C0000}"/>
    <cellStyle name="Vírgula 3 3 3 2 2 4 3" xfId="1544" xr:uid="{00000000-0005-0000-0000-0000171C0000}"/>
    <cellStyle name="Vírgula 3 3 3 2 2 4 3 2" xfId="3602" xr:uid="{00000000-0005-0000-0000-0000181C0000}"/>
    <cellStyle name="Vírgula 3 3 3 2 2 4 3 2 2" xfId="10118" xr:uid="{00000000-0005-0000-0000-0000191C0000}"/>
    <cellStyle name="Vírgula 3 3 3 2 2 4 3 3" xfId="5832" xr:uid="{00000000-0005-0000-0000-00001A1C0000}"/>
    <cellStyle name="Vírgula 3 3 3 2 2 4 3 3 2" xfId="12346" xr:uid="{00000000-0005-0000-0000-00001B1C0000}"/>
    <cellStyle name="Vírgula 3 3 3 2 2 4 3 4" xfId="8062" xr:uid="{00000000-0005-0000-0000-00001C1C0000}"/>
    <cellStyle name="Vírgula 3 3 3 2 2 4 4" xfId="2574" xr:uid="{00000000-0005-0000-0000-00001D1C0000}"/>
    <cellStyle name="Vírgula 3 3 3 2 2 4 4 2" xfId="9090" xr:uid="{00000000-0005-0000-0000-00001E1C0000}"/>
    <cellStyle name="Vírgula 3 3 3 2 2 4 5" xfId="4802" xr:uid="{00000000-0005-0000-0000-00001F1C0000}"/>
    <cellStyle name="Vírgula 3 3 3 2 2 4 5 2" xfId="11316" xr:uid="{00000000-0005-0000-0000-0000201C0000}"/>
    <cellStyle name="Vírgula 3 3 3 2 2 4 6" xfId="7032" xr:uid="{00000000-0005-0000-0000-0000211C0000}"/>
    <cellStyle name="Vírgula 3 3 3 2 2 5" xfId="774" xr:uid="{00000000-0005-0000-0000-0000221C0000}"/>
    <cellStyle name="Vírgula 3 3 3 2 2 5 2" xfId="1802" xr:uid="{00000000-0005-0000-0000-0000231C0000}"/>
    <cellStyle name="Vírgula 3 3 3 2 2 5 2 2" xfId="3860" xr:uid="{00000000-0005-0000-0000-0000241C0000}"/>
    <cellStyle name="Vírgula 3 3 3 2 2 5 2 2 2" xfId="10376" xr:uid="{00000000-0005-0000-0000-0000251C0000}"/>
    <cellStyle name="Vírgula 3 3 3 2 2 5 2 3" xfId="6090" xr:uid="{00000000-0005-0000-0000-0000261C0000}"/>
    <cellStyle name="Vírgula 3 3 3 2 2 5 2 3 2" xfId="12604" xr:uid="{00000000-0005-0000-0000-0000271C0000}"/>
    <cellStyle name="Vírgula 3 3 3 2 2 5 2 4" xfId="8320" xr:uid="{00000000-0005-0000-0000-0000281C0000}"/>
    <cellStyle name="Vírgula 3 3 3 2 2 5 3" xfId="2832" xr:uid="{00000000-0005-0000-0000-0000291C0000}"/>
    <cellStyle name="Vírgula 3 3 3 2 2 5 3 2" xfId="9348" xr:uid="{00000000-0005-0000-0000-00002A1C0000}"/>
    <cellStyle name="Vírgula 3 3 3 2 2 5 4" xfId="5062" xr:uid="{00000000-0005-0000-0000-00002B1C0000}"/>
    <cellStyle name="Vírgula 3 3 3 2 2 5 4 2" xfId="11576" xr:uid="{00000000-0005-0000-0000-00002C1C0000}"/>
    <cellStyle name="Vírgula 3 3 3 2 2 5 5" xfId="7292" xr:uid="{00000000-0005-0000-0000-00002D1C0000}"/>
    <cellStyle name="Vírgula 3 3 3 2 2 6" xfId="1288" xr:uid="{00000000-0005-0000-0000-00002E1C0000}"/>
    <cellStyle name="Vírgula 3 3 3 2 2 6 2" xfId="3346" xr:uid="{00000000-0005-0000-0000-00002F1C0000}"/>
    <cellStyle name="Vírgula 3 3 3 2 2 6 2 2" xfId="9862" xr:uid="{00000000-0005-0000-0000-0000301C0000}"/>
    <cellStyle name="Vírgula 3 3 3 2 2 6 3" xfId="5576" xr:uid="{00000000-0005-0000-0000-0000311C0000}"/>
    <cellStyle name="Vírgula 3 3 3 2 2 6 3 2" xfId="12090" xr:uid="{00000000-0005-0000-0000-0000321C0000}"/>
    <cellStyle name="Vírgula 3 3 3 2 2 6 4" xfId="7806" xr:uid="{00000000-0005-0000-0000-0000331C0000}"/>
    <cellStyle name="Vírgula 3 3 3 2 2 7" xfId="2318" xr:uid="{00000000-0005-0000-0000-0000341C0000}"/>
    <cellStyle name="Vírgula 3 3 3 2 2 7 2" xfId="8834" xr:uid="{00000000-0005-0000-0000-0000351C0000}"/>
    <cellStyle name="Vírgula 3 3 3 2 2 8" xfId="4460" xr:uid="{00000000-0005-0000-0000-0000361C0000}"/>
    <cellStyle name="Vírgula 3 3 3 2 2 8 2" xfId="10974" xr:uid="{00000000-0005-0000-0000-0000371C0000}"/>
    <cellStyle name="Vírgula 3 3 3 2 2 9" xfId="6690" xr:uid="{00000000-0005-0000-0000-0000381C0000}"/>
    <cellStyle name="Vírgula 3 3 3 2 3" xfId="195" xr:uid="{00000000-0005-0000-0000-0000391C0000}"/>
    <cellStyle name="Vírgula 3 3 3 2 3 2" xfId="323" xr:uid="{00000000-0005-0000-0000-00003A1C0000}"/>
    <cellStyle name="Vírgula 3 3 3 2 3 2 2" xfId="666" xr:uid="{00000000-0005-0000-0000-00003B1C0000}"/>
    <cellStyle name="Vírgula 3 3 3 2 3 2 2 2" xfId="1190" xr:uid="{00000000-0005-0000-0000-00003C1C0000}"/>
    <cellStyle name="Vírgula 3 3 3 2 3 2 2 2 2" xfId="2218" xr:uid="{00000000-0005-0000-0000-00003D1C0000}"/>
    <cellStyle name="Vírgula 3 3 3 2 3 2 2 2 2 2" xfId="4276" xr:uid="{00000000-0005-0000-0000-00003E1C0000}"/>
    <cellStyle name="Vírgula 3 3 3 2 3 2 2 2 2 2 2" xfId="10792" xr:uid="{00000000-0005-0000-0000-00003F1C0000}"/>
    <cellStyle name="Vírgula 3 3 3 2 3 2 2 2 2 3" xfId="6506" xr:uid="{00000000-0005-0000-0000-0000401C0000}"/>
    <cellStyle name="Vírgula 3 3 3 2 3 2 2 2 2 3 2" xfId="13020" xr:uid="{00000000-0005-0000-0000-0000411C0000}"/>
    <cellStyle name="Vírgula 3 3 3 2 3 2 2 2 2 4" xfId="8736" xr:uid="{00000000-0005-0000-0000-0000421C0000}"/>
    <cellStyle name="Vírgula 3 3 3 2 3 2 2 2 3" xfId="3248" xr:uid="{00000000-0005-0000-0000-0000431C0000}"/>
    <cellStyle name="Vírgula 3 3 3 2 3 2 2 2 3 2" xfId="9764" xr:uid="{00000000-0005-0000-0000-0000441C0000}"/>
    <cellStyle name="Vírgula 3 3 3 2 3 2 2 2 4" xfId="5478" xr:uid="{00000000-0005-0000-0000-0000451C0000}"/>
    <cellStyle name="Vírgula 3 3 3 2 3 2 2 2 4 2" xfId="11992" xr:uid="{00000000-0005-0000-0000-0000461C0000}"/>
    <cellStyle name="Vírgula 3 3 3 2 3 2 2 2 5" xfId="7708" xr:uid="{00000000-0005-0000-0000-0000471C0000}"/>
    <cellStyle name="Vírgula 3 3 3 2 3 2 2 3" xfId="1704" xr:uid="{00000000-0005-0000-0000-0000481C0000}"/>
    <cellStyle name="Vírgula 3 3 3 2 3 2 2 3 2" xfId="3762" xr:uid="{00000000-0005-0000-0000-0000491C0000}"/>
    <cellStyle name="Vírgula 3 3 3 2 3 2 2 3 2 2" xfId="10278" xr:uid="{00000000-0005-0000-0000-00004A1C0000}"/>
    <cellStyle name="Vírgula 3 3 3 2 3 2 2 3 3" xfId="5992" xr:uid="{00000000-0005-0000-0000-00004B1C0000}"/>
    <cellStyle name="Vírgula 3 3 3 2 3 2 2 3 3 2" xfId="12506" xr:uid="{00000000-0005-0000-0000-00004C1C0000}"/>
    <cellStyle name="Vírgula 3 3 3 2 3 2 2 3 4" xfId="8222" xr:uid="{00000000-0005-0000-0000-00004D1C0000}"/>
    <cellStyle name="Vírgula 3 3 3 2 3 2 2 4" xfId="2734" xr:uid="{00000000-0005-0000-0000-00004E1C0000}"/>
    <cellStyle name="Vírgula 3 3 3 2 3 2 2 4 2" xfId="9250" xr:uid="{00000000-0005-0000-0000-00004F1C0000}"/>
    <cellStyle name="Vírgula 3 3 3 2 3 2 2 5" xfId="4962" xr:uid="{00000000-0005-0000-0000-0000501C0000}"/>
    <cellStyle name="Vírgula 3 3 3 2 3 2 2 5 2" xfId="11476" xr:uid="{00000000-0005-0000-0000-0000511C0000}"/>
    <cellStyle name="Vírgula 3 3 3 2 3 2 2 6" xfId="7192" xr:uid="{00000000-0005-0000-0000-0000521C0000}"/>
    <cellStyle name="Vírgula 3 3 3 2 3 2 3" xfId="934" xr:uid="{00000000-0005-0000-0000-0000531C0000}"/>
    <cellStyle name="Vírgula 3 3 3 2 3 2 3 2" xfId="1962" xr:uid="{00000000-0005-0000-0000-0000541C0000}"/>
    <cellStyle name="Vírgula 3 3 3 2 3 2 3 2 2" xfId="4020" xr:uid="{00000000-0005-0000-0000-0000551C0000}"/>
    <cellStyle name="Vírgula 3 3 3 2 3 2 3 2 2 2" xfId="10536" xr:uid="{00000000-0005-0000-0000-0000561C0000}"/>
    <cellStyle name="Vírgula 3 3 3 2 3 2 3 2 3" xfId="6250" xr:uid="{00000000-0005-0000-0000-0000571C0000}"/>
    <cellStyle name="Vírgula 3 3 3 2 3 2 3 2 3 2" xfId="12764" xr:uid="{00000000-0005-0000-0000-0000581C0000}"/>
    <cellStyle name="Vírgula 3 3 3 2 3 2 3 2 4" xfId="8480" xr:uid="{00000000-0005-0000-0000-0000591C0000}"/>
    <cellStyle name="Vírgula 3 3 3 2 3 2 3 3" xfId="2992" xr:uid="{00000000-0005-0000-0000-00005A1C0000}"/>
    <cellStyle name="Vírgula 3 3 3 2 3 2 3 3 2" xfId="9508" xr:uid="{00000000-0005-0000-0000-00005B1C0000}"/>
    <cellStyle name="Vírgula 3 3 3 2 3 2 3 4" xfId="5222" xr:uid="{00000000-0005-0000-0000-00005C1C0000}"/>
    <cellStyle name="Vírgula 3 3 3 2 3 2 3 4 2" xfId="11736" xr:uid="{00000000-0005-0000-0000-00005D1C0000}"/>
    <cellStyle name="Vírgula 3 3 3 2 3 2 3 5" xfId="7452" xr:uid="{00000000-0005-0000-0000-00005E1C0000}"/>
    <cellStyle name="Vírgula 3 3 3 2 3 2 4" xfId="1448" xr:uid="{00000000-0005-0000-0000-00005F1C0000}"/>
    <cellStyle name="Vírgula 3 3 3 2 3 2 4 2" xfId="3506" xr:uid="{00000000-0005-0000-0000-0000601C0000}"/>
    <cellStyle name="Vírgula 3 3 3 2 3 2 4 2 2" xfId="10022" xr:uid="{00000000-0005-0000-0000-0000611C0000}"/>
    <cellStyle name="Vírgula 3 3 3 2 3 2 4 3" xfId="5736" xr:uid="{00000000-0005-0000-0000-0000621C0000}"/>
    <cellStyle name="Vírgula 3 3 3 2 3 2 4 3 2" xfId="12250" xr:uid="{00000000-0005-0000-0000-0000631C0000}"/>
    <cellStyle name="Vírgula 3 3 3 2 3 2 4 4" xfId="7966" xr:uid="{00000000-0005-0000-0000-0000641C0000}"/>
    <cellStyle name="Vírgula 3 3 3 2 3 2 5" xfId="2478" xr:uid="{00000000-0005-0000-0000-0000651C0000}"/>
    <cellStyle name="Vírgula 3 3 3 2 3 2 5 2" xfId="8994" xr:uid="{00000000-0005-0000-0000-0000661C0000}"/>
    <cellStyle name="Vírgula 3 3 3 2 3 2 6" xfId="4620" xr:uid="{00000000-0005-0000-0000-0000671C0000}"/>
    <cellStyle name="Vírgula 3 3 3 2 3 2 6 2" xfId="11134" xr:uid="{00000000-0005-0000-0000-0000681C0000}"/>
    <cellStyle name="Vírgula 3 3 3 2 3 2 7" xfId="6850" xr:uid="{00000000-0005-0000-0000-0000691C0000}"/>
    <cellStyle name="Vírgula 3 3 3 2 3 3" xfId="538" xr:uid="{00000000-0005-0000-0000-00006A1C0000}"/>
    <cellStyle name="Vírgula 3 3 3 2 3 3 2" xfId="1062" xr:uid="{00000000-0005-0000-0000-00006B1C0000}"/>
    <cellStyle name="Vírgula 3 3 3 2 3 3 2 2" xfId="2090" xr:uid="{00000000-0005-0000-0000-00006C1C0000}"/>
    <cellStyle name="Vírgula 3 3 3 2 3 3 2 2 2" xfId="4148" xr:uid="{00000000-0005-0000-0000-00006D1C0000}"/>
    <cellStyle name="Vírgula 3 3 3 2 3 3 2 2 2 2" xfId="10664" xr:uid="{00000000-0005-0000-0000-00006E1C0000}"/>
    <cellStyle name="Vírgula 3 3 3 2 3 3 2 2 3" xfId="6378" xr:uid="{00000000-0005-0000-0000-00006F1C0000}"/>
    <cellStyle name="Vírgula 3 3 3 2 3 3 2 2 3 2" xfId="12892" xr:uid="{00000000-0005-0000-0000-0000701C0000}"/>
    <cellStyle name="Vírgula 3 3 3 2 3 3 2 2 4" xfId="8608" xr:uid="{00000000-0005-0000-0000-0000711C0000}"/>
    <cellStyle name="Vírgula 3 3 3 2 3 3 2 3" xfId="3120" xr:uid="{00000000-0005-0000-0000-0000721C0000}"/>
    <cellStyle name="Vírgula 3 3 3 2 3 3 2 3 2" xfId="9636" xr:uid="{00000000-0005-0000-0000-0000731C0000}"/>
    <cellStyle name="Vírgula 3 3 3 2 3 3 2 4" xfId="5350" xr:uid="{00000000-0005-0000-0000-0000741C0000}"/>
    <cellStyle name="Vírgula 3 3 3 2 3 3 2 4 2" xfId="11864" xr:uid="{00000000-0005-0000-0000-0000751C0000}"/>
    <cellStyle name="Vírgula 3 3 3 2 3 3 2 5" xfId="7580" xr:uid="{00000000-0005-0000-0000-0000761C0000}"/>
    <cellStyle name="Vírgula 3 3 3 2 3 3 3" xfId="1576" xr:uid="{00000000-0005-0000-0000-0000771C0000}"/>
    <cellStyle name="Vírgula 3 3 3 2 3 3 3 2" xfId="3634" xr:uid="{00000000-0005-0000-0000-0000781C0000}"/>
    <cellStyle name="Vírgula 3 3 3 2 3 3 3 2 2" xfId="10150" xr:uid="{00000000-0005-0000-0000-0000791C0000}"/>
    <cellStyle name="Vírgula 3 3 3 2 3 3 3 3" xfId="5864" xr:uid="{00000000-0005-0000-0000-00007A1C0000}"/>
    <cellStyle name="Vírgula 3 3 3 2 3 3 3 3 2" xfId="12378" xr:uid="{00000000-0005-0000-0000-00007B1C0000}"/>
    <cellStyle name="Vírgula 3 3 3 2 3 3 3 4" xfId="8094" xr:uid="{00000000-0005-0000-0000-00007C1C0000}"/>
    <cellStyle name="Vírgula 3 3 3 2 3 3 4" xfId="2606" xr:uid="{00000000-0005-0000-0000-00007D1C0000}"/>
    <cellStyle name="Vírgula 3 3 3 2 3 3 4 2" xfId="9122" xr:uid="{00000000-0005-0000-0000-00007E1C0000}"/>
    <cellStyle name="Vírgula 3 3 3 2 3 3 5" xfId="4834" xr:uid="{00000000-0005-0000-0000-00007F1C0000}"/>
    <cellStyle name="Vírgula 3 3 3 2 3 3 5 2" xfId="11348" xr:uid="{00000000-0005-0000-0000-0000801C0000}"/>
    <cellStyle name="Vírgula 3 3 3 2 3 3 6" xfId="7064" xr:uid="{00000000-0005-0000-0000-0000811C0000}"/>
    <cellStyle name="Vírgula 3 3 3 2 3 4" xfId="806" xr:uid="{00000000-0005-0000-0000-0000821C0000}"/>
    <cellStyle name="Vírgula 3 3 3 2 3 4 2" xfId="1834" xr:uid="{00000000-0005-0000-0000-0000831C0000}"/>
    <cellStyle name="Vírgula 3 3 3 2 3 4 2 2" xfId="3892" xr:uid="{00000000-0005-0000-0000-0000841C0000}"/>
    <cellStyle name="Vírgula 3 3 3 2 3 4 2 2 2" xfId="10408" xr:uid="{00000000-0005-0000-0000-0000851C0000}"/>
    <cellStyle name="Vírgula 3 3 3 2 3 4 2 3" xfId="6122" xr:uid="{00000000-0005-0000-0000-0000861C0000}"/>
    <cellStyle name="Vírgula 3 3 3 2 3 4 2 3 2" xfId="12636" xr:uid="{00000000-0005-0000-0000-0000871C0000}"/>
    <cellStyle name="Vírgula 3 3 3 2 3 4 2 4" xfId="8352" xr:uid="{00000000-0005-0000-0000-0000881C0000}"/>
    <cellStyle name="Vírgula 3 3 3 2 3 4 3" xfId="2864" xr:uid="{00000000-0005-0000-0000-0000891C0000}"/>
    <cellStyle name="Vírgula 3 3 3 2 3 4 3 2" xfId="9380" xr:uid="{00000000-0005-0000-0000-00008A1C0000}"/>
    <cellStyle name="Vírgula 3 3 3 2 3 4 4" xfId="5094" xr:uid="{00000000-0005-0000-0000-00008B1C0000}"/>
    <cellStyle name="Vírgula 3 3 3 2 3 4 4 2" xfId="11608" xr:uid="{00000000-0005-0000-0000-00008C1C0000}"/>
    <cellStyle name="Vírgula 3 3 3 2 3 4 5" xfId="7324" xr:uid="{00000000-0005-0000-0000-00008D1C0000}"/>
    <cellStyle name="Vírgula 3 3 3 2 3 5" xfId="1320" xr:uid="{00000000-0005-0000-0000-00008E1C0000}"/>
    <cellStyle name="Vírgula 3 3 3 2 3 5 2" xfId="3378" xr:uid="{00000000-0005-0000-0000-00008F1C0000}"/>
    <cellStyle name="Vírgula 3 3 3 2 3 5 2 2" xfId="9894" xr:uid="{00000000-0005-0000-0000-0000901C0000}"/>
    <cellStyle name="Vírgula 3 3 3 2 3 5 3" xfId="5608" xr:uid="{00000000-0005-0000-0000-0000911C0000}"/>
    <cellStyle name="Vírgula 3 3 3 2 3 5 3 2" xfId="12122" xr:uid="{00000000-0005-0000-0000-0000921C0000}"/>
    <cellStyle name="Vírgula 3 3 3 2 3 5 4" xfId="7838" xr:uid="{00000000-0005-0000-0000-0000931C0000}"/>
    <cellStyle name="Vírgula 3 3 3 2 3 6" xfId="2350" xr:uid="{00000000-0005-0000-0000-0000941C0000}"/>
    <cellStyle name="Vírgula 3 3 3 2 3 6 2" xfId="8866" xr:uid="{00000000-0005-0000-0000-0000951C0000}"/>
    <cellStyle name="Vírgula 3 3 3 2 3 7" xfId="4492" xr:uid="{00000000-0005-0000-0000-0000961C0000}"/>
    <cellStyle name="Vírgula 3 3 3 2 3 7 2" xfId="11006" xr:uid="{00000000-0005-0000-0000-0000971C0000}"/>
    <cellStyle name="Vírgula 3 3 3 2 3 8" xfId="6722" xr:uid="{00000000-0005-0000-0000-0000981C0000}"/>
    <cellStyle name="Vírgula 3 3 3 2 4" xfId="259" xr:uid="{00000000-0005-0000-0000-0000991C0000}"/>
    <cellStyle name="Vírgula 3 3 3 2 4 2" xfId="602" xr:uid="{00000000-0005-0000-0000-00009A1C0000}"/>
    <cellStyle name="Vírgula 3 3 3 2 4 2 2" xfId="1126" xr:uid="{00000000-0005-0000-0000-00009B1C0000}"/>
    <cellStyle name="Vírgula 3 3 3 2 4 2 2 2" xfId="2154" xr:uid="{00000000-0005-0000-0000-00009C1C0000}"/>
    <cellStyle name="Vírgula 3 3 3 2 4 2 2 2 2" xfId="4212" xr:uid="{00000000-0005-0000-0000-00009D1C0000}"/>
    <cellStyle name="Vírgula 3 3 3 2 4 2 2 2 2 2" xfId="10728" xr:uid="{00000000-0005-0000-0000-00009E1C0000}"/>
    <cellStyle name="Vírgula 3 3 3 2 4 2 2 2 3" xfId="6442" xr:uid="{00000000-0005-0000-0000-00009F1C0000}"/>
    <cellStyle name="Vírgula 3 3 3 2 4 2 2 2 3 2" xfId="12956" xr:uid="{00000000-0005-0000-0000-0000A01C0000}"/>
    <cellStyle name="Vírgula 3 3 3 2 4 2 2 2 4" xfId="8672" xr:uid="{00000000-0005-0000-0000-0000A11C0000}"/>
    <cellStyle name="Vírgula 3 3 3 2 4 2 2 3" xfId="3184" xr:uid="{00000000-0005-0000-0000-0000A21C0000}"/>
    <cellStyle name="Vírgula 3 3 3 2 4 2 2 3 2" xfId="9700" xr:uid="{00000000-0005-0000-0000-0000A31C0000}"/>
    <cellStyle name="Vírgula 3 3 3 2 4 2 2 4" xfId="5414" xr:uid="{00000000-0005-0000-0000-0000A41C0000}"/>
    <cellStyle name="Vírgula 3 3 3 2 4 2 2 4 2" xfId="11928" xr:uid="{00000000-0005-0000-0000-0000A51C0000}"/>
    <cellStyle name="Vírgula 3 3 3 2 4 2 2 5" xfId="7644" xr:uid="{00000000-0005-0000-0000-0000A61C0000}"/>
    <cellStyle name="Vírgula 3 3 3 2 4 2 3" xfId="1640" xr:uid="{00000000-0005-0000-0000-0000A71C0000}"/>
    <cellStyle name="Vírgula 3 3 3 2 4 2 3 2" xfId="3698" xr:uid="{00000000-0005-0000-0000-0000A81C0000}"/>
    <cellStyle name="Vírgula 3 3 3 2 4 2 3 2 2" xfId="10214" xr:uid="{00000000-0005-0000-0000-0000A91C0000}"/>
    <cellStyle name="Vírgula 3 3 3 2 4 2 3 3" xfId="5928" xr:uid="{00000000-0005-0000-0000-0000AA1C0000}"/>
    <cellStyle name="Vírgula 3 3 3 2 4 2 3 3 2" xfId="12442" xr:uid="{00000000-0005-0000-0000-0000AB1C0000}"/>
    <cellStyle name="Vírgula 3 3 3 2 4 2 3 4" xfId="8158" xr:uid="{00000000-0005-0000-0000-0000AC1C0000}"/>
    <cellStyle name="Vírgula 3 3 3 2 4 2 4" xfId="2670" xr:uid="{00000000-0005-0000-0000-0000AD1C0000}"/>
    <cellStyle name="Vírgula 3 3 3 2 4 2 4 2" xfId="9186" xr:uid="{00000000-0005-0000-0000-0000AE1C0000}"/>
    <cellStyle name="Vírgula 3 3 3 2 4 2 5" xfId="4898" xr:uid="{00000000-0005-0000-0000-0000AF1C0000}"/>
    <cellStyle name="Vírgula 3 3 3 2 4 2 5 2" xfId="11412" xr:uid="{00000000-0005-0000-0000-0000B01C0000}"/>
    <cellStyle name="Vírgula 3 3 3 2 4 2 6" xfId="7128" xr:uid="{00000000-0005-0000-0000-0000B11C0000}"/>
    <cellStyle name="Vírgula 3 3 3 2 4 3" xfId="870" xr:uid="{00000000-0005-0000-0000-0000B21C0000}"/>
    <cellStyle name="Vírgula 3 3 3 2 4 3 2" xfId="1898" xr:uid="{00000000-0005-0000-0000-0000B31C0000}"/>
    <cellStyle name="Vírgula 3 3 3 2 4 3 2 2" xfId="3956" xr:uid="{00000000-0005-0000-0000-0000B41C0000}"/>
    <cellStyle name="Vírgula 3 3 3 2 4 3 2 2 2" xfId="10472" xr:uid="{00000000-0005-0000-0000-0000B51C0000}"/>
    <cellStyle name="Vírgula 3 3 3 2 4 3 2 3" xfId="6186" xr:uid="{00000000-0005-0000-0000-0000B61C0000}"/>
    <cellStyle name="Vírgula 3 3 3 2 4 3 2 3 2" xfId="12700" xr:uid="{00000000-0005-0000-0000-0000B71C0000}"/>
    <cellStyle name="Vírgula 3 3 3 2 4 3 2 4" xfId="8416" xr:uid="{00000000-0005-0000-0000-0000B81C0000}"/>
    <cellStyle name="Vírgula 3 3 3 2 4 3 3" xfId="2928" xr:uid="{00000000-0005-0000-0000-0000B91C0000}"/>
    <cellStyle name="Vírgula 3 3 3 2 4 3 3 2" xfId="9444" xr:uid="{00000000-0005-0000-0000-0000BA1C0000}"/>
    <cellStyle name="Vírgula 3 3 3 2 4 3 4" xfId="5158" xr:uid="{00000000-0005-0000-0000-0000BB1C0000}"/>
    <cellStyle name="Vírgula 3 3 3 2 4 3 4 2" xfId="11672" xr:uid="{00000000-0005-0000-0000-0000BC1C0000}"/>
    <cellStyle name="Vírgula 3 3 3 2 4 3 5" xfId="7388" xr:uid="{00000000-0005-0000-0000-0000BD1C0000}"/>
    <cellStyle name="Vírgula 3 3 3 2 4 4" xfId="1384" xr:uid="{00000000-0005-0000-0000-0000BE1C0000}"/>
    <cellStyle name="Vírgula 3 3 3 2 4 4 2" xfId="3442" xr:uid="{00000000-0005-0000-0000-0000BF1C0000}"/>
    <cellStyle name="Vírgula 3 3 3 2 4 4 2 2" xfId="9958" xr:uid="{00000000-0005-0000-0000-0000C01C0000}"/>
    <cellStyle name="Vírgula 3 3 3 2 4 4 3" xfId="5672" xr:uid="{00000000-0005-0000-0000-0000C11C0000}"/>
    <cellStyle name="Vírgula 3 3 3 2 4 4 3 2" xfId="12186" xr:uid="{00000000-0005-0000-0000-0000C21C0000}"/>
    <cellStyle name="Vírgula 3 3 3 2 4 4 4" xfId="7902" xr:uid="{00000000-0005-0000-0000-0000C31C0000}"/>
    <cellStyle name="Vírgula 3 3 3 2 4 5" xfId="2414" xr:uid="{00000000-0005-0000-0000-0000C41C0000}"/>
    <cellStyle name="Vírgula 3 3 3 2 4 5 2" xfId="8930" xr:uid="{00000000-0005-0000-0000-0000C51C0000}"/>
    <cellStyle name="Vírgula 3 3 3 2 4 6" xfId="4556" xr:uid="{00000000-0005-0000-0000-0000C61C0000}"/>
    <cellStyle name="Vírgula 3 3 3 2 4 6 2" xfId="11070" xr:uid="{00000000-0005-0000-0000-0000C71C0000}"/>
    <cellStyle name="Vírgula 3 3 3 2 4 7" xfId="6786" xr:uid="{00000000-0005-0000-0000-0000C81C0000}"/>
    <cellStyle name="Vírgula 3 3 3 2 5" xfId="432" xr:uid="{00000000-0005-0000-0000-0000C91C0000}"/>
    <cellStyle name="Vírgula 3 3 3 2 5 2" xfId="998" xr:uid="{00000000-0005-0000-0000-0000CA1C0000}"/>
    <cellStyle name="Vírgula 3 3 3 2 5 2 2" xfId="2026" xr:uid="{00000000-0005-0000-0000-0000CB1C0000}"/>
    <cellStyle name="Vírgula 3 3 3 2 5 2 2 2" xfId="4084" xr:uid="{00000000-0005-0000-0000-0000CC1C0000}"/>
    <cellStyle name="Vírgula 3 3 3 2 5 2 2 2 2" xfId="10600" xr:uid="{00000000-0005-0000-0000-0000CD1C0000}"/>
    <cellStyle name="Vírgula 3 3 3 2 5 2 2 3" xfId="6314" xr:uid="{00000000-0005-0000-0000-0000CE1C0000}"/>
    <cellStyle name="Vírgula 3 3 3 2 5 2 2 3 2" xfId="12828" xr:uid="{00000000-0005-0000-0000-0000CF1C0000}"/>
    <cellStyle name="Vírgula 3 3 3 2 5 2 2 4" xfId="8544" xr:uid="{00000000-0005-0000-0000-0000D01C0000}"/>
    <cellStyle name="Vírgula 3 3 3 2 5 2 3" xfId="3056" xr:uid="{00000000-0005-0000-0000-0000D11C0000}"/>
    <cellStyle name="Vírgula 3 3 3 2 5 2 3 2" xfId="9572" xr:uid="{00000000-0005-0000-0000-0000D21C0000}"/>
    <cellStyle name="Vírgula 3 3 3 2 5 2 4" xfId="5286" xr:uid="{00000000-0005-0000-0000-0000D31C0000}"/>
    <cellStyle name="Vírgula 3 3 3 2 5 2 4 2" xfId="11800" xr:uid="{00000000-0005-0000-0000-0000D41C0000}"/>
    <cellStyle name="Vírgula 3 3 3 2 5 2 5" xfId="7516" xr:uid="{00000000-0005-0000-0000-0000D51C0000}"/>
    <cellStyle name="Vírgula 3 3 3 2 5 3" xfId="1512" xr:uid="{00000000-0005-0000-0000-0000D61C0000}"/>
    <cellStyle name="Vírgula 3 3 3 2 5 3 2" xfId="3570" xr:uid="{00000000-0005-0000-0000-0000D71C0000}"/>
    <cellStyle name="Vírgula 3 3 3 2 5 3 2 2" xfId="10086" xr:uid="{00000000-0005-0000-0000-0000D81C0000}"/>
    <cellStyle name="Vírgula 3 3 3 2 5 3 3" xfId="5800" xr:uid="{00000000-0005-0000-0000-0000D91C0000}"/>
    <cellStyle name="Vírgula 3 3 3 2 5 3 3 2" xfId="12314" xr:uid="{00000000-0005-0000-0000-0000DA1C0000}"/>
    <cellStyle name="Vírgula 3 3 3 2 5 3 4" xfId="8030" xr:uid="{00000000-0005-0000-0000-0000DB1C0000}"/>
    <cellStyle name="Vírgula 3 3 3 2 5 4" xfId="2542" xr:uid="{00000000-0005-0000-0000-0000DC1C0000}"/>
    <cellStyle name="Vírgula 3 3 3 2 5 4 2" xfId="9058" xr:uid="{00000000-0005-0000-0000-0000DD1C0000}"/>
    <cellStyle name="Vírgula 3 3 3 2 5 5" xfId="4728" xr:uid="{00000000-0005-0000-0000-0000DE1C0000}"/>
    <cellStyle name="Vírgula 3 3 3 2 5 5 2" xfId="11242" xr:uid="{00000000-0005-0000-0000-0000DF1C0000}"/>
    <cellStyle name="Vírgula 3 3 3 2 5 6" xfId="6958" xr:uid="{00000000-0005-0000-0000-0000E01C0000}"/>
    <cellStyle name="Vírgula 3 3 3 2 6" xfId="742" xr:uid="{00000000-0005-0000-0000-0000E11C0000}"/>
    <cellStyle name="Vírgula 3 3 3 2 6 2" xfId="1770" xr:uid="{00000000-0005-0000-0000-0000E21C0000}"/>
    <cellStyle name="Vírgula 3 3 3 2 6 2 2" xfId="3828" xr:uid="{00000000-0005-0000-0000-0000E31C0000}"/>
    <cellStyle name="Vírgula 3 3 3 2 6 2 2 2" xfId="10344" xr:uid="{00000000-0005-0000-0000-0000E41C0000}"/>
    <cellStyle name="Vírgula 3 3 3 2 6 2 3" xfId="6058" xr:uid="{00000000-0005-0000-0000-0000E51C0000}"/>
    <cellStyle name="Vírgula 3 3 3 2 6 2 3 2" xfId="12572" xr:uid="{00000000-0005-0000-0000-0000E61C0000}"/>
    <cellStyle name="Vírgula 3 3 3 2 6 2 4" xfId="8288" xr:uid="{00000000-0005-0000-0000-0000E71C0000}"/>
    <cellStyle name="Vírgula 3 3 3 2 6 3" xfId="2800" xr:uid="{00000000-0005-0000-0000-0000E81C0000}"/>
    <cellStyle name="Vírgula 3 3 3 2 6 3 2" xfId="9316" xr:uid="{00000000-0005-0000-0000-0000E91C0000}"/>
    <cellStyle name="Vírgula 3 3 3 2 6 4" xfId="5030" xr:uid="{00000000-0005-0000-0000-0000EA1C0000}"/>
    <cellStyle name="Vírgula 3 3 3 2 6 4 2" xfId="11544" xr:uid="{00000000-0005-0000-0000-0000EB1C0000}"/>
    <cellStyle name="Vírgula 3 3 3 2 6 5" xfId="7260" xr:uid="{00000000-0005-0000-0000-0000EC1C0000}"/>
    <cellStyle name="Vírgula 3 3 3 2 7" xfId="1256" xr:uid="{00000000-0005-0000-0000-0000ED1C0000}"/>
    <cellStyle name="Vírgula 3 3 3 2 7 2" xfId="3314" xr:uid="{00000000-0005-0000-0000-0000EE1C0000}"/>
    <cellStyle name="Vírgula 3 3 3 2 7 2 2" xfId="9830" xr:uid="{00000000-0005-0000-0000-0000EF1C0000}"/>
    <cellStyle name="Vírgula 3 3 3 2 7 3" xfId="5544" xr:uid="{00000000-0005-0000-0000-0000F01C0000}"/>
    <cellStyle name="Vírgula 3 3 3 2 7 3 2" xfId="12058" xr:uid="{00000000-0005-0000-0000-0000F11C0000}"/>
    <cellStyle name="Vírgula 3 3 3 2 7 4" xfId="7774" xr:uid="{00000000-0005-0000-0000-0000F21C0000}"/>
    <cellStyle name="Vírgula 3 3 3 2 8" xfId="2286" xr:uid="{00000000-0005-0000-0000-0000F31C0000}"/>
    <cellStyle name="Vírgula 3 3 3 2 8 2" xfId="8802" xr:uid="{00000000-0005-0000-0000-0000F41C0000}"/>
    <cellStyle name="Vírgula 3 3 3 2 9" xfId="4386" xr:uid="{00000000-0005-0000-0000-0000F51C0000}"/>
    <cellStyle name="Vírgula 3 3 3 2 9 2" xfId="10900" xr:uid="{00000000-0005-0000-0000-0000F61C0000}"/>
    <cellStyle name="Vírgula 3 3 3 3" xfId="132" xr:uid="{00000000-0005-0000-0000-0000F71C0000}"/>
    <cellStyle name="Vírgula 3 3 3 3 2" xfId="211" xr:uid="{00000000-0005-0000-0000-0000F81C0000}"/>
    <cellStyle name="Vírgula 3 3 3 3 2 2" xfId="339" xr:uid="{00000000-0005-0000-0000-0000F91C0000}"/>
    <cellStyle name="Vírgula 3 3 3 3 2 2 2" xfId="682" xr:uid="{00000000-0005-0000-0000-0000FA1C0000}"/>
    <cellStyle name="Vírgula 3 3 3 3 2 2 2 2" xfId="1206" xr:uid="{00000000-0005-0000-0000-0000FB1C0000}"/>
    <cellStyle name="Vírgula 3 3 3 3 2 2 2 2 2" xfId="2234" xr:uid="{00000000-0005-0000-0000-0000FC1C0000}"/>
    <cellStyle name="Vírgula 3 3 3 3 2 2 2 2 2 2" xfId="4292" xr:uid="{00000000-0005-0000-0000-0000FD1C0000}"/>
    <cellStyle name="Vírgula 3 3 3 3 2 2 2 2 2 2 2" xfId="10808" xr:uid="{00000000-0005-0000-0000-0000FE1C0000}"/>
    <cellStyle name="Vírgula 3 3 3 3 2 2 2 2 2 3" xfId="6522" xr:uid="{00000000-0005-0000-0000-0000FF1C0000}"/>
    <cellStyle name="Vírgula 3 3 3 3 2 2 2 2 2 3 2" xfId="13036" xr:uid="{00000000-0005-0000-0000-0000001D0000}"/>
    <cellStyle name="Vírgula 3 3 3 3 2 2 2 2 2 4" xfId="8752" xr:uid="{00000000-0005-0000-0000-0000011D0000}"/>
    <cellStyle name="Vírgula 3 3 3 3 2 2 2 2 3" xfId="3264" xr:uid="{00000000-0005-0000-0000-0000021D0000}"/>
    <cellStyle name="Vírgula 3 3 3 3 2 2 2 2 3 2" xfId="9780" xr:uid="{00000000-0005-0000-0000-0000031D0000}"/>
    <cellStyle name="Vírgula 3 3 3 3 2 2 2 2 4" xfId="5494" xr:uid="{00000000-0005-0000-0000-0000041D0000}"/>
    <cellStyle name="Vírgula 3 3 3 3 2 2 2 2 4 2" xfId="12008" xr:uid="{00000000-0005-0000-0000-0000051D0000}"/>
    <cellStyle name="Vírgula 3 3 3 3 2 2 2 2 5" xfId="7724" xr:uid="{00000000-0005-0000-0000-0000061D0000}"/>
    <cellStyle name="Vírgula 3 3 3 3 2 2 2 3" xfId="1720" xr:uid="{00000000-0005-0000-0000-0000071D0000}"/>
    <cellStyle name="Vírgula 3 3 3 3 2 2 2 3 2" xfId="3778" xr:uid="{00000000-0005-0000-0000-0000081D0000}"/>
    <cellStyle name="Vírgula 3 3 3 3 2 2 2 3 2 2" xfId="10294" xr:uid="{00000000-0005-0000-0000-0000091D0000}"/>
    <cellStyle name="Vírgula 3 3 3 3 2 2 2 3 3" xfId="6008" xr:uid="{00000000-0005-0000-0000-00000A1D0000}"/>
    <cellStyle name="Vírgula 3 3 3 3 2 2 2 3 3 2" xfId="12522" xr:uid="{00000000-0005-0000-0000-00000B1D0000}"/>
    <cellStyle name="Vírgula 3 3 3 3 2 2 2 3 4" xfId="8238" xr:uid="{00000000-0005-0000-0000-00000C1D0000}"/>
    <cellStyle name="Vírgula 3 3 3 3 2 2 2 4" xfId="2750" xr:uid="{00000000-0005-0000-0000-00000D1D0000}"/>
    <cellStyle name="Vírgula 3 3 3 3 2 2 2 4 2" xfId="9266" xr:uid="{00000000-0005-0000-0000-00000E1D0000}"/>
    <cellStyle name="Vírgula 3 3 3 3 2 2 2 5" xfId="4978" xr:uid="{00000000-0005-0000-0000-00000F1D0000}"/>
    <cellStyle name="Vírgula 3 3 3 3 2 2 2 5 2" xfId="11492" xr:uid="{00000000-0005-0000-0000-0000101D0000}"/>
    <cellStyle name="Vírgula 3 3 3 3 2 2 2 6" xfId="7208" xr:uid="{00000000-0005-0000-0000-0000111D0000}"/>
    <cellStyle name="Vírgula 3 3 3 3 2 2 3" xfId="950" xr:uid="{00000000-0005-0000-0000-0000121D0000}"/>
    <cellStyle name="Vírgula 3 3 3 3 2 2 3 2" xfId="1978" xr:uid="{00000000-0005-0000-0000-0000131D0000}"/>
    <cellStyle name="Vírgula 3 3 3 3 2 2 3 2 2" xfId="4036" xr:uid="{00000000-0005-0000-0000-0000141D0000}"/>
    <cellStyle name="Vírgula 3 3 3 3 2 2 3 2 2 2" xfId="10552" xr:uid="{00000000-0005-0000-0000-0000151D0000}"/>
    <cellStyle name="Vírgula 3 3 3 3 2 2 3 2 3" xfId="6266" xr:uid="{00000000-0005-0000-0000-0000161D0000}"/>
    <cellStyle name="Vírgula 3 3 3 3 2 2 3 2 3 2" xfId="12780" xr:uid="{00000000-0005-0000-0000-0000171D0000}"/>
    <cellStyle name="Vírgula 3 3 3 3 2 2 3 2 4" xfId="8496" xr:uid="{00000000-0005-0000-0000-0000181D0000}"/>
    <cellStyle name="Vírgula 3 3 3 3 2 2 3 3" xfId="3008" xr:uid="{00000000-0005-0000-0000-0000191D0000}"/>
    <cellStyle name="Vírgula 3 3 3 3 2 2 3 3 2" xfId="9524" xr:uid="{00000000-0005-0000-0000-00001A1D0000}"/>
    <cellStyle name="Vírgula 3 3 3 3 2 2 3 4" xfId="5238" xr:uid="{00000000-0005-0000-0000-00001B1D0000}"/>
    <cellStyle name="Vírgula 3 3 3 3 2 2 3 4 2" xfId="11752" xr:uid="{00000000-0005-0000-0000-00001C1D0000}"/>
    <cellStyle name="Vírgula 3 3 3 3 2 2 3 5" xfId="7468" xr:uid="{00000000-0005-0000-0000-00001D1D0000}"/>
    <cellStyle name="Vírgula 3 3 3 3 2 2 4" xfId="1464" xr:uid="{00000000-0005-0000-0000-00001E1D0000}"/>
    <cellStyle name="Vírgula 3 3 3 3 2 2 4 2" xfId="3522" xr:uid="{00000000-0005-0000-0000-00001F1D0000}"/>
    <cellStyle name="Vírgula 3 3 3 3 2 2 4 2 2" xfId="10038" xr:uid="{00000000-0005-0000-0000-0000201D0000}"/>
    <cellStyle name="Vírgula 3 3 3 3 2 2 4 3" xfId="5752" xr:uid="{00000000-0005-0000-0000-0000211D0000}"/>
    <cellStyle name="Vírgula 3 3 3 3 2 2 4 3 2" xfId="12266" xr:uid="{00000000-0005-0000-0000-0000221D0000}"/>
    <cellStyle name="Vírgula 3 3 3 3 2 2 4 4" xfId="7982" xr:uid="{00000000-0005-0000-0000-0000231D0000}"/>
    <cellStyle name="Vírgula 3 3 3 3 2 2 5" xfId="2494" xr:uid="{00000000-0005-0000-0000-0000241D0000}"/>
    <cellStyle name="Vírgula 3 3 3 3 2 2 5 2" xfId="9010" xr:uid="{00000000-0005-0000-0000-0000251D0000}"/>
    <cellStyle name="Vírgula 3 3 3 3 2 2 6" xfId="4636" xr:uid="{00000000-0005-0000-0000-0000261D0000}"/>
    <cellStyle name="Vírgula 3 3 3 3 2 2 6 2" xfId="11150" xr:uid="{00000000-0005-0000-0000-0000271D0000}"/>
    <cellStyle name="Vírgula 3 3 3 3 2 2 7" xfId="6866" xr:uid="{00000000-0005-0000-0000-0000281D0000}"/>
    <cellStyle name="Vírgula 3 3 3 3 2 3" xfId="554" xr:uid="{00000000-0005-0000-0000-0000291D0000}"/>
    <cellStyle name="Vírgula 3 3 3 3 2 3 2" xfId="1078" xr:uid="{00000000-0005-0000-0000-00002A1D0000}"/>
    <cellStyle name="Vírgula 3 3 3 3 2 3 2 2" xfId="2106" xr:uid="{00000000-0005-0000-0000-00002B1D0000}"/>
    <cellStyle name="Vírgula 3 3 3 3 2 3 2 2 2" xfId="4164" xr:uid="{00000000-0005-0000-0000-00002C1D0000}"/>
    <cellStyle name="Vírgula 3 3 3 3 2 3 2 2 2 2" xfId="10680" xr:uid="{00000000-0005-0000-0000-00002D1D0000}"/>
    <cellStyle name="Vírgula 3 3 3 3 2 3 2 2 3" xfId="6394" xr:uid="{00000000-0005-0000-0000-00002E1D0000}"/>
    <cellStyle name="Vírgula 3 3 3 3 2 3 2 2 3 2" xfId="12908" xr:uid="{00000000-0005-0000-0000-00002F1D0000}"/>
    <cellStyle name="Vírgula 3 3 3 3 2 3 2 2 4" xfId="8624" xr:uid="{00000000-0005-0000-0000-0000301D0000}"/>
    <cellStyle name="Vírgula 3 3 3 3 2 3 2 3" xfId="3136" xr:uid="{00000000-0005-0000-0000-0000311D0000}"/>
    <cellStyle name="Vírgula 3 3 3 3 2 3 2 3 2" xfId="9652" xr:uid="{00000000-0005-0000-0000-0000321D0000}"/>
    <cellStyle name="Vírgula 3 3 3 3 2 3 2 4" xfId="5366" xr:uid="{00000000-0005-0000-0000-0000331D0000}"/>
    <cellStyle name="Vírgula 3 3 3 3 2 3 2 4 2" xfId="11880" xr:uid="{00000000-0005-0000-0000-0000341D0000}"/>
    <cellStyle name="Vírgula 3 3 3 3 2 3 2 5" xfId="7596" xr:uid="{00000000-0005-0000-0000-0000351D0000}"/>
    <cellStyle name="Vírgula 3 3 3 3 2 3 3" xfId="1592" xr:uid="{00000000-0005-0000-0000-0000361D0000}"/>
    <cellStyle name="Vírgula 3 3 3 3 2 3 3 2" xfId="3650" xr:uid="{00000000-0005-0000-0000-0000371D0000}"/>
    <cellStyle name="Vírgula 3 3 3 3 2 3 3 2 2" xfId="10166" xr:uid="{00000000-0005-0000-0000-0000381D0000}"/>
    <cellStyle name="Vírgula 3 3 3 3 2 3 3 3" xfId="5880" xr:uid="{00000000-0005-0000-0000-0000391D0000}"/>
    <cellStyle name="Vírgula 3 3 3 3 2 3 3 3 2" xfId="12394" xr:uid="{00000000-0005-0000-0000-00003A1D0000}"/>
    <cellStyle name="Vírgula 3 3 3 3 2 3 3 4" xfId="8110" xr:uid="{00000000-0005-0000-0000-00003B1D0000}"/>
    <cellStyle name="Vírgula 3 3 3 3 2 3 4" xfId="2622" xr:uid="{00000000-0005-0000-0000-00003C1D0000}"/>
    <cellStyle name="Vírgula 3 3 3 3 2 3 4 2" xfId="9138" xr:uid="{00000000-0005-0000-0000-00003D1D0000}"/>
    <cellStyle name="Vírgula 3 3 3 3 2 3 5" xfId="4850" xr:uid="{00000000-0005-0000-0000-00003E1D0000}"/>
    <cellStyle name="Vírgula 3 3 3 3 2 3 5 2" xfId="11364" xr:uid="{00000000-0005-0000-0000-00003F1D0000}"/>
    <cellStyle name="Vírgula 3 3 3 3 2 3 6" xfId="7080" xr:uid="{00000000-0005-0000-0000-0000401D0000}"/>
    <cellStyle name="Vírgula 3 3 3 3 2 4" xfId="822" xr:uid="{00000000-0005-0000-0000-0000411D0000}"/>
    <cellStyle name="Vírgula 3 3 3 3 2 4 2" xfId="1850" xr:uid="{00000000-0005-0000-0000-0000421D0000}"/>
    <cellStyle name="Vírgula 3 3 3 3 2 4 2 2" xfId="3908" xr:uid="{00000000-0005-0000-0000-0000431D0000}"/>
    <cellStyle name="Vírgula 3 3 3 3 2 4 2 2 2" xfId="10424" xr:uid="{00000000-0005-0000-0000-0000441D0000}"/>
    <cellStyle name="Vírgula 3 3 3 3 2 4 2 3" xfId="6138" xr:uid="{00000000-0005-0000-0000-0000451D0000}"/>
    <cellStyle name="Vírgula 3 3 3 3 2 4 2 3 2" xfId="12652" xr:uid="{00000000-0005-0000-0000-0000461D0000}"/>
    <cellStyle name="Vírgula 3 3 3 3 2 4 2 4" xfId="8368" xr:uid="{00000000-0005-0000-0000-0000471D0000}"/>
    <cellStyle name="Vírgula 3 3 3 3 2 4 3" xfId="2880" xr:uid="{00000000-0005-0000-0000-0000481D0000}"/>
    <cellStyle name="Vírgula 3 3 3 3 2 4 3 2" xfId="9396" xr:uid="{00000000-0005-0000-0000-0000491D0000}"/>
    <cellStyle name="Vírgula 3 3 3 3 2 4 4" xfId="5110" xr:uid="{00000000-0005-0000-0000-00004A1D0000}"/>
    <cellStyle name="Vírgula 3 3 3 3 2 4 4 2" xfId="11624" xr:uid="{00000000-0005-0000-0000-00004B1D0000}"/>
    <cellStyle name="Vírgula 3 3 3 3 2 4 5" xfId="7340" xr:uid="{00000000-0005-0000-0000-00004C1D0000}"/>
    <cellStyle name="Vírgula 3 3 3 3 2 5" xfId="1336" xr:uid="{00000000-0005-0000-0000-00004D1D0000}"/>
    <cellStyle name="Vírgula 3 3 3 3 2 5 2" xfId="3394" xr:uid="{00000000-0005-0000-0000-00004E1D0000}"/>
    <cellStyle name="Vírgula 3 3 3 3 2 5 2 2" xfId="9910" xr:uid="{00000000-0005-0000-0000-00004F1D0000}"/>
    <cellStyle name="Vírgula 3 3 3 3 2 5 3" xfId="5624" xr:uid="{00000000-0005-0000-0000-0000501D0000}"/>
    <cellStyle name="Vírgula 3 3 3 3 2 5 3 2" xfId="12138" xr:uid="{00000000-0005-0000-0000-0000511D0000}"/>
    <cellStyle name="Vírgula 3 3 3 3 2 5 4" xfId="7854" xr:uid="{00000000-0005-0000-0000-0000521D0000}"/>
    <cellStyle name="Vírgula 3 3 3 3 2 6" xfId="2366" xr:uid="{00000000-0005-0000-0000-0000531D0000}"/>
    <cellStyle name="Vírgula 3 3 3 3 2 6 2" xfId="8882" xr:uid="{00000000-0005-0000-0000-0000541D0000}"/>
    <cellStyle name="Vírgula 3 3 3 3 2 7" xfId="4508" xr:uid="{00000000-0005-0000-0000-0000551D0000}"/>
    <cellStyle name="Vírgula 3 3 3 3 2 7 2" xfId="11022" xr:uid="{00000000-0005-0000-0000-0000561D0000}"/>
    <cellStyle name="Vírgula 3 3 3 3 2 8" xfId="6738" xr:uid="{00000000-0005-0000-0000-0000571D0000}"/>
    <cellStyle name="Vírgula 3 3 3 3 3" xfId="275" xr:uid="{00000000-0005-0000-0000-0000581D0000}"/>
    <cellStyle name="Vírgula 3 3 3 3 3 2" xfId="618" xr:uid="{00000000-0005-0000-0000-0000591D0000}"/>
    <cellStyle name="Vírgula 3 3 3 3 3 2 2" xfId="1142" xr:uid="{00000000-0005-0000-0000-00005A1D0000}"/>
    <cellStyle name="Vírgula 3 3 3 3 3 2 2 2" xfId="2170" xr:uid="{00000000-0005-0000-0000-00005B1D0000}"/>
    <cellStyle name="Vírgula 3 3 3 3 3 2 2 2 2" xfId="4228" xr:uid="{00000000-0005-0000-0000-00005C1D0000}"/>
    <cellStyle name="Vírgula 3 3 3 3 3 2 2 2 2 2" xfId="10744" xr:uid="{00000000-0005-0000-0000-00005D1D0000}"/>
    <cellStyle name="Vírgula 3 3 3 3 3 2 2 2 3" xfId="6458" xr:uid="{00000000-0005-0000-0000-00005E1D0000}"/>
    <cellStyle name="Vírgula 3 3 3 3 3 2 2 2 3 2" xfId="12972" xr:uid="{00000000-0005-0000-0000-00005F1D0000}"/>
    <cellStyle name="Vírgula 3 3 3 3 3 2 2 2 4" xfId="8688" xr:uid="{00000000-0005-0000-0000-0000601D0000}"/>
    <cellStyle name="Vírgula 3 3 3 3 3 2 2 3" xfId="3200" xr:uid="{00000000-0005-0000-0000-0000611D0000}"/>
    <cellStyle name="Vírgula 3 3 3 3 3 2 2 3 2" xfId="9716" xr:uid="{00000000-0005-0000-0000-0000621D0000}"/>
    <cellStyle name="Vírgula 3 3 3 3 3 2 2 4" xfId="5430" xr:uid="{00000000-0005-0000-0000-0000631D0000}"/>
    <cellStyle name="Vírgula 3 3 3 3 3 2 2 4 2" xfId="11944" xr:uid="{00000000-0005-0000-0000-0000641D0000}"/>
    <cellStyle name="Vírgula 3 3 3 3 3 2 2 5" xfId="7660" xr:uid="{00000000-0005-0000-0000-0000651D0000}"/>
    <cellStyle name="Vírgula 3 3 3 3 3 2 3" xfId="1656" xr:uid="{00000000-0005-0000-0000-0000661D0000}"/>
    <cellStyle name="Vírgula 3 3 3 3 3 2 3 2" xfId="3714" xr:uid="{00000000-0005-0000-0000-0000671D0000}"/>
    <cellStyle name="Vírgula 3 3 3 3 3 2 3 2 2" xfId="10230" xr:uid="{00000000-0005-0000-0000-0000681D0000}"/>
    <cellStyle name="Vírgula 3 3 3 3 3 2 3 3" xfId="5944" xr:uid="{00000000-0005-0000-0000-0000691D0000}"/>
    <cellStyle name="Vírgula 3 3 3 3 3 2 3 3 2" xfId="12458" xr:uid="{00000000-0005-0000-0000-00006A1D0000}"/>
    <cellStyle name="Vírgula 3 3 3 3 3 2 3 4" xfId="8174" xr:uid="{00000000-0005-0000-0000-00006B1D0000}"/>
    <cellStyle name="Vírgula 3 3 3 3 3 2 4" xfId="2686" xr:uid="{00000000-0005-0000-0000-00006C1D0000}"/>
    <cellStyle name="Vírgula 3 3 3 3 3 2 4 2" xfId="9202" xr:uid="{00000000-0005-0000-0000-00006D1D0000}"/>
    <cellStyle name="Vírgula 3 3 3 3 3 2 5" xfId="4914" xr:uid="{00000000-0005-0000-0000-00006E1D0000}"/>
    <cellStyle name="Vírgula 3 3 3 3 3 2 5 2" xfId="11428" xr:uid="{00000000-0005-0000-0000-00006F1D0000}"/>
    <cellStyle name="Vírgula 3 3 3 3 3 2 6" xfId="7144" xr:uid="{00000000-0005-0000-0000-0000701D0000}"/>
    <cellStyle name="Vírgula 3 3 3 3 3 3" xfId="886" xr:uid="{00000000-0005-0000-0000-0000711D0000}"/>
    <cellStyle name="Vírgula 3 3 3 3 3 3 2" xfId="1914" xr:uid="{00000000-0005-0000-0000-0000721D0000}"/>
    <cellStyle name="Vírgula 3 3 3 3 3 3 2 2" xfId="3972" xr:uid="{00000000-0005-0000-0000-0000731D0000}"/>
    <cellStyle name="Vírgula 3 3 3 3 3 3 2 2 2" xfId="10488" xr:uid="{00000000-0005-0000-0000-0000741D0000}"/>
    <cellStyle name="Vírgula 3 3 3 3 3 3 2 3" xfId="6202" xr:uid="{00000000-0005-0000-0000-0000751D0000}"/>
    <cellStyle name="Vírgula 3 3 3 3 3 3 2 3 2" xfId="12716" xr:uid="{00000000-0005-0000-0000-0000761D0000}"/>
    <cellStyle name="Vírgula 3 3 3 3 3 3 2 4" xfId="8432" xr:uid="{00000000-0005-0000-0000-0000771D0000}"/>
    <cellStyle name="Vírgula 3 3 3 3 3 3 3" xfId="2944" xr:uid="{00000000-0005-0000-0000-0000781D0000}"/>
    <cellStyle name="Vírgula 3 3 3 3 3 3 3 2" xfId="9460" xr:uid="{00000000-0005-0000-0000-0000791D0000}"/>
    <cellStyle name="Vírgula 3 3 3 3 3 3 4" xfId="5174" xr:uid="{00000000-0005-0000-0000-00007A1D0000}"/>
    <cellStyle name="Vírgula 3 3 3 3 3 3 4 2" xfId="11688" xr:uid="{00000000-0005-0000-0000-00007B1D0000}"/>
    <cellStyle name="Vírgula 3 3 3 3 3 3 5" xfId="7404" xr:uid="{00000000-0005-0000-0000-00007C1D0000}"/>
    <cellStyle name="Vírgula 3 3 3 3 3 4" xfId="1400" xr:uid="{00000000-0005-0000-0000-00007D1D0000}"/>
    <cellStyle name="Vírgula 3 3 3 3 3 4 2" xfId="3458" xr:uid="{00000000-0005-0000-0000-00007E1D0000}"/>
    <cellStyle name="Vírgula 3 3 3 3 3 4 2 2" xfId="9974" xr:uid="{00000000-0005-0000-0000-00007F1D0000}"/>
    <cellStyle name="Vírgula 3 3 3 3 3 4 3" xfId="5688" xr:uid="{00000000-0005-0000-0000-0000801D0000}"/>
    <cellStyle name="Vírgula 3 3 3 3 3 4 3 2" xfId="12202" xr:uid="{00000000-0005-0000-0000-0000811D0000}"/>
    <cellStyle name="Vírgula 3 3 3 3 3 4 4" xfId="7918" xr:uid="{00000000-0005-0000-0000-0000821D0000}"/>
    <cellStyle name="Vírgula 3 3 3 3 3 5" xfId="2430" xr:uid="{00000000-0005-0000-0000-0000831D0000}"/>
    <cellStyle name="Vírgula 3 3 3 3 3 5 2" xfId="8946" xr:uid="{00000000-0005-0000-0000-0000841D0000}"/>
    <cellStyle name="Vírgula 3 3 3 3 3 6" xfId="4572" xr:uid="{00000000-0005-0000-0000-0000851D0000}"/>
    <cellStyle name="Vírgula 3 3 3 3 3 6 2" xfId="11086" xr:uid="{00000000-0005-0000-0000-0000861D0000}"/>
    <cellStyle name="Vírgula 3 3 3 3 3 7" xfId="6802" xr:uid="{00000000-0005-0000-0000-0000871D0000}"/>
    <cellStyle name="Vírgula 3 3 3 3 4" xfId="475" xr:uid="{00000000-0005-0000-0000-0000881D0000}"/>
    <cellStyle name="Vírgula 3 3 3 3 4 2" xfId="1014" xr:uid="{00000000-0005-0000-0000-0000891D0000}"/>
    <cellStyle name="Vírgula 3 3 3 3 4 2 2" xfId="2042" xr:uid="{00000000-0005-0000-0000-00008A1D0000}"/>
    <cellStyle name="Vírgula 3 3 3 3 4 2 2 2" xfId="4100" xr:uid="{00000000-0005-0000-0000-00008B1D0000}"/>
    <cellStyle name="Vírgula 3 3 3 3 4 2 2 2 2" xfId="10616" xr:uid="{00000000-0005-0000-0000-00008C1D0000}"/>
    <cellStyle name="Vírgula 3 3 3 3 4 2 2 3" xfId="6330" xr:uid="{00000000-0005-0000-0000-00008D1D0000}"/>
    <cellStyle name="Vírgula 3 3 3 3 4 2 2 3 2" xfId="12844" xr:uid="{00000000-0005-0000-0000-00008E1D0000}"/>
    <cellStyle name="Vírgula 3 3 3 3 4 2 2 4" xfId="8560" xr:uid="{00000000-0005-0000-0000-00008F1D0000}"/>
    <cellStyle name="Vírgula 3 3 3 3 4 2 3" xfId="3072" xr:uid="{00000000-0005-0000-0000-0000901D0000}"/>
    <cellStyle name="Vírgula 3 3 3 3 4 2 3 2" xfId="9588" xr:uid="{00000000-0005-0000-0000-0000911D0000}"/>
    <cellStyle name="Vírgula 3 3 3 3 4 2 4" xfId="5302" xr:uid="{00000000-0005-0000-0000-0000921D0000}"/>
    <cellStyle name="Vírgula 3 3 3 3 4 2 4 2" xfId="11816" xr:uid="{00000000-0005-0000-0000-0000931D0000}"/>
    <cellStyle name="Vírgula 3 3 3 3 4 2 5" xfId="7532" xr:uid="{00000000-0005-0000-0000-0000941D0000}"/>
    <cellStyle name="Vírgula 3 3 3 3 4 3" xfId="1528" xr:uid="{00000000-0005-0000-0000-0000951D0000}"/>
    <cellStyle name="Vírgula 3 3 3 3 4 3 2" xfId="3586" xr:uid="{00000000-0005-0000-0000-0000961D0000}"/>
    <cellStyle name="Vírgula 3 3 3 3 4 3 2 2" xfId="10102" xr:uid="{00000000-0005-0000-0000-0000971D0000}"/>
    <cellStyle name="Vírgula 3 3 3 3 4 3 3" xfId="5816" xr:uid="{00000000-0005-0000-0000-0000981D0000}"/>
    <cellStyle name="Vírgula 3 3 3 3 4 3 3 2" xfId="12330" xr:uid="{00000000-0005-0000-0000-0000991D0000}"/>
    <cellStyle name="Vírgula 3 3 3 3 4 3 4" xfId="8046" xr:uid="{00000000-0005-0000-0000-00009A1D0000}"/>
    <cellStyle name="Vírgula 3 3 3 3 4 4" xfId="2558" xr:uid="{00000000-0005-0000-0000-00009B1D0000}"/>
    <cellStyle name="Vírgula 3 3 3 3 4 4 2" xfId="9074" xr:uid="{00000000-0005-0000-0000-00009C1D0000}"/>
    <cellStyle name="Vírgula 3 3 3 3 4 5" xfId="4771" xr:uid="{00000000-0005-0000-0000-00009D1D0000}"/>
    <cellStyle name="Vírgula 3 3 3 3 4 5 2" xfId="11285" xr:uid="{00000000-0005-0000-0000-00009E1D0000}"/>
    <cellStyle name="Vírgula 3 3 3 3 4 6" xfId="7001" xr:uid="{00000000-0005-0000-0000-00009F1D0000}"/>
    <cellStyle name="Vírgula 3 3 3 3 5" xfId="758" xr:uid="{00000000-0005-0000-0000-0000A01D0000}"/>
    <cellStyle name="Vírgula 3 3 3 3 5 2" xfId="1786" xr:uid="{00000000-0005-0000-0000-0000A11D0000}"/>
    <cellStyle name="Vírgula 3 3 3 3 5 2 2" xfId="3844" xr:uid="{00000000-0005-0000-0000-0000A21D0000}"/>
    <cellStyle name="Vírgula 3 3 3 3 5 2 2 2" xfId="10360" xr:uid="{00000000-0005-0000-0000-0000A31D0000}"/>
    <cellStyle name="Vírgula 3 3 3 3 5 2 3" xfId="6074" xr:uid="{00000000-0005-0000-0000-0000A41D0000}"/>
    <cellStyle name="Vírgula 3 3 3 3 5 2 3 2" xfId="12588" xr:uid="{00000000-0005-0000-0000-0000A51D0000}"/>
    <cellStyle name="Vírgula 3 3 3 3 5 2 4" xfId="8304" xr:uid="{00000000-0005-0000-0000-0000A61D0000}"/>
    <cellStyle name="Vírgula 3 3 3 3 5 3" xfId="2816" xr:uid="{00000000-0005-0000-0000-0000A71D0000}"/>
    <cellStyle name="Vírgula 3 3 3 3 5 3 2" xfId="9332" xr:uid="{00000000-0005-0000-0000-0000A81D0000}"/>
    <cellStyle name="Vírgula 3 3 3 3 5 4" xfId="5046" xr:uid="{00000000-0005-0000-0000-0000A91D0000}"/>
    <cellStyle name="Vírgula 3 3 3 3 5 4 2" xfId="11560" xr:uid="{00000000-0005-0000-0000-0000AA1D0000}"/>
    <cellStyle name="Vírgula 3 3 3 3 5 5" xfId="7276" xr:uid="{00000000-0005-0000-0000-0000AB1D0000}"/>
    <cellStyle name="Vírgula 3 3 3 3 6" xfId="1272" xr:uid="{00000000-0005-0000-0000-0000AC1D0000}"/>
    <cellStyle name="Vírgula 3 3 3 3 6 2" xfId="3330" xr:uid="{00000000-0005-0000-0000-0000AD1D0000}"/>
    <cellStyle name="Vírgula 3 3 3 3 6 2 2" xfId="9846" xr:uid="{00000000-0005-0000-0000-0000AE1D0000}"/>
    <cellStyle name="Vírgula 3 3 3 3 6 3" xfId="5560" xr:uid="{00000000-0005-0000-0000-0000AF1D0000}"/>
    <cellStyle name="Vírgula 3 3 3 3 6 3 2" xfId="12074" xr:uid="{00000000-0005-0000-0000-0000B01D0000}"/>
    <cellStyle name="Vírgula 3 3 3 3 6 4" xfId="7790" xr:uid="{00000000-0005-0000-0000-0000B11D0000}"/>
    <cellStyle name="Vírgula 3 3 3 3 7" xfId="2302" xr:uid="{00000000-0005-0000-0000-0000B21D0000}"/>
    <cellStyle name="Vírgula 3 3 3 3 7 2" xfId="8818" xr:uid="{00000000-0005-0000-0000-0000B31D0000}"/>
    <cellStyle name="Vírgula 3 3 3 3 8" xfId="4429" xr:uid="{00000000-0005-0000-0000-0000B41D0000}"/>
    <cellStyle name="Vírgula 3 3 3 3 8 2" xfId="10943" xr:uid="{00000000-0005-0000-0000-0000B51D0000}"/>
    <cellStyle name="Vírgula 3 3 3 3 9" xfId="6659" xr:uid="{00000000-0005-0000-0000-0000B61D0000}"/>
    <cellStyle name="Vírgula 3 3 3 4" xfId="179" xr:uid="{00000000-0005-0000-0000-0000B71D0000}"/>
    <cellStyle name="Vírgula 3 3 3 4 2" xfId="307" xr:uid="{00000000-0005-0000-0000-0000B81D0000}"/>
    <cellStyle name="Vírgula 3 3 3 4 2 2" xfId="650" xr:uid="{00000000-0005-0000-0000-0000B91D0000}"/>
    <cellStyle name="Vírgula 3 3 3 4 2 2 2" xfId="1174" xr:uid="{00000000-0005-0000-0000-0000BA1D0000}"/>
    <cellStyle name="Vírgula 3 3 3 4 2 2 2 2" xfId="2202" xr:uid="{00000000-0005-0000-0000-0000BB1D0000}"/>
    <cellStyle name="Vírgula 3 3 3 4 2 2 2 2 2" xfId="4260" xr:uid="{00000000-0005-0000-0000-0000BC1D0000}"/>
    <cellStyle name="Vírgula 3 3 3 4 2 2 2 2 2 2" xfId="10776" xr:uid="{00000000-0005-0000-0000-0000BD1D0000}"/>
    <cellStyle name="Vírgula 3 3 3 4 2 2 2 2 3" xfId="6490" xr:uid="{00000000-0005-0000-0000-0000BE1D0000}"/>
    <cellStyle name="Vírgula 3 3 3 4 2 2 2 2 3 2" xfId="13004" xr:uid="{00000000-0005-0000-0000-0000BF1D0000}"/>
    <cellStyle name="Vírgula 3 3 3 4 2 2 2 2 4" xfId="8720" xr:uid="{00000000-0005-0000-0000-0000C01D0000}"/>
    <cellStyle name="Vírgula 3 3 3 4 2 2 2 3" xfId="3232" xr:uid="{00000000-0005-0000-0000-0000C11D0000}"/>
    <cellStyle name="Vírgula 3 3 3 4 2 2 2 3 2" xfId="9748" xr:uid="{00000000-0005-0000-0000-0000C21D0000}"/>
    <cellStyle name="Vírgula 3 3 3 4 2 2 2 4" xfId="5462" xr:uid="{00000000-0005-0000-0000-0000C31D0000}"/>
    <cellStyle name="Vírgula 3 3 3 4 2 2 2 4 2" xfId="11976" xr:uid="{00000000-0005-0000-0000-0000C41D0000}"/>
    <cellStyle name="Vírgula 3 3 3 4 2 2 2 5" xfId="7692" xr:uid="{00000000-0005-0000-0000-0000C51D0000}"/>
    <cellStyle name="Vírgula 3 3 3 4 2 2 3" xfId="1688" xr:uid="{00000000-0005-0000-0000-0000C61D0000}"/>
    <cellStyle name="Vírgula 3 3 3 4 2 2 3 2" xfId="3746" xr:uid="{00000000-0005-0000-0000-0000C71D0000}"/>
    <cellStyle name="Vírgula 3 3 3 4 2 2 3 2 2" xfId="10262" xr:uid="{00000000-0005-0000-0000-0000C81D0000}"/>
    <cellStyle name="Vírgula 3 3 3 4 2 2 3 3" xfId="5976" xr:uid="{00000000-0005-0000-0000-0000C91D0000}"/>
    <cellStyle name="Vírgula 3 3 3 4 2 2 3 3 2" xfId="12490" xr:uid="{00000000-0005-0000-0000-0000CA1D0000}"/>
    <cellStyle name="Vírgula 3 3 3 4 2 2 3 4" xfId="8206" xr:uid="{00000000-0005-0000-0000-0000CB1D0000}"/>
    <cellStyle name="Vírgula 3 3 3 4 2 2 4" xfId="2718" xr:uid="{00000000-0005-0000-0000-0000CC1D0000}"/>
    <cellStyle name="Vírgula 3 3 3 4 2 2 4 2" xfId="9234" xr:uid="{00000000-0005-0000-0000-0000CD1D0000}"/>
    <cellStyle name="Vírgula 3 3 3 4 2 2 5" xfId="4946" xr:uid="{00000000-0005-0000-0000-0000CE1D0000}"/>
    <cellStyle name="Vírgula 3 3 3 4 2 2 5 2" xfId="11460" xr:uid="{00000000-0005-0000-0000-0000CF1D0000}"/>
    <cellStyle name="Vírgula 3 3 3 4 2 2 6" xfId="7176" xr:uid="{00000000-0005-0000-0000-0000D01D0000}"/>
    <cellStyle name="Vírgula 3 3 3 4 2 3" xfId="918" xr:uid="{00000000-0005-0000-0000-0000D11D0000}"/>
    <cellStyle name="Vírgula 3 3 3 4 2 3 2" xfId="1946" xr:uid="{00000000-0005-0000-0000-0000D21D0000}"/>
    <cellStyle name="Vírgula 3 3 3 4 2 3 2 2" xfId="4004" xr:uid="{00000000-0005-0000-0000-0000D31D0000}"/>
    <cellStyle name="Vírgula 3 3 3 4 2 3 2 2 2" xfId="10520" xr:uid="{00000000-0005-0000-0000-0000D41D0000}"/>
    <cellStyle name="Vírgula 3 3 3 4 2 3 2 3" xfId="6234" xr:uid="{00000000-0005-0000-0000-0000D51D0000}"/>
    <cellStyle name="Vírgula 3 3 3 4 2 3 2 3 2" xfId="12748" xr:uid="{00000000-0005-0000-0000-0000D61D0000}"/>
    <cellStyle name="Vírgula 3 3 3 4 2 3 2 4" xfId="8464" xr:uid="{00000000-0005-0000-0000-0000D71D0000}"/>
    <cellStyle name="Vírgula 3 3 3 4 2 3 3" xfId="2976" xr:uid="{00000000-0005-0000-0000-0000D81D0000}"/>
    <cellStyle name="Vírgula 3 3 3 4 2 3 3 2" xfId="9492" xr:uid="{00000000-0005-0000-0000-0000D91D0000}"/>
    <cellStyle name="Vírgula 3 3 3 4 2 3 4" xfId="5206" xr:uid="{00000000-0005-0000-0000-0000DA1D0000}"/>
    <cellStyle name="Vírgula 3 3 3 4 2 3 4 2" xfId="11720" xr:uid="{00000000-0005-0000-0000-0000DB1D0000}"/>
    <cellStyle name="Vírgula 3 3 3 4 2 3 5" xfId="7436" xr:uid="{00000000-0005-0000-0000-0000DC1D0000}"/>
    <cellStyle name="Vírgula 3 3 3 4 2 4" xfId="1432" xr:uid="{00000000-0005-0000-0000-0000DD1D0000}"/>
    <cellStyle name="Vírgula 3 3 3 4 2 4 2" xfId="3490" xr:uid="{00000000-0005-0000-0000-0000DE1D0000}"/>
    <cellStyle name="Vírgula 3 3 3 4 2 4 2 2" xfId="10006" xr:uid="{00000000-0005-0000-0000-0000DF1D0000}"/>
    <cellStyle name="Vírgula 3 3 3 4 2 4 3" xfId="5720" xr:uid="{00000000-0005-0000-0000-0000E01D0000}"/>
    <cellStyle name="Vírgula 3 3 3 4 2 4 3 2" xfId="12234" xr:uid="{00000000-0005-0000-0000-0000E11D0000}"/>
    <cellStyle name="Vírgula 3 3 3 4 2 4 4" xfId="7950" xr:uid="{00000000-0005-0000-0000-0000E21D0000}"/>
    <cellStyle name="Vírgula 3 3 3 4 2 5" xfId="2462" xr:uid="{00000000-0005-0000-0000-0000E31D0000}"/>
    <cellStyle name="Vírgula 3 3 3 4 2 5 2" xfId="8978" xr:uid="{00000000-0005-0000-0000-0000E41D0000}"/>
    <cellStyle name="Vírgula 3 3 3 4 2 6" xfId="4604" xr:uid="{00000000-0005-0000-0000-0000E51D0000}"/>
    <cellStyle name="Vírgula 3 3 3 4 2 6 2" xfId="11118" xr:uid="{00000000-0005-0000-0000-0000E61D0000}"/>
    <cellStyle name="Vírgula 3 3 3 4 2 7" xfId="6834" xr:uid="{00000000-0005-0000-0000-0000E71D0000}"/>
    <cellStyle name="Vírgula 3 3 3 4 3" xfId="522" xr:uid="{00000000-0005-0000-0000-0000E81D0000}"/>
    <cellStyle name="Vírgula 3 3 3 4 3 2" xfId="1046" xr:uid="{00000000-0005-0000-0000-0000E91D0000}"/>
    <cellStyle name="Vírgula 3 3 3 4 3 2 2" xfId="2074" xr:uid="{00000000-0005-0000-0000-0000EA1D0000}"/>
    <cellStyle name="Vírgula 3 3 3 4 3 2 2 2" xfId="4132" xr:uid="{00000000-0005-0000-0000-0000EB1D0000}"/>
    <cellStyle name="Vírgula 3 3 3 4 3 2 2 2 2" xfId="10648" xr:uid="{00000000-0005-0000-0000-0000EC1D0000}"/>
    <cellStyle name="Vírgula 3 3 3 4 3 2 2 3" xfId="6362" xr:uid="{00000000-0005-0000-0000-0000ED1D0000}"/>
    <cellStyle name="Vírgula 3 3 3 4 3 2 2 3 2" xfId="12876" xr:uid="{00000000-0005-0000-0000-0000EE1D0000}"/>
    <cellStyle name="Vírgula 3 3 3 4 3 2 2 4" xfId="8592" xr:uid="{00000000-0005-0000-0000-0000EF1D0000}"/>
    <cellStyle name="Vírgula 3 3 3 4 3 2 3" xfId="3104" xr:uid="{00000000-0005-0000-0000-0000F01D0000}"/>
    <cellStyle name="Vírgula 3 3 3 4 3 2 3 2" xfId="9620" xr:uid="{00000000-0005-0000-0000-0000F11D0000}"/>
    <cellStyle name="Vírgula 3 3 3 4 3 2 4" xfId="5334" xr:uid="{00000000-0005-0000-0000-0000F21D0000}"/>
    <cellStyle name="Vírgula 3 3 3 4 3 2 4 2" xfId="11848" xr:uid="{00000000-0005-0000-0000-0000F31D0000}"/>
    <cellStyle name="Vírgula 3 3 3 4 3 2 5" xfId="7564" xr:uid="{00000000-0005-0000-0000-0000F41D0000}"/>
    <cellStyle name="Vírgula 3 3 3 4 3 3" xfId="1560" xr:uid="{00000000-0005-0000-0000-0000F51D0000}"/>
    <cellStyle name="Vírgula 3 3 3 4 3 3 2" xfId="3618" xr:uid="{00000000-0005-0000-0000-0000F61D0000}"/>
    <cellStyle name="Vírgula 3 3 3 4 3 3 2 2" xfId="10134" xr:uid="{00000000-0005-0000-0000-0000F71D0000}"/>
    <cellStyle name="Vírgula 3 3 3 4 3 3 3" xfId="5848" xr:uid="{00000000-0005-0000-0000-0000F81D0000}"/>
    <cellStyle name="Vírgula 3 3 3 4 3 3 3 2" xfId="12362" xr:uid="{00000000-0005-0000-0000-0000F91D0000}"/>
    <cellStyle name="Vírgula 3 3 3 4 3 3 4" xfId="8078" xr:uid="{00000000-0005-0000-0000-0000FA1D0000}"/>
    <cellStyle name="Vírgula 3 3 3 4 3 4" xfId="2590" xr:uid="{00000000-0005-0000-0000-0000FB1D0000}"/>
    <cellStyle name="Vírgula 3 3 3 4 3 4 2" xfId="9106" xr:uid="{00000000-0005-0000-0000-0000FC1D0000}"/>
    <cellStyle name="Vírgula 3 3 3 4 3 5" xfId="4818" xr:uid="{00000000-0005-0000-0000-0000FD1D0000}"/>
    <cellStyle name="Vírgula 3 3 3 4 3 5 2" xfId="11332" xr:uid="{00000000-0005-0000-0000-0000FE1D0000}"/>
    <cellStyle name="Vírgula 3 3 3 4 3 6" xfId="7048" xr:uid="{00000000-0005-0000-0000-0000FF1D0000}"/>
    <cellStyle name="Vírgula 3 3 3 4 4" xfId="790" xr:uid="{00000000-0005-0000-0000-0000001E0000}"/>
    <cellStyle name="Vírgula 3 3 3 4 4 2" xfId="1818" xr:uid="{00000000-0005-0000-0000-0000011E0000}"/>
    <cellStyle name="Vírgula 3 3 3 4 4 2 2" xfId="3876" xr:uid="{00000000-0005-0000-0000-0000021E0000}"/>
    <cellStyle name="Vírgula 3 3 3 4 4 2 2 2" xfId="10392" xr:uid="{00000000-0005-0000-0000-0000031E0000}"/>
    <cellStyle name="Vírgula 3 3 3 4 4 2 3" xfId="6106" xr:uid="{00000000-0005-0000-0000-0000041E0000}"/>
    <cellStyle name="Vírgula 3 3 3 4 4 2 3 2" xfId="12620" xr:uid="{00000000-0005-0000-0000-0000051E0000}"/>
    <cellStyle name="Vírgula 3 3 3 4 4 2 4" xfId="8336" xr:uid="{00000000-0005-0000-0000-0000061E0000}"/>
    <cellStyle name="Vírgula 3 3 3 4 4 3" xfId="2848" xr:uid="{00000000-0005-0000-0000-0000071E0000}"/>
    <cellStyle name="Vírgula 3 3 3 4 4 3 2" xfId="9364" xr:uid="{00000000-0005-0000-0000-0000081E0000}"/>
    <cellStyle name="Vírgula 3 3 3 4 4 4" xfId="5078" xr:uid="{00000000-0005-0000-0000-0000091E0000}"/>
    <cellStyle name="Vírgula 3 3 3 4 4 4 2" xfId="11592" xr:uid="{00000000-0005-0000-0000-00000A1E0000}"/>
    <cellStyle name="Vírgula 3 3 3 4 4 5" xfId="7308" xr:uid="{00000000-0005-0000-0000-00000B1E0000}"/>
    <cellStyle name="Vírgula 3 3 3 4 5" xfId="1304" xr:uid="{00000000-0005-0000-0000-00000C1E0000}"/>
    <cellStyle name="Vírgula 3 3 3 4 5 2" xfId="3362" xr:uid="{00000000-0005-0000-0000-00000D1E0000}"/>
    <cellStyle name="Vírgula 3 3 3 4 5 2 2" xfId="9878" xr:uid="{00000000-0005-0000-0000-00000E1E0000}"/>
    <cellStyle name="Vírgula 3 3 3 4 5 3" xfId="5592" xr:uid="{00000000-0005-0000-0000-00000F1E0000}"/>
    <cellStyle name="Vírgula 3 3 3 4 5 3 2" xfId="12106" xr:uid="{00000000-0005-0000-0000-0000101E0000}"/>
    <cellStyle name="Vírgula 3 3 3 4 5 4" xfId="7822" xr:uid="{00000000-0005-0000-0000-0000111E0000}"/>
    <cellStyle name="Vírgula 3 3 3 4 6" xfId="2334" xr:uid="{00000000-0005-0000-0000-0000121E0000}"/>
    <cellStyle name="Vírgula 3 3 3 4 6 2" xfId="8850" xr:uid="{00000000-0005-0000-0000-0000131E0000}"/>
    <cellStyle name="Vírgula 3 3 3 4 7" xfId="4476" xr:uid="{00000000-0005-0000-0000-0000141E0000}"/>
    <cellStyle name="Vírgula 3 3 3 4 7 2" xfId="10990" xr:uid="{00000000-0005-0000-0000-0000151E0000}"/>
    <cellStyle name="Vírgula 3 3 3 4 8" xfId="6706" xr:uid="{00000000-0005-0000-0000-0000161E0000}"/>
    <cellStyle name="Vírgula 3 3 3 5" xfId="243" xr:uid="{00000000-0005-0000-0000-0000171E0000}"/>
    <cellStyle name="Vírgula 3 3 3 5 2" xfId="586" xr:uid="{00000000-0005-0000-0000-0000181E0000}"/>
    <cellStyle name="Vírgula 3 3 3 5 2 2" xfId="1110" xr:uid="{00000000-0005-0000-0000-0000191E0000}"/>
    <cellStyle name="Vírgula 3 3 3 5 2 2 2" xfId="2138" xr:uid="{00000000-0005-0000-0000-00001A1E0000}"/>
    <cellStyle name="Vírgula 3 3 3 5 2 2 2 2" xfId="4196" xr:uid="{00000000-0005-0000-0000-00001B1E0000}"/>
    <cellStyle name="Vírgula 3 3 3 5 2 2 2 2 2" xfId="10712" xr:uid="{00000000-0005-0000-0000-00001C1E0000}"/>
    <cellStyle name="Vírgula 3 3 3 5 2 2 2 3" xfId="6426" xr:uid="{00000000-0005-0000-0000-00001D1E0000}"/>
    <cellStyle name="Vírgula 3 3 3 5 2 2 2 3 2" xfId="12940" xr:uid="{00000000-0005-0000-0000-00001E1E0000}"/>
    <cellStyle name="Vírgula 3 3 3 5 2 2 2 4" xfId="8656" xr:uid="{00000000-0005-0000-0000-00001F1E0000}"/>
    <cellStyle name="Vírgula 3 3 3 5 2 2 3" xfId="3168" xr:uid="{00000000-0005-0000-0000-0000201E0000}"/>
    <cellStyle name="Vírgula 3 3 3 5 2 2 3 2" xfId="9684" xr:uid="{00000000-0005-0000-0000-0000211E0000}"/>
    <cellStyle name="Vírgula 3 3 3 5 2 2 4" xfId="5398" xr:uid="{00000000-0005-0000-0000-0000221E0000}"/>
    <cellStyle name="Vírgula 3 3 3 5 2 2 4 2" xfId="11912" xr:uid="{00000000-0005-0000-0000-0000231E0000}"/>
    <cellStyle name="Vírgula 3 3 3 5 2 2 5" xfId="7628" xr:uid="{00000000-0005-0000-0000-0000241E0000}"/>
    <cellStyle name="Vírgula 3 3 3 5 2 3" xfId="1624" xr:uid="{00000000-0005-0000-0000-0000251E0000}"/>
    <cellStyle name="Vírgula 3 3 3 5 2 3 2" xfId="3682" xr:uid="{00000000-0005-0000-0000-0000261E0000}"/>
    <cellStyle name="Vírgula 3 3 3 5 2 3 2 2" xfId="10198" xr:uid="{00000000-0005-0000-0000-0000271E0000}"/>
    <cellStyle name="Vírgula 3 3 3 5 2 3 3" xfId="5912" xr:uid="{00000000-0005-0000-0000-0000281E0000}"/>
    <cellStyle name="Vírgula 3 3 3 5 2 3 3 2" xfId="12426" xr:uid="{00000000-0005-0000-0000-0000291E0000}"/>
    <cellStyle name="Vírgula 3 3 3 5 2 3 4" xfId="8142" xr:uid="{00000000-0005-0000-0000-00002A1E0000}"/>
    <cellStyle name="Vírgula 3 3 3 5 2 4" xfId="2654" xr:uid="{00000000-0005-0000-0000-00002B1E0000}"/>
    <cellStyle name="Vírgula 3 3 3 5 2 4 2" xfId="9170" xr:uid="{00000000-0005-0000-0000-00002C1E0000}"/>
    <cellStyle name="Vírgula 3 3 3 5 2 5" xfId="4882" xr:uid="{00000000-0005-0000-0000-00002D1E0000}"/>
    <cellStyle name="Vírgula 3 3 3 5 2 5 2" xfId="11396" xr:uid="{00000000-0005-0000-0000-00002E1E0000}"/>
    <cellStyle name="Vírgula 3 3 3 5 2 6" xfId="7112" xr:uid="{00000000-0005-0000-0000-00002F1E0000}"/>
    <cellStyle name="Vírgula 3 3 3 5 3" xfId="854" xr:uid="{00000000-0005-0000-0000-0000301E0000}"/>
    <cellStyle name="Vírgula 3 3 3 5 3 2" xfId="1882" xr:uid="{00000000-0005-0000-0000-0000311E0000}"/>
    <cellStyle name="Vírgula 3 3 3 5 3 2 2" xfId="3940" xr:uid="{00000000-0005-0000-0000-0000321E0000}"/>
    <cellStyle name="Vírgula 3 3 3 5 3 2 2 2" xfId="10456" xr:uid="{00000000-0005-0000-0000-0000331E0000}"/>
    <cellStyle name="Vírgula 3 3 3 5 3 2 3" xfId="6170" xr:uid="{00000000-0005-0000-0000-0000341E0000}"/>
    <cellStyle name="Vírgula 3 3 3 5 3 2 3 2" xfId="12684" xr:uid="{00000000-0005-0000-0000-0000351E0000}"/>
    <cellStyle name="Vírgula 3 3 3 5 3 2 4" xfId="8400" xr:uid="{00000000-0005-0000-0000-0000361E0000}"/>
    <cellStyle name="Vírgula 3 3 3 5 3 3" xfId="2912" xr:uid="{00000000-0005-0000-0000-0000371E0000}"/>
    <cellStyle name="Vírgula 3 3 3 5 3 3 2" xfId="9428" xr:uid="{00000000-0005-0000-0000-0000381E0000}"/>
    <cellStyle name="Vírgula 3 3 3 5 3 4" xfId="5142" xr:uid="{00000000-0005-0000-0000-0000391E0000}"/>
    <cellStyle name="Vírgula 3 3 3 5 3 4 2" xfId="11656" xr:uid="{00000000-0005-0000-0000-00003A1E0000}"/>
    <cellStyle name="Vírgula 3 3 3 5 3 5" xfId="7372" xr:uid="{00000000-0005-0000-0000-00003B1E0000}"/>
    <cellStyle name="Vírgula 3 3 3 5 4" xfId="1368" xr:uid="{00000000-0005-0000-0000-00003C1E0000}"/>
    <cellStyle name="Vírgula 3 3 3 5 4 2" xfId="3426" xr:uid="{00000000-0005-0000-0000-00003D1E0000}"/>
    <cellStyle name="Vírgula 3 3 3 5 4 2 2" xfId="9942" xr:uid="{00000000-0005-0000-0000-00003E1E0000}"/>
    <cellStyle name="Vírgula 3 3 3 5 4 3" xfId="5656" xr:uid="{00000000-0005-0000-0000-00003F1E0000}"/>
    <cellStyle name="Vírgula 3 3 3 5 4 3 2" xfId="12170" xr:uid="{00000000-0005-0000-0000-0000401E0000}"/>
    <cellStyle name="Vírgula 3 3 3 5 4 4" xfId="7886" xr:uid="{00000000-0005-0000-0000-0000411E0000}"/>
    <cellStyle name="Vírgula 3 3 3 5 5" xfId="2398" xr:uid="{00000000-0005-0000-0000-0000421E0000}"/>
    <cellStyle name="Vírgula 3 3 3 5 5 2" xfId="8914" xr:uid="{00000000-0005-0000-0000-0000431E0000}"/>
    <cellStyle name="Vírgula 3 3 3 5 6" xfId="4540" xr:uid="{00000000-0005-0000-0000-0000441E0000}"/>
    <cellStyle name="Vírgula 3 3 3 5 6 2" xfId="11054" xr:uid="{00000000-0005-0000-0000-0000451E0000}"/>
    <cellStyle name="Vírgula 3 3 3 5 7" xfId="6770" xr:uid="{00000000-0005-0000-0000-0000461E0000}"/>
    <cellStyle name="Vírgula 3 3 3 6" xfId="401" xr:uid="{00000000-0005-0000-0000-0000471E0000}"/>
    <cellStyle name="Vírgula 3 3 3 6 2" xfId="982" xr:uid="{00000000-0005-0000-0000-0000481E0000}"/>
    <cellStyle name="Vírgula 3 3 3 6 2 2" xfId="2010" xr:uid="{00000000-0005-0000-0000-0000491E0000}"/>
    <cellStyle name="Vírgula 3 3 3 6 2 2 2" xfId="4068" xr:uid="{00000000-0005-0000-0000-00004A1E0000}"/>
    <cellStyle name="Vírgula 3 3 3 6 2 2 2 2" xfId="10584" xr:uid="{00000000-0005-0000-0000-00004B1E0000}"/>
    <cellStyle name="Vírgula 3 3 3 6 2 2 3" xfId="6298" xr:uid="{00000000-0005-0000-0000-00004C1E0000}"/>
    <cellStyle name="Vírgula 3 3 3 6 2 2 3 2" xfId="12812" xr:uid="{00000000-0005-0000-0000-00004D1E0000}"/>
    <cellStyle name="Vírgula 3 3 3 6 2 2 4" xfId="8528" xr:uid="{00000000-0005-0000-0000-00004E1E0000}"/>
    <cellStyle name="Vírgula 3 3 3 6 2 3" xfId="3040" xr:uid="{00000000-0005-0000-0000-00004F1E0000}"/>
    <cellStyle name="Vírgula 3 3 3 6 2 3 2" xfId="9556" xr:uid="{00000000-0005-0000-0000-0000501E0000}"/>
    <cellStyle name="Vírgula 3 3 3 6 2 4" xfId="5270" xr:uid="{00000000-0005-0000-0000-0000511E0000}"/>
    <cellStyle name="Vírgula 3 3 3 6 2 4 2" xfId="11784" xr:uid="{00000000-0005-0000-0000-0000521E0000}"/>
    <cellStyle name="Vírgula 3 3 3 6 2 5" xfId="7500" xr:uid="{00000000-0005-0000-0000-0000531E0000}"/>
    <cellStyle name="Vírgula 3 3 3 6 3" xfId="1496" xr:uid="{00000000-0005-0000-0000-0000541E0000}"/>
    <cellStyle name="Vírgula 3 3 3 6 3 2" xfId="3554" xr:uid="{00000000-0005-0000-0000-0000551E0000}"/>
    <cellStyle name="Vírgula 3 3 3 6 3 2 2" xfId="10070" xr:uid="{00000000-0005-0000-0000-0000561E0000}"/>
    <cellStyle name="Vírgula 3 3 3 6 3 3" xfId="5784" xr:uid="{00000000-0005-0000-0000-0000571E0000}"/>
    <cellStyle name="Vírgula 3 3 3 6 3 3 2" xfId="12298" xr:uid="{00000000-0005-0000-0000-0000581E0000}"/>
    <cellStyle name="Vírgula 3 3 3 6 3 4" xfId="8014" xr:uid="{00000000-0005-0000-0000-0000591E0000}"/>
    <cellStyle name="Vírgula 3 3 3 6 4" xfId="2526" xr:uid="{00000000-0005-0000-0000-00005A1E0000}"/>
    <cellStyle name="Vírgula 3 3 3 6 4 2" xfId="9042" xr:uid="{00000000-0005-0000-0000-00005B1E0000}"/>
    <cellStyle name="Vírgula 3 3 3 6 5" xfId="4697" xr:uid="{00000000-0005-0000-0000-00005C1E0000}"/>
    <cellStyle name="Vírgula 3 3 3 6 5 2" xfId="11211" xr:uid="{00000000-0005-0000-0000-00005D1E0000}"/>
    <cellStyle name="Vírgula 3 3 3 6 6" xfId="6927" xr:uid="{00000000-0005-0000-0000-00005E1E0000}"/>
    <cellStyle name="Vírgula 3 3 3 7" xfId="726" xr:uid="{00000000-0005-0000-0000-00005F1E0000}"/>
    <cellStyle name="Vírgula 3 3 3 7 2" xfId="1754" xr:uid="{00000000-0005-0000-0000-0000601E0000}"/>
    <cellStyle name="Vírgula 3 3 3 7 2 2" xfId="3812" xr:uid="{00000000-0005-0000-0000-0000611E0000}"/>
    <cellStyle name="Vírgula 3 3 3 7 2 2 2" xfId="10328" xr:uid="{00000000-0005-0000-0000-0000621E0000}"/>
    <cellStyle name="Vírgula 3 3 3 7 2 3" xfId="6042" xr:uid="{00000000-0005-0000-0000-0000631E0000}"/>
    <cellStyle name="Vírgula 3 3 3 7 2 3 2" xfId="12556" xr:uid="{00000000-0005-0000-0000-0000641E0000}"/>
    <cellStyle name="Vírgula 3 3 3 7 2 4" xfId="8272" xr:uid="{00000000-0005-0000-0000-0000651E0000}"/>
    <cellStyle name="Vírgula 3 3 3 7 3" xfId="2784" xr:uid="{00000000-0005-0000-0000-0000661E0000}"/>
    <cellStyle name="Vírgula 3 3 3 7 3 2" xfId="9300" xr:uid="{00000000-0005-0000-0000-0000671E0000}"/>
    <cellStyle name="Vírgula 3 3 3 7 4" xfId="5014" xr:uid="{00000000-0005-0000-0000-0000681E0000}"/>
    <cellStyle name="Vírgula 3 3 3 7 4 2" xfId="11528" xr:uid="{00000000-0005-0000-0000-0000691E0000}"/>
    <cellStyle name="Vírgula 3 3 3 7 5" xfId="7244" xr:uid="{00000000-0005-0000-0000-00006A1E0000}"/>
    <cellStyle name="Vírgula 3 3 3 8" xfId="1240" xr:uid="{00000000-0005-0000-0000-00006B1E0000}"/>
    <cellStyle name="Vírgula 3 3 3 8 2" xfId="3298" xr:uid="{00000000-0005-0000-0000-00006C1E0000}"/>
    <cellStyle name="Vírgula 3 3 3 8 2 2" xfId="9814" xr:uid="{00000000-0005-0000-0000-00006D1E0000}"/>
    <cellStyle name="Vírgula 3 3 3 8 3" xfId="5528" xr:uid="{00000000-0005-0000-0000-00006E1E0000}"/>
    <cellStyle name="Vírgula 3 3 3 8 3 2" xfId="12042" xr:uid="{00000000-0005-0000-0000-00006F1E0000}"/>
    <cellStyle name="Vírgula 3 3 3 8 4" xfId="7758" xr:uid="{00000000-0005-0000-0000-0000701E0000}"/>
    <cellStyle name="Vírgula 3 3 3 9" xfId="2270" xr:uid="{00000000-0005-0000-0000-0000711E0000}"/>
    <cellStyle name="Vírgula 3 3 3 9 2" xfId="8786" xr:uid="{00000000-0005-0000-0000-0000721E0000}"/>
    <cellStyle name="Vírgula 3 3 4" xfId="66" xr:uid="{00000000-0005-0000-0000-0000731E0000}"/>
    <cellStyle name="Vírgula 3 3 4 10" xfId="6593" xr:uid="{00000000-0005-0000-0000-0000741E0000}"/>
    <cellStyle name="Vírgula 3 3 4 2" xfId="140" xr:uid="{00000000-0005-0000-0000-0000751E0000}"/>
    <cellStyle name="Vírgula 3 3 4 2 2" xfId="217" xr:uid="{00000000-0005-0000-0000-0000761E0000}"/>
    <cellStyle name="Vírgula 3 3 4 2 2 2" xfId="345" xr:uid="{00000000-0005-0000-0000-0000771E0000}"/>
    <cellStyle name="Vírgula 3 3 4 2 2 2 2" xfId="688" xr:uid="{00000000-0005-0000-0000-0000781E0000}"/>
    <cellStyle name="Vírgula 3 3 4 2 2 2 2 2" xfId="1212" xr:uid="{00000000-0005-0000-0000-0000791E0000}"/>
    <cellStyle name="Vírgula 3 3 4 2 2 2 2 2 2" xfId="2240" xr:uid="{00000000-0005-0000-0000-00007A1E0000}"/>
    <cellStyle name="Vírgula 3 3 4 2 2 2 2 2 2 2" xfId="4298" xr:uid="{00000000-0005-0000-0000-00007B1E0000}"/>
    <cellStyle name="Vírgula 3 3 4 2 2 2 2 2 2 2 2" xfId="10814" xr:uid="{00000000-0005-0000-0000-00007C1E0000}"/>
    <cellStyle name="Vírgula 3 3 4 2 2 2 2 2 2 3" xfId="6528" xr:uid="{00000000-0005-0000-0000-00007D1E0000}"/>
    <cellStyle name="Vírgula 3 3 4 2 2 2 2 2 2 3 2" xfId="13042" xr:uid="{00000000-0005-0000-0000-00007E1E0000}"/>
    <cellStyle name="Vírgula 3 3 4 2 2 2 2 2 2 4" xfId="8758" xr:uid="{00000000-0005-0000-0000-00007F1E0000}"/>
    <cellStyle name="Vírgula 3 3 4 2 2 2 2 2 3" xfId="3270" xr:uid="{00000000-0005-0000-0000-0000801E0000}"/>
    <cellStyle name="Vírgula 3 3 4 2 2 2 2 2 3 2" xfId="9786" xr:uid="{00000000-0005-0000-0000-0000811E0000}"/>
    <cellStyle name="Vírgula 3 3 4 2 2 2 2 2 4" xfId="5500" xr:uid="{00000000-0005-0000-0000-0000821E0000}"/>
    <cellStyle name="Vírgula 3 3 4 2 2 2 2 2 4 2" xfId="12014" xr:uid="{00000000-0005-0000-0000-0000831E0000}"/>
    <cellStyle name="Vírgula 3 3 4 2 2 2 2 2 5" xfId="7730" xr:uid="{00000000-0005-0000-0000-0000841E0000}"/>
    <cellStyle name="Vírgula 3 3 4 2 2 2 2 3" xfId="1726" xr:uid="{00000000-0005-0000-0000-0000851E0000}"/>
    <cellStyle name="Vírgula 3 3 4 2 2 2 2 3 2" xfId="3784" xr:uid="{00000000-0005-0000-0000-0000861E0000}"/>
    <cellStyle name="Vírgula 3 3 4 2 2 2 2 3 2 2" xfId="10300" xr:uid="{00000000-0005-0000-0000-0000871E0000}"/>
    <cellStyle name="Vírgula 3 3 4 2 2 2 2 3 3" xfId="6014" xr:uid="{00000000-0005-0000-0000-0000881E0000}"/>
    <cellStyle name="Vírgula 3 3 4 2 2 2 2 3 3 2" xfId="12528" xr:uid="{00000000-0005-0000-0000-0000891E0000}"/>
    <cellStyle name="Vírgula 3 3 4 2 2 2 2 3 4" xfId="8244" xr:uid="{00000000-0005-0000-0000-00008A1E0000}"/>
    <cellStyle name="Vírgula 3 3 4 2 2 2 2 4" xfId="2756" xr:uid="{00000000-0005-0000-0000-00008B1E0000}"/>
    <cellStyle name="Vírgula 3 3 4 2 2 2 2 4 2" xfId="9272" xr:uid="{00000000-0005-0000-0000-00008C1E0000}"/>
    <cellStyle name="Vírgula 3 3 4 2 2 2 2 5" xfId="4984" xr:uid="{00000000-0005-0000-0000-00008D1E0000}"/>
    <cellStyle name="Vírgula 3 3 4 2 2 2 2 5 2" xfId="11498" xr:uid="{00000000-0005-0000-0000-00008E1E0000}"/>
    <cellStyle name="Vírgula 3 3 4 2 2 2 2 6" xfId="7214" xr:uid="{00000000-0005-0000-0000-00008F1E0000}"/>
    <cellStyle name="Vírgula 3 3 4 2 2 2 3" xfId="956" xr:uid="{00000000-0005-0000-0000-0000901E0000}"/>
    <cellStyle name="Vírgula 3 3 4 2 2 2 3 2" xfId="1984" xr:uid="{00000000-0005-0000-0000-0000911E0000}"/>
    <cellStyle name="Vírgula 3 3 4 2 2 2 3 2 2" xfId="4042" xr:uid="{00000000-0005-0000-0000-0000921E0000}"/>
    <cellStyle name="Vírgula 3 3 4 2 2 2 3 2 2 2" xfId="10558" xr:uid="{00000000-0005-0000-0000-0000931E0000}"/>
    <cellStyle name="Vírgula 3 3 4 2 2 2 3 2 3" xfId="6272" xr:uid="{00000000-0005-0000-0000-0000941E0000}"/>
    <cellStyle name="Vírgula 3 3 4 2 2 2 3 2 3 2" xfId="12786" xr:uid="{00000000-0005-0000-0000-0000951E0000}"/>
    <cellStyle name="Vírgula 3 3 4 2 2 2 3 2 4" xfId="8502" xr:uid="{00000000-0005-0000-0000-0000961E0000}"/>
    <cellStyle name="Vírgula 3 3 4 2 2 2 3 3" xfId="3014" xr:uid="{00000000-0005-0000-0000-0000971E0000}"/>
    <cellStyle name="Vírgula 3 3 4 2 2 2 3 3 2" xfId="9530" xr:uid="{00000000-0005-0000-0000-0000981E0000}"/>
    <cellStyle name="Vírgula 3 3 4 2 2 2 3 4" xfId="5244" xr:uid="{00000000-0005-0000-0000-0000991E0000}"/>
    <cellStyle name="Vírgula 3 3 4 2 2 2 3 4 2" xfId="11758" xr:uid="{00000000-0005-0000-0000-00009A1E0000}"/>
    <cellStyle name="Vírgula 3 3 4 2 2 2 3 5" xfId="7474" xr:uid="{00000000-0005-0000-0000-00009B1E0000}"/>
    <cellStyle name="Vírgula 3 3 4 2 2 2 4" xfId="1470" xr:uid="{00000000-0005-0000-0000-00009C1E0000}"/>
    <cellStyle name="Vírgula 3 3 4 2 2 2 4 2" xfId="3528" xr:uid="{00000000-0005-0000-0000-00009D1E0000}"/>
    <cellStyle name="Vírgula 3 3 4 2 2 2 4 2 2" xfId="10044" xr:uid="{00000000-0005-0000-0000-00009E1E0000}"/>
    <cellStyle name="Vírgula 3 3 4 2 2 2 4 3" xfId="5758" xr:uid="{00000000-0005-0000-0000-00009F1E0000}"/>
    <cellStyle name="Vírgula 3 3 4 2 2 2 4 3 2" xfId="12272" xr:uid="{00000000-0005-0000-0000-0000A01E0000}"/>
    <cellStyle name="Vírgula 3 3 4 2 2 2 4 4" xfId="7988" xr:uid="{00000000-0005-0000-0000-0000A11E0000}"/>
    <cellStyle name="Vírgula 3 3 4 2 2 2 5" xfId="2500" xr:uid="{00000000-0005-0000-0000-0000A21E0000}"/>
    <cellStyle name="Vírgula 3 3 4 2 2 2 5 2" xfId="9016" xr:uid="{00000000-0005-0000-0000-0000A31E0000}"/>
    <cellStyle name="Vírgula 3 3 4 2 2 2 6" xfId="4642" xr:uid="{00000000-0005-0000-0000-0000A41E0000}"/>
    <cellStyle name="Vírgula 3 3 4 2 2 2 6 2" xfId="11156" xr:uid="{00000000-0005-0000-0000-0000A51E0000}"/>
    <cellStyle name="Vírgula 3 3 4 2 2 2 7" xfId="6872" xr:uid="{00000000-0005-0000-0000-0000A61E0000}"/>
    <cellStyle name="Vírgula 3 3 4 2 2 3" xfId="560" xr:uid="{00000000-0005-0000-0000-0000A71E0000}"/>
    <cellStyle name="Vírgula 3 3 4 2 2 3 2" xfId="1084" xr:uid="{00000000-0005-0000-0000-0000A81E0000}"/>
    <cellStyle name="Vírgula 3 3 4 2 2 3 2 2" xfId="2112" xr:uid="{00000000-0005-0000-0000-0000A91E0000}"/>
    <cellStyle name="Vírgula 3 3 4 2 2 3 2 2 2" xfId="4170" xr:uid="{00000000-0005-0000-0000-0000AA1E0000}"/>
    <cellStyle name="Vírgula 3 3 4 2 2 3 2 2 2 2" xfId="10686" xr:uid="{00000000-0005-0000-0000-0000AB1E0000}"/>
    <cellStyle name="Vírgula 3 3 4 2 2 3 2 2 3" xfId="6400" xr:uid="{00000000-0005-0000-0000-0000AC1E0000}"/>
    <cellStyle name="Vírgula 3 3 4 2 2 3 2 2 3 2" xfId="12914" xr:uid="{00000000-0005-0000-0000-0000AD1E0000}"/>
    <cellStyle name="Vírgula 3 3 4 2 2 3 2 2 4" xfId="8630" xr:uid="{00000000-0005-0000-0000-0000AE1E0000}"/>
    <cellStyle name="Vírgula 3 3 4 2 2 3 2 3" xfId="3142" xr:uid="{00000000-0005-0000-0000-0000AF1E0000}"/>
    <cellStyle name="Vírgula 3 3 4 2 2 3 2 3 2" xfId="9658" xr:uid="{00000000-0005-0000-0000-0000B01E0000}"/>
    <cellStyle name="Vírgula 3 3 4 2 2 3 2 4" xfId="5372" xr:uid="{00000000-0005-0000-0000-0000B11E0000}"/>
    <cellStyle name="Vírgula 3 3 4 2 2 3 2 4 2" xfId="11886" xr:uid="{00000000-0005-0000-0000-0000B21E0000}"/>
    <cellStyle name="Vírgula 3 3 4 2 2 3 2 5" xfId="7602" xr:uid="{00000000-0005-0000-0000-0000B31E0000}"/>
    <cellStyle name="Vírgula 3 3 4 2 2 3 3" xfId="1598" xr:uid="{00000000-0005-0000-0000-0000B41E0000}"/>
    <cellStyle name="Vírgula 3 3 4 2 2 3 3 2" xfId="3656" xr:uid="{00000000-0005-0000-0000-0000B51E0000}"/>
    <cellStyle name="Vírgula 3 3 4 2 2 3 3 2 2" xfId="10172" xr:uid="{00000000-0005-0000-0000-0000B61E0000}"/>
    <cellStyle name="Vírgula 3 3 4 2 2 3 3 3" xfId="5886" xr:uid="{00000000-0005-0000-0000-0000B71E0000}"/>
    <cellStyle name="Vírgula 3 3 4 2 2 3 3 3 2" xfId="12400" xr:uid="{00000000-0005-0000-0000-0000B81E0000}"/>
    <cellStyle name="Vírgula 3 3 4 2 2 3 3 4" xfId="8116" xr:uid="{00000000-0005-0000-0000-0000B91E0000}"/>
    <cellStyle name="Vírgula 3 3 4 2 2 3 4" xfId="2628" xr:uid="{00000000-0005-0000-0000-0000BA1E0000}"/>
    <cellStyle name="Vírgula 3 3 4 2 2 3 4 2" xfId="9144" xr:uid="{00000000-0005-0000-0000-0000BB1E0000}"/>
    <cellStyle name="Vírgula 3 3 4 2 2 3 5" xfId="4856" xr:uid="{00000000-0005-0000-0000-0000BC1E0000}"/>
    <cellStyle name="Vírgula 3 3 4 2 2 3 5 2" xfId="11370" xr:uid="{00000000-0005-0000-0000-0000BD1E0000}"/>
    <cellStyle name="Vírgula 3 3 4 2 2 3 6" xfId="7086" xr:uid="{00000000-0005-0000-0000-0000BE1E0000}"/>
    <cellStyle name="Vírgula 3 3 4 2 2 4" xfId="828" xr:uid="{00000000-0005-0000-0000-0000BF1E0000}"/>
    <cellStyle name="Vírgula 3 3 4 2 2 4 2" xfId="1856" xr:uid="{00000000-0005-0000-0000-0000C01E0000}"/>
    <cellStyle name="Vírgula 3 3 4 2 2 4 2 2" xfId="3914" xr:uid="{00000000-0005-0000-0000-0000C11E0000}"/>
    <cellStyle name="Vírgula 3 3 4 2 2 4 2 2 2" xfId="10430" xr:uid="{00000000-0005-0000-0000-0000C21E0000}"/>
    <cellStyle name="Vírgula 3 3 4 2 2 4 2 3" xfId="6144" xr:uid="{00000000-0005-0000-0000-0000C31E0000}"/>
    <cellStyle name="Vírgula 3 3 4 2 2 4 2 3 2" xfId="12658" xr:uid="{00000000-0005-0000-0000-0000C41E0000}"/>
    <cellStyle name="Vírgula 3 3 4 2 2 4 2 4" xfId="8374" xr:uid="{00000000-0005-0000-0000-0000C51E0000}"/>
    <cellStyle name="Vírgula 3 3 4 2 2 4 3" xfId="2886" xr:uid="{00000000-0005-0000-0000-0000C61E0000}"/>
    <cellStyle name="Vírgula 3 3 4 2 2 4 3 2" xfId="9402" xr:uid="{00000000-0005-0000-0000-0000C71E0000}"/>
    <cellStyle name="Vírgula 3 3 4 2 2 4 4" xfId="5116" xr:uid="{00000000-0005-0000-0000-0000C81E0000}"/>
    <cellStyle name="Vírgula 3 3 4 2 2 4 4 2" xfId="11630" xr:uid="{00000000-0005-0000-0000-0000C91E0000}"/>
    <cellStyle name="Vírgula 3 3 4 2 2 4 5" xfId="7346" xr:uid="{00000000-0005-0000-0000-0000CA1E0000}"/>
    <cellStyle name="Vírgula 3 3 4 2 2 5" xfId="1342" xr:uid="{00000000-0005-0000-0000-0000CB1E0000}"/>
    <cellStyle name="Vírgula 3 3 4 2 2 5 2" xfId="3400" xr:uid="{00000000-0005-0000-0000-0000CC1E0000}"/>
    <cellStyle name="Vírgula 3 3 4 2 2 5 2 2" xfId="9916" xr:uid="{00000000-0005-0000-0000-0000CD1E0000}"/>
    <cellStyle name="Vírgula 3 3 4 2 2 5 3" xfId="5630" xr:uid="{00000000-0005-0000-0000-0000CE1E0000}"/>
    <cellStyle name="Vírgula 3 3 4 2 2 5 3 2" xfId="12144" xr:uid="{00000000-0005-0000-0000-0000CF1E0000}"/>
    <cellStyle name="Vírgula 3 3 4 2 2 5 4" xfId="7860" xr:uid="{00000000-0005-0000-0000-0000D01E0000}"/>
    <cellStyle name="Vírgula 3 3 4 2 2 6" xfId="2372" xr:uid="{00000000-0005-0000-0000-0000D11E0000}"/>
    <cellStyle name="Vírgula 3 3 4 2 2 6 2" xfId="8888" xr:uid="{00000000-0005-0000-0000-0000D21E0000}"/>
    <cellStyle name="Vírgula 3 3 4 2 2 7" xfId="4514" xr:uid="{00000000-0005-0000-0000-0000D31E0000}"/>
    <cellStyle name="Vírgula 3 3 4 2 2 7 2" xfId="11028" xr:uid="{00000000-0005-0000-0000-0000D41E0000}"/>
    <cellStyle name="Vírgula 3 3 4 2 2 8" xfId="6744" xr:uid="{00000000-0005-0000-0000-0000D51E0000}"/>
    <cellStyle name="Vírgula 3 3 4 2 3" xfId="281" xr:uid="{00000000-0005-0000-0000-0000D61E0000}"/>
    <cellStyle name="Vírgula 3 3 4 2 3 2" xfId="624" xr:uid="{00000000-0005-0000-0000-0000D71E0000}"/>
    <cellStyle name="Vírgula 3 3 4 2 3 2 2" xfId="1148" xr:uid="{00000000-0005-0000-0000-0000D81E0000}"/>
    <cellStyle name="Vírgula 3 3 4 2 3 2 2 2" xfId="2176" xr:uid="{00000000-0005-0000-0000-0000D91E0000}"/>
    <cellStyle name="Vírgula 3 3 4 2 3 2 2 2 2" xfId="4234" xr:uid="{00000000-0005-0000-0000-0000DA1E0000}"/>
    <cellStyle name="Vírgula 3 3 4 2 3 2 2 2 2 2" xfId="10750" xr:uid="{00000000-0005-0000-0000-0000DB1E0000}"/>
    <cellStyle name="Vírgula 3 3 4 2 3 2 2 2 3" xfId="6464" xr:uid="{00000000-0005-0000-0000-0000DC1E0000}"/>
    <cellStyle name="Vírgula 3 3 4 2 3 2 2 2 3 2" xfId="12978" xr:uid="{00000000-0005-0000-0000-0000DD1E0000}"/>
    <cellStyle name="Vírgula 3 3 4 2 3 2 2 2 4" xfId="8694" xr:uid="{00000000-0005-0000-0000-0000DE1E0000}"/>
    <cellStyle name="Vírgula 3 3 4 2 3 2 2 3" xfId="3206" xr:uid="{00000000-0005-0000-0000-0000DF1E0000}"/>
    <cellStyle name="Vírgula 3 3 4 2 3 2 2 3 2" xfId="9722" xr:uid="{00000000-0005-0000-0000-0000E01E0000}"/>
    <cellStyle name="Vírgula 3 3 4 2 3 2 2 4" xfId="5436" xr:uid="{00000000-0005-0000-0000-0000E11E0000}"/>
    <cellStyle name="Vírgula 3 3 4 2 3 2 2 4 2" xfId="11950" xr:uid="{00000000-0005-0000-0000-0000E21E0000}"/>
    <cellStyle name="Vírgula 3 3 4 2 3 2 2 5" xfId="7666" xr:uid="{00000000-0005-0000-0000-0000E31E0000}"/>
    <cellStyle name="Vírgula 3 3 4 2 3 2 3" xfId="1662" xr:uid="{00000000-0005-0000-0000-0000E41E0000}"/>
    <cellStyle name="Vírgula 3 3 4 2 3 2 3 2" xfId="3720" xr:uid="{00000000-0005-0000-0000-0000E51E0000}"/>
    <cellStyle name="Vírgula 3 3 4 2 3 2 3 2 2" xfId="10236" xr:uid="{00000000-0005-0000-0000-0000E61E0000}"/>
    <cellStyle name="Vírgula 3 3 4 2 3 2 3 3" xfId="5950" xr:uid="{00000000-0005-0000-0000-0000E71E0000}"/>
    <cellStyle name="Vírgula 3 3 4 2 3 2 3 3 2" xfId="12464" xr:uid="{00000000-0005-0000-0000-0000E81E0000}"/>
    <cellStyle name="Vírgula 3 3 4 2 3 2 3 4" xfId="8180" xr:uid="{00000000-0005-0000-0000-0000E91E0000}"/>
    <cellStyle name="Vírgula 3 3 4 2 3 2 4" xfId="2692" xr:uid="{00000000-0005-0000-0000-0000EA1E0000}"/>
    <cellStyle name="Vírgula 3 3 4 2 3 2 4 2" xfId="9208" xr:uid="{00000000-0005-0000-0000-0000EB1E0000}"/>
    <cellStyle name="Vírgula 3 3 4 2 3 2 5" xfId="4920" xr:uid="{00000000-0005-0000-0000-0000EC1E0000}"/>
    <cellStyle name="Vírgula 3 3 4 2 3 2 5 2" xfId="11434" xr:uid="{00000000-0005-0000-0000-0000ED1E0000}"/>
    <cellStyle name="Vírgula 3 3 4 2 3 2 6" xfId="7150" xr:uid="{00000000-0005-0000-0000-0000EE1E0000}"/>
    <cellStyle name="Vírgula 3 3 4 2 3 3" xfId="892" xr:uid="{00000000-0005-0000-0000-0000EF1E0000}"/>
    <cellStyle name="Vírgula 3 3 4 2 3 3 2" xfId="1920" xr:uid="{00000000-0005-0000-0000-0000F01E0000}"/>
    <cellStyle name="Vírgula 3 3 4 2 3 3 2 2" xfId="3978" xr:uid="{00000000-0005-0000-0000-0000F11E0000}"/>
    <cellStyle name="Vírgula 3 3 4 2 3 3 2 2 2" xfId="10494" xr:uid="{00000000-0005-0000-0000-0000F21E0000}"/>
    <cellStyle name="Vírgula 3 3 4 2 3 3 2 3" xfId="6208" xr:uid="{00000000-0005-0000-0000-0000F31E0000}"/>
    <cellStyle name="Vírgula 3 3 4 2 3 3 2 3 2" xfId="12722" xr:uid="{00000000-0005-0000-0000-0000F41E0000}"/>
    <cellStyle name="Vírgula 3 3 4 2 3 3 2 4" xfId="8438" xr:uid="{00000000-0005-0000-0000-0000F51E0000}"/>
    <cellStyle name="Vírgula 3 3 4 2 3 3 3" xfId="2950" xr:uid="{00000000-0005-0000-0000-0000F61E0000}"/>
    <cellStyle name="Vírgula 3 3 4 2 3 3 3 2" xfId="9466" xr:uid="{00000000-0005-0000-0000-0000F71E0000}"/>
    <cellStyle name="Vírgula 3 3 4 2 3 3 4" xfId="5180" xr:uid="{00000000-0005-0000-0000-0000F81E0000}"/>
    <cellStyle name="Vírgula 3 3 4 2 3 3 4 2" xfId="11694" xr:uid="{00000000-0005-0000-0000-0000F91E0000}"/>
    <cellStyle name="Vírgula 3 3 4 2 3 3 5" xfId="7410" xr:uid="{00000000-0005-0000-0000-0000FA1E0000}"/>
    <cellStyle name="Vírgula 3 3 4 2 3 4" xfId="1406" xr:uid="{00000000-0005-0000-0000-0000FB1E0000}"/>
    <cellStyle name="Vírgula 3 3 4 2 3 4 2" xfId="3464" xr:uid="{00000000-0005-0000-0000-0000FC1E0000}"/>
    <cellStyle name="Vírgula 3 3 4 2 3 4 2 2" xfId="9980" xr:uid="{00000000-0005-0000-0000-0000FD1E0000}"/>
    <cellStyle name="Vírgula 3 3 4 2 3 4 3" xfId="5694" xr:uid="{00000000-0005-0000-0000-0000FE1E0000}"/>
    <cellStyle name="Vírgula 3 3 4 2 3 4 3 2" xfId="12208" xr:uid="{00000000-0005-0000-0000-0000FF1E0000}"/>
    <cellStyle name="Vírgula 3 3 4 2 3 4 4" xfId="7924" xr:uid="{00000000-0005-0000-0000-0000001F0000}"/>
    <cellStyle name="Vírgula 3 3 4 2 3 5" xfId="2436" xr:uid="{00000000-0005-0000-0000-0000011F0000}"/>
    <cellStyle name="Vírgula 3 3 4 2 3 5 2" xfId="8952" xr:uid="{00000000-0005-0000-0000-0000021F0000}"/>
    <cellStyle name="Vírgula 3 3 4 2 3 6" xfId="4578" xr:uid="{00000000-0005-0000-0000-0000031F0000}"/>
    <cellStyle name="Vírgula 3 3 4 2 3 6 2" xfId="11092" xr:uid="{00000000-0005-0000-0000-0000041F0000}"/>
    <cellStyle name="Vírgula 3 3 4 2 3 7" xfId="6808" xr:uid="{00000000-0005-0000-0000-0000051F0000}"/>
    <cellStyle name="Vírgula 3 3 4 2 4" xfId="483" xr:uid="{00000000-0005-0000-0000-0000061F0000}"/>
    <cellStyle name="Vírgula 3 3 4 2 4 2" xfId="1020" xr:uid="{00000000-0005-0000-0000-0000071F0000}"/>
    <cellStyle name="Vírgula 3 3 4 2 4 2 2" xfId="2048" xr:uid="{00000000-0005-0000-0000-0000081F0000}"/>
    <cellStyle name="Vírgula 3 3 4 2 4 2 2 2" xfId="4106" xr:uid="{00000000-0005-0000-0000-0000091F0000}"/>
    <cellStyle name="Vírgula 3 3 4 2 4 2 2 2 2" xfId="10622" xr:uid="{00000000-0005-0000-0000-00000A1F0000}"/>
    <cellStyle name="Vírgula 3 3 4 2 4 2 2 3" xfId="6336" xr:uid="{00000000-0005-0000-0000-00000B1F0000}"/>
    <cellStyle name="Vírgula 3 3 4 2 4 2 2 3 2" xfId="12850" xr:uid="{00000000-0005-0000-0000-00000C1F0000}"/>
    <cellStyle name="Vírgula 3 3 4 2 4 2 2 4" xfId="8566" xr:uid="{00000000-0005-0000-0000-00000D1F0000}"/>
    <cellStyle name="Vírgula 3 3 4 2 4 2 3" xfId="3078" xr:uid="{00000000-0005-0000-0000-00000E1F0000}"/>
    <cellStyle name="Vírgula 3 3 4 2 4 2 3 2" xfId="9594" xr:uid="{00000000-0005-0000-0000-00000F1F0000}"/>
    <cellStyle name="Vírgula 3 3 4 2 4 2 4" xfId="5308" xr:uid="{00000000-0005-0000-0000-0000101F0000}"/>
    <cellStyle name="Vírgula 3 3 4 2 4 2 4 2" xfId="11822" xr:uid="{00000000-0005-0000-0000-0000111F0000}"/>
    <cellStyle name="Vírgula 3 3 4 2 4 2 5" xfId="7538" xr:uid="{00000000-0005-0000-0000-0000121F0000}"/>
    <cellStyle name="Vírgula 3 3 4 2 4 3" xfId="1534" xr:uid="{00000000-0005-0000-0000-0000131F0000}"/>
    <cellStyle name="Vírgula 3 3 4 2 4 3 2" xfId="3592" xr:uid="{00000000-0005-0000-0000-0000141F0000}"/>
    <cellStyle name="Vírgula 3 3 4 2 4 3 2 2" xfId="10108" xr:uid="{00000000-0005-0000-0000-0000151F0000}"/>
    <cellStyle name="Vírgula 3 3 4 2 4 3 3" xfId="5822" xr:uid="{00000000-0005-0000-0000-0000161F0000}"/>
    <cellStyle name="Vírgula 3 3 4 2 4 3 3 2" xfId="12336" xr:uid="{00000000-0005-0000-0000-0000171F0000}"/>
    <cellStyle name="Vírgula 3 3 4 2 4 3 4" xfId="8052" xr:uid="{00000000-0005-0000-0000-0000181F0000}"/>
    <cellStyle name="Vírgula 3 3 4 2 4 4" xfId="2564" xr:uid="{00000000-0005-0000-0000-0000191F0000}"/>
    <cellStyle name="Vírgula 3 3 4 2 4 4 2" xfId="9080" xr:uid="{00000000-0005-0000-0000-00001A1F0000}"/>
    <cellStyle name="Vírgula 3 3 4 2 4 5" xfId="4779" xr:uid="{00000000-0005-0000-0000-00001B1F0000}"/>
    <cellStyle name="Vírgula 3 3 4 2 4 5 2" xfId="11293" xr:uid="{00000000-0005-0000-0000-00001C1F0000}"/>
    <cellStyle name="Vírgula 3 3 4 2 4 6" xfId="7009" xr:uid="{00000000-0005-0000-0000-00001D1F0000}"/>
    <cellStyle name="Vírgula 3 3 4 2 5" xfId="764" xr:uid="{00000000-0005-0000-0000-00001E1F0000}"/>
    <cellStyle name="Vírgula 3 3 4 2 5 2" xfId="1792" xr:uid="{00000000-0005-0000-0000-00001F1F0000}"/>
    <cellStyle name="Vírgula 3 3 4 2 5 2 2" xfId="3850" xr:uid="{00000000-0005-0000-0000-0000201F0000}"/>
    <cellStyle name="Vírgula 3 3 4 2 5 2 2 2" xfId="10366" xr:uid="{00000000-0005-0000-0000-0000211F0000}"/>
    <cellStyle name="Vírgula 3 3 4 2 5 2 3" xfId="6080" xr:uid="{00000000-0005-0000-0000-0000221F0000}"/>
    <cellStyle name="Vírgula 3 3 4 2 5 2 3 2" xfId="12594" xr:uid="{00000000-0005-0000-0000-0000231F0000}"/>
    <cellStyle name="Vírgula 3 3 4 2 5 2 4" xfId="8310" xr:uid="{00000000-0005-0000-0000-0000241F0000}"/>
    <cellStyle name="Vírgula 3 3 4 2 5 3" xfId="2822" xr:uid="{00000000-0005-0000-0000-0000251F0000}"/>
    <cellStyle name="Vírgula 3 3 4 2 5 3 2" xfId="9338" xr:uid="{00000000-0005-0000-0000-0000261F0000}"/>
    <cellStyle name="Vírgula 3 3 4 2 5 4" xfId="5052" xr:uid="{00000000-0005-0000-0000-0000271F0000}"/>
    <cellStyle name="Vírgula 3 3 4 2 5 4 2" xfId="11566" xr:uid="{00000000-0005-0000-0000-0000281F0000}"/>
    <cellStyle name="Vírgula 3 3 4 2 5 5" xfId="7282" xr:uid="{00000000-0005-0000-0000-0000291F0000}"/>
    <cellStyle name="Vírgula 3 3 4 2 6" xfId="1278" xr:uid="{00000000-0005-0000-0000-00002A1F0000}"/>
    <cellStyle name="Vírgula 3 3 4 2 6 2" xfId="3336" xr:uid="{00000000-0005-0000-0000-00002B1F0000}"/>
    <cellStyle name="Vírgula 3 3 4 2 6 2 2" xfId="9852" xr:uid="{00000000-0005-0000-0000-00002C1F0000}"/>
    <cellStyle name="Vírgula 3 3 4 2 6 3" xfId="5566" xr:uid="{00000000-0005-0000-0000-00002D1F0000}"/>
    <cellStyle name="Vírgula 3 3 4 2 6 3 2" xfId="12080" xr:uid="{00000000-0005-0000-0000-00002E1F0000}"/>
    <cellStyle name="Vírgula 3 3 4 2 6 4" xfId="7796" xr:uid="{00000000-0005-0000-0000-00002F1F0000}"/>
    <cellStyle name="Vírgula 3 3 4 2 7" xfId="2308" xr:uid="{00000000-0005-0000-0000-0000301F0000}"/>
    <cellStyle name="Vírgula 3 3 4 2 7 2" xfId="8824" xr:uid="{00000000-0005-0000-0000-0000311F0000}"/>
    <cellStyle name="Vírgula 3 3 4 2 8" xfId="4437" xr:uid="{00000000-0005-0000-0000-0000321F0000}"/>
    <cellStyle name="Vírgula 3 3 4 2 8 2" xfId="10951" xr:uid="{00000000-0005-0000-0000-0000331F0000}"/>
    <cellStyle name="Vírgula 3 3 4 2 9" xfId="6667" xr:uid="{00000000-0005-0000-0000-0000341F0000}"/>
    <cellStyle name="Vírgula 3 3 4 3" xfId="185" xr:uid="{00000000-0005-0000-0000-0000351F0000}"/>
    <cellStyle name="Vírgula 3 3 4 3 2" xfId="313" xr:uid="{00000000-0005-0000-0000-0000361F0000}"/>
    <cellStyle name="Vírgula 3 3 4 3 2 2" xfId="656" xr:uid="{00000000-0005-0000-0000-0000371F0000}"/>
    <cellStyle name="Vírgula 3 3 4 3 2 2 2" xfId="1180" xr:uid="{00000000-0005-0000-0000-0000381F0000}"/>
    <cellStyle name="Vírgula 3 3 4 3 2 2 2 2" xfId="2208" xr:uid="{00000000-0005-0000-0000-0000391F0000}"/>
    <cellStyle name="Vírgula 3 3 4 3 2 2 2 2 2" xfId="4266" xr:uid="{00000000-0005-0000-0000-00003A1F0000}"/>
    <cellStyle name="Vírgula 3 3 4 3 2 2 2 2 2 2" xfId="10782" xr:uid="{00000000-0005-0000-0000-00003B1F0000}"/>
    <cellStyle name="Vírgula 3 3 4 3 2 2 2 2 3" xfId="6496" xr:uid="{00000000-0005-0000-0000-00003C1F0000}"/>
    <cellStyle name="Vírgula 3 3 4 3 2 2 2 2 3 2" xfId="13010" xr:uid="{00000000-0005-0000-0000-00003D1F0000}"/>
    <cellStyle name="Vírgula 3 3 4 3 2 2 2 2 4" xfId="8726" xr:uid="{00000000-0005-0000-0000-00003E1F0000}"/>
    <cellStyle name="Vírgula 3 3 4 3 2 2 2 3" xfId="3238" xr:uid="{00000000-0005-0000-0000-00003F1F0000}"/>
    <cellStyle name="Vírgula 3 3 4 3 2 2 2 3 2" xfId="9754" xr:uid="{00000000-0005-0000-0000-0000401F0000}"/>
    <cellStyle name="Vírgula 3 3 4 3 2 2 2 4" xfId="5468" xr:uid="{00000000-0005-0000-0000-0000411F0000}"/>
    <cellStyle name="Vírgula 3 3 4 3 2 2 2 4 2" xfId="11982" xr:uid="{00000000-0005-0000-0000-0000421F0000}"/>
    <cellStyle name="Vírgula 3 3 4 3 2 2 2 5" xfId="7698" xr:uid="{00000000-0005-0000-0000-0000431F0000}"/>
    <cellStyle name="Vírgula 3 3 4 3 2 2 3" xfId="1694" xr:uid="{00000000-0005-0000-0000-0000441F0000}"/>
    <cellStyle name="Vírgula 3 3 4 3 2 2 3 2" xfId="3752" xr:uid="{00000000-0005-0000-0000-0000451F0000}"/>
    <cellStyle name="Vírgula 3 3 4 3 2 2 3 2 2" xfId="10268" xr:uid="{00000000-0005-0000-0000-0000461F0000}"/>
    <cellStyle name="Vírgula 3 3 4 3 2 2 3 3" xfId="5982" xr:uid="{00000000-0005-0000-0000-0000471F0000}"/>
    <cellStyle name="Vírgula 3 3 4 3 2 2 3 3 2" xfId="12496" xr:uid="{00000000-0005-0000-0000-0000481F0000}"/>
    <cellStyle name="Vírgula 3 3 4 3 2 2 3 4" xfId="8212" xr:uid="{00000000-0005-0000-0000-0000491F0000}"/>
    <cellStyle name="Vírgula 3 3 4 3 2 2 4" xfId="2724" xr:uid="{00000000-0005-0000-0000-00004A1F0000}"/>
    <cellStyle name="Vírgula 3 3 4 3 2 2 4 2" xfId="9240" xr:uid="{00000000-0005-0000-0000-00004B1F0000}"/>
    <cellStyle name="Vírgula 3 3 4 3 2 2 5" xfId="4952" xr:uid="{00000000-0005-0000-0000-00004C1F0000}"/>
    <cellStyle name="Vírgula 3 3 4 3 2 2 5 2" xfId="11466" xr:uid="{00000000-0005-0000-0000-00004D1F0000}"/>
    <cellStyle name="Vírgula 3 3 4 3 2 2 6" xfId="7182" xr:uid="{00000000-0005-0000-0000-00004E1F0000}"/>
    <cellStyle name="Vírgula 3 3 4 3 2 3" xfId="924" xr:uid="{00000000-0005-0000-0000-00004F1F0000}"/>
    <cellStyle name="Vírgula 3 3 4 3 2 3 2" xfId="1952" xr:uid="{00000000-0005-0000-0000-0000501F0000}"/>
    <cellStyle name="Vírgula 3 3 4 3 2 3 2 2" xfId="4010" xr:uid="{00000000-0005-0000-0000-0000511F0000}"/>
    <cellStyle name="Vírgula 3 3 4 3 2 3 2 2 2" xfId="10526" xr:uid="{00000000-0005-0000-0000-0000521F0000}"/>
    <cellStyle name="Vírgula 3 3 4 3 2 3 2 3" xfId="6240" xr:uid="{00000000-0005-0000-0000-0000531F0000}"/>
    <cellStyle name="Vírgula 3 3 4 3 2 3 2 3 2" xfId="12754" xr:uid="{00000000-0005-0000-0000-0000541F0000}"/>
    <cellStyle name="Vírgula 3 3 4 3 2 3 2 4" xfId="8470" xr:uid="{00000000-0005-0000-0000-0000551F0000}"/>
    <cellStyle name="Vírgula 3 3 4 3 2 3 3" xfId="2982" xr:uid="{00000000-0005-0000-0000-0000561F0000}"/>
    <cellStyle name="Vírgula 3 3 4 3 2 3 3 2" xfId="9498" xr:uid="{00000000-0005-0000-0000-0000571F0000}"/>
    <cellStyle name="Vírgula 3 3 4 3 2 3 4" xfId="5212" xr:uid="{00000000-0005-0000-0000-0000581F0000}"/>
    <cellStyle name="Vírgula 3 3 4 3 2 3 4 2" xfId="11726" xr:uid="{00000000-0005-0000-0000-0000591F0000}"/>
    <cellStyle name="Vírgula 3 3 4 3 2 3 5" xfId="7442" xr:uid="{00000000-0005-0000-0000-00005A1F0000}"/>
    <cellStyle name="Vírgula 3 3 4 3 2 4" xfId="1438" xr:uid="{00000000-0005-0000-0000-00005B1F0000}"/>
    <cellStyle name="Vírgula 3 3 4 3 2 4 2" xfId="3496" xr:uid="{00000000-0005-0000-0000-00005C1F0000}"/>
    <cellStyle name="Vírgula 3 3 4 3 2 4 2 2" xfId="10012" xr:uid="{00000000-0005-0000-0000-00005D1F0000}"/>
    <cellStyle name="Vírgula 3 3 4 3 2 4 3" xfId="5726" xr:uid="{00000000-0005-0000-0000-00005E1F0000}"/>
    <cellStyle name="Vírgula 3 3 4 3 2 4 3 2" xfId="12240" xr:uid="{00000000-0005-0000-0000-00005F1F0000}"/>
    <cellStyle name="Vírgula 3 3 4 3 2 4 4" xfId="7956" xr:uid="{00000000-0005-0000-0000-0000601F0000}"/>
    <cellStyle name="Vírgula 3 3 4 3 2 5" xfId="2468" xr:uid="{00000000-0005-0000-0000-0000611F0000}"/>
    <cellStyle name="Vírgula 3 3 4 3 2 5 2" xfId="8984" xr:uid="{00000000-0005-0000-0000-0000621F0000}"/>
    <cellStyle name="Vírgula 3 3 4 3 2 6" xfId="4610" xr:uid="{00000000-0005-0000-0000-0000631F0000}"/>
    <cellStyle name="Vírgula 3 3 4 3 2 6 2" xfId="11124" xr:uid="{00000000-0005-0000-0000-0000641F0000}"/>
    <cellStyle name="Vírgula 3 3 4 3 2 7" xfId="6840" xr:uid="{00000000-0005-0000-0000-0000651F0000}"/>
    <cellStyle name="Vírgula 3 3 4 3 3" xfId="528" xr:uid="{00000000-0005-0000-0000-0000661F0000}"/>
    <cellStyle name="Vírgula 3 3 4 3 3 2" xfId="1052" xr:uid="{00000000-0005-0000-0000-0000671F0000}"/>
    <cellStyle name="Vírgula 3 3 4 3 3 2 2" xfId="2080" xr:uid="{00000000-0005-0000-0000-0000681F0000}"/>
    <cellStyle name="Vírgula 3 3 4 3 3 2 2 2" xfId="4138" xr:uid="{00000000-0005-0000-0000-0000691F0000}"/>
    <cellStyle name="Vírgula 3 3 4 3 3 2 2 2 2" xfId="10654" xr:uid="{00000000-0005-0000-0000-00006A1F0000}"/>
    <cellStyle name="Vírgula 3 3 4 3 3 2 2 3" xfId="6368" xr:uid="{00000000-0005-0000-0000-00006B1F0000}"/>
    <cellStyle name="Vírgula 3 3 4 3 3 2 2 3 2" xfId="12882" xr:uid="{00000000-0005-0000-0000-00006C1F0000}"/>
    <cellStyle name="Vírgula 3 3 4 3 3 2 2 4" xfId="8598" xr:uid="{00000000-0005-0000-0000-00006D1F0000}"/>
    <cellStyle name="Vírgula 3 3 4 3 3 2 3" xfId="3110" xr:uid="{00000000-0005-0000-0000-00006E1F0000}"/>
    <cellStyle name="Vírgula 3 3 4 3 3 2 3 2" xfId="9626" xr:uid="{00000000-0005-0000-0000-00006F1F0000}"/>
    <cellStyle name="Vírgula 3 3 4 3 3 2 4" xfId="5340" xr:uid="{00000000-0005-0000-0000-0000701F0000}"/>
    <cellStyle name="Vírgula 3 3 4 3 3 2 4 2" xfId="11854" xr:uid="{00000000-0005-0000-0000-0000711F0000}"/>
    <cellStyle name="Vírgula 3 3 4 3 3 2 5" xfId="7570" xr:uid="{00000000-0005-0000-0000-0000721F0000}"/>
    <cellStyle name="Vírgula 3 3 4 3 3 3" xfId="1566" xr:uid="{00000000-0005-0000-0000-0000731F0000}"/>
    <cellStyle name="Vírgula 3 3 4 3 3 3 2" xfId="3624" xr:uid="{00000000-0005-0000-0000-0000741F0000}"/>
    <cellStyle name="Vírgula 3 3 4 3 3 3 2 2" xfId="10140" xr:uid="{00000000-0005-0000-0000-0000751F0000}"/>
    <cellStyle name="Vírgula 3 3 4 3 3 3 3" xfId="5854" xr:uid="{00000000-0005-0000-0000-0000761F0000}"/>
    <cellStyle name="Vírgula 3 3 4 3 3 3 3 2" xfId="12368" xr:uid="{00000000-0005-0000-0000-0000771F0000}"/>
    <cellStyle name="Vírgula 3 3 4 3 3 3 4" xfId="8084" xr:uid="{00000000-0005-0000-0000-0000781F0000}"/>
    <cellStyle name="Vírgula 3 3 4 3 3 4" xfId="2596" xr:uid="{00000000-0005-0000-0000-0000791F0000}"/>
    <cellStyle name="Vírgula 3 3 4 3 3 4 2" xfId="9112" xr:uid="{00000000-0005-0000-0000-00007A1F0000}"/>
    <cellStyle name="Vírgula 3 3 4 3 3 5" xfId="4824" xr:uid="{00000000-0005-0000-0000-00007B1F0000}"/>
    <cellStyle name="Vírgula 3 3 4 3 3 5 2" xfId="11338" xr:uid="{00000000-0005-0000-0000-00007C1F0000}"/>
    <cellStyle name="Vírgula 3 3 4 3 3 6" xfId="7054" xr:uid="{00000000-0005-0000-0000-00007D1F0000}"/>
    <cellStyle name="Vírgula 3 3 4 3 4" xfId="796" xr:uid="{00000000-0005-0000-0000-00007E1F0000}"/>
    <cellStyle name="Vírgula 3 3 4 3 4 2" xfId="1824" xr:uid="{00000000-0005-0000-0000-00007F1F0000}"/>
    <cellStyle name="Vírgula 3 3 4 3 4 2 2" xfId="3882" xr:uid="{00000000-0005-0000-0000-0000801F0000}"/>
    <cellStyle name="Vírgula 3 3 4 3 4 2 2 2" xfId="10398" xr:uid="{00000000-0005-0000-0000-0000811F0000}"/>
    <cellStyle name="Vírgula 3 3 4 3 4 2 3" xfId="6112" xr:uid="{00000000-0005-0000-0000-0000821F0000}"/>
    <cellStyle name="Vírgula 3 3 4 3 4 2 3 2" xfId="12626" xr:uid="{00000000-0005-0000-0000-0000831F0000}"/>
    <cellStyle name="Vírgula 3 3 4 3 4 2 4" xfId="8342" xr:uid="{00000000-0005-0000-0000-0000841F0000}"/>
    <cellStyle name="Vírgula 3 3 4 3 4 3" xfId="2854" xr:uid="{00000000-0005-0000-0000-0000851F0000}"/>
    <cellStyle name="Vírgula 3 3 4 3 4 3 2" xfId="9370" xr:uid="{00000000-0005-0000-0000-0000861F0000}"/>
    <cellStyle name="Vírgula 3 3 4 3 4 4" xfId="5084" xr:uid="{00000000-0005-0000-0000-0000871F0000}"/>
    <cellStyle name="Vírgula 3 3 4 3 4 4 2" xfId="11598" xr:uid="{00000000-0005-0000-0000-0000881F0000}"/>
    <cellStyle name="Vírgula 3 3 4 3 4 5" xfId="7314" xr:uid="{00000000-0005-0000-0000-0000891F0000}"/>
    <cellStyle name="Vírgula 3 3 4 3 5" xfId="1310" xr:uid="{00000000-0005-0000-0000-00008A1F0000}"/>
    <cellStyle name="Vírgula 3 3 4 3 5 2" xfId="3368" xr:uid="{00000000-0005-0000-0000-00008B1F0000}"/>
    <cellStyle name="Vírgula 3 3 4 3 5 2 2" xfId="9884" xr:uid="{00000000-0005-0000-0000-00008C1F0000}"/>
    <cellStyle name="Vírgula 3 3 4 3 5 3" xfId="5598" xr:uid="{00000000-0005-0000-0000-00008D1F0000}"/>
    <cellStyle name="Vírgula 3 3 4 3 5 3 2" xfId="12112" xr:uid="{00000000-0005-0000-0000-00008E1F0000}"/>
    <cellStyle name="Vírgula 3 3 4 3 5 4" xfId="7828" xr:uid="{00000000-0005-0000-0000-00008F1F0000}"/>
    <cellStyle name="Vírgula 3 3 4 3 6" xfId="2340" xr:uid="{00000000-0005-0000-0000-0000901F0000}"/>
    <cellStyle name="Vírgula 3 3 4 3 6 2" xfId="8856" xr:uid="{00000000-0005-0000-0000-0000911F0000}"/>
    <cellStyle name="Vírgula 3 3 4 3 7" xfId="4482" xr:uid="{00000000-0005-0000-0000-0000921F0000}"/>
    <cellStyle name="Vírgula 3 3 4 3 7 2" xfId="10996" xr:uid="{00000000-0005-0000-0000-0000931F0000}"/>
    <cellStyle name="Vírgula 3 3 4 3 8" xfId="6712" xr:uid="{00000000-0005-0000-0000-0000941F0000}"/>
    <cellStyle name="Vírgula 3 3 4 4" xfId="249" xr:uid="{00000000-0005-0000-0000-0000951F0000}"/>
    <cellStyle name="Vírgula 3 3 4 4 2" xfId="592" xr:uid="{00000000-0005-0000-0000-0000961F0000}"/>
    <cellStyle name="Vírgula 3 3 4 4 2 2" xfId="1116" xr:uid="{00000000-0005-0000-0000-0000971F0000}"/>
    <cellStyle name="Vírgula 3 3 4 4 2 2 2" xfId="2144" xr:uid="{00000000-0005-0000-0000-0000981F0000}"/>
    <cellStyle name="Vírgula 3 3 4 4 2 2 2 2" xfId="4202" xr:uid="{00000000-0005-0000-0000-0000991F0000}"/>
    <cellStyle name="Vírgula 3 3 4 4 2 2 2 2 2" xfId="10718" xr:uid="{00000000-0005-0000-0000-00009A1F0000}"/>
    <cellStyle name="Vírgula 3 3 4 4 2 2 2 3" xfId="6432" xr:uid="{00000000-0005-0000-0000-00009B1F0000}"/>
    <cellStyle name="Vírgula 3 3 4 4 2 2 2 3 2" xfId="12946" xr:uid="{00000000-0005-0000-0000-00009C1F0000}"/>
    <cellStyle name="Vírgula 3 3 4 4 2 2 2 4" xfId="8662" xr:uid="{00000000-0005-0000-0000-00009D1F0000}"/>
    <cellStyle name="Vírgula 3 3 4 4 2 2 3" xfId="3174" xr:uid="{00000000-0005-0000-0000-00009E1F0000}"/>
    <cellStyle name="Vírgula 3 3 4 4 2 2 3 2" xfId="9690" xr:uid="{00000000-0005-0000-0000-00009F1F0000}"/>
    <cellStyle name="Vírgula 3 3 4 4 2 2 4" xfId="5404" xr:uid="{00000000-0005-0000-0000-0000A01F0000}"/>
    <cellStyle name="Vírgula 3 3 4 4 2 2 4 2" xfId="11918" xr:uid="{00000000-0005-0000-0000-0000A11F0000}"/>
    <cellStyle name="Vírgula 3 3 4 4 2 2 5" xfId="7634" xr:uid="{00000000-0005-0000-0000-0000A21F0000}"/>
    <cellStyle name="Vírgula 3 3 4 4 2 3" xfId="1630" xr:uid="{00000000-0005-0000-0000-0000A31F0000}"/>
    <cellStyle name="Vírgula 3 3 4 4 2 3 2" xfId="3688" xr:uid="{00000000-0005-0000-0000-0000A41F0000}"/>
    <cellStyle name="Vírgula 3 3 4 4 2 3 2 2" xfId="10204" xr:uid="{00000000-0005-0000-0000-0000A51F0000}"/>
    <cellStyle name="Vírgula 3 3 4 4 2 3 3" xfId="5918" xr:uid="{00000000-0005-0000-0000-0000A61F0000}"/>
    <cellStyle name="Vírgula 3 3 4 4 2 3 3 2" xfId="12432" xr:uid="{00000000-0005-0000-0000-0000A71F0000}"/>
    <cellStyle name="Vírgula 3 3 4 4 2 3 4" xfId="8148" xr:uid="{00000000-0005-0000-0000-0000A81F0000}"/>
    <cellStyle name="Vírgula 3 3 4 4 2 4" xfId="2660" xr:uid="{00000000-0005-0000-0000-0000A91F0000}"/>
    <cellStyle name="Vírgula 3 3 4 4 2 4 2" xfId="9176" xr:uid="{00000000-0005-0000-0000-0000AA1F0000}"/>
    <cellStyle name="Vírgula 3 3 4 4 2 5" xfId="4888" xr:uid="{00000000-0005-0000-0000-0000AB1F0000}"/>
    <cellStyle name="Vírgula 3 3 4 4 2 5 2" xfId="11402" xr:uid="{00000000-0005-0000-0000-0000AC1F0000}"/>
    <cellStyle name="Vírgula 3 3 4 4 2 6" xfId="7118" xr:uid="{00000000-0005-0000-0000-0000AD1F0000}"/>
    <cellStyle name="Vírgula 3 3 4 4 3" xfId="860" xr:uid="{00000000-0005-0000-0000-0000AE1F0000}"/>
    <cellStyle name="Vírgula 3 3 4 4 3 2" xfId="1888" xr:uid="{00000000-0005-0000-0000-0000AF1F0000}"/>
    <cellStyle name="Vírgula 3 3 4 4 3 2 2" xfId="3946" xr:uid="{00000000-0005-0000-0000-0000B01F0000}"/>
    <cellStyle name="Vírgula 3 3 4 4 3 2 2 2" xfId="10462" xr:uid="{00000000-0005-0000-0000-0000B11F0000}"/>
    <cellStyle name="Vírgula 3 3 4 4 3 2 3" xfId="6176" xr:uid="{00000000-0005-0000-0000-0000B21F0000}"/>
    <cellStyle name="Vírgula 3 3 4 4 3 2 3 2" xfId="12690" xr:uid="{00000000-0005-0000-0000-0000B31F0000}"/>
    <cellStyle name="Vírgula 3 3 4 4 3 2 4" xfId="8406" xr:uid="{00000000-0005-0000-0000-0000B41F0000}"/>
    <cellStyle name="Vírgula 3 3 4 4 3 3" xfId="2918" xr:uid="{00000000-0005-0000-0000-0000B51F0000}"/>
    <cellStyle name="Vírgula 3 3 4 4 3 3 2" xfId="9434" xr:uid="{00000000-0005-0000-0000-0000B61F0000}"/>
    <cellStyle name="Vírgula 3 3 4 4 3 4" xfId="5148" xr:uid="{00000000-0005-0000-0000-0000B71F0000}"/>
    <cellStyle name="Vírgula 3 3 4 4 3 4 2" xfId="11662" xr:uid="{00000000-0005-0000-0000-0000B81F0000}"/>
    <cellStyle name="Vírgula 3 3 4 4 3 5" xfId="7378" xr:uid="{00000000-0005-0000-0000-0000B91F0000}"/>
    <cellStyle name="Vírgula 3 3 4 4 4" xfId="1374" xr:uid="{00000000-0005-0000-0000-0000BA1F0000}"/>
    <cellStyle name="Vírgula 3 3 4 4 4 2" xfId="3432" xr:uid="{00000000-0005-0000-0000-0000BB1F0000}"/>
    <cellStyle name="Vírgula 3 3 4 4 4 2 2" xfId="9948" xr:uid="{00000000-0005-0000-0000-0000BC1F0000}"/>
    <cellStyle name="Vírgula 3 3 4 4 4 3" xfId="5662" xr:uid="{00000000-0005-0000-0000-0000BD1F0000}"/>
    <cellStyle name="Vírgula 3 3 4 4 4 3 2" xfId="12176" xr:uid="{00000000-0005-0000-0000-0000BE1F0000}"/>
    <cellStyle name="Vírgula 3 3 4 4 4 4" xfId="7892" xr:uid="{00000000-0005-0000-0000-0000BF1F0000}"/>
    <cellStyle name="Vírgula 3 3 4 4 5" xfId="2404" xr:uid="{00000000-0005-0000-0000-0000C01F0000}"/>
    <cellStyle name="Vírgula 3 3 4 4 5 2" xfId="8920" xr:uid="{00000000-0005-0000-0000-0000C11F0000}"/>
    <cellStyle name="Vírgula 3 3 4 4 6" xfId="4546" xr:uid="{00000000-0005-0000-0000-0000C21F0000}"/>
    <cellStyle name="Vírgula 3 3 4 4 6 2" xfId="11060" xr:uid="{00000000-0005-0000-0000-0000C31F0000}"/>
    <cellStyle name="Vírgula 3 3 4 4 7" xfId="6776" xr:uid="{00000000-0005-0000-0000-0000C41F0000}"/>
    <cellStyle name="Vírgula 3 3 4 5" xfId="409" xr:uid="{00000000-0005-0000-0000-0000C51F0000}"/>
    <cellStyle name="Vírgula 3 3 4 5 2" xfId="988" xr:uid="{00000000-0005-0000-0000-0000C61F0000}"/>
    <cellStyle name="Vírgula 3 3 4 5 2 2" xfId="2016" xr:uid="{00000000-0005-0000-0000-0000C71F0000}"/>
    <cellStyle name="Vírgula 3 3 4 5 2 2 2" xfId="4074" xr:uid="{00000000-0005-0000-0000-0000C81F0000}"/>
    <cellStyle name="Vírgula 3 3 4 5 2 2 2 2" xfId="10590" xr:uid="{00000000-0005-0000-0000-0000C91F0000}"/>
    <cellStyle name="Vírgula 3 3 4 5 2 2 3" xfId="6304" xr:uid="{00000000-0005-0000-0000-0000CA1F0000}"/>
    <cellStyle name="Vírgula 3 3 4 5 2 2 3 2" xfId="12818" xr:uid="{00000000-0005-0000-0000-0000CB1F0000}"/>
    <cellStyle name="Vírgula 3 3 4 5 2 2 4" xfId="8534" xr:uid="{00000000-0005-0000-0000-0000CC1F0000}"/>
    <cellStyle name="Vírgula 3 3 4 5 2 3" xfId="3046" xr:uid="{00000000-0005-0000-0000-0000CD1F0000}"/>
    <cellStyle name="Vírgula 3 3 4 5 2 3 2" xfId="9562" xr:uid="{00000000-0005-0000-0000-0000CE1F0000}"/>
    <cellStyle name="Vírgula 3 3 4 5 2 4" xfId="5276" xr:uid="{00000000-0005-0000-0000-0000CF1F0000}"/>
    <cellStyle name="Vírgula 3 3 4 5 2 4 2" xfId="11790" xr:uid="{00000000-0005-0000-0000-0000D01F0000}"/>
    <cellStyle name="Vírgula 3 3 4 5 2 5" xfId="7506" xr:uid="{00000000-0005-0000-0000-0000D11F0000}"/>
    <cellStyle name="Vírgula 3 3 4 5 3" xfId="1502" xr:uid="{00000000-0005-0000-0000-0000D21F0000}"/>
    <cellStyle name="Vírgula 3 3 4 5 3 2" xfId="3560" xr:uid="{00000000-0005-0000-0000-0000D31F0000}"/>
    <cellStyle name="Vírgula 3 3 4 5 3 2 2" xfId="10076" xr:uid="{00000000-0005-0000-0000-0000D41F0000}"/>
    <cellStyle name="Vírgula 3 3 4 5 3 3" xfId="5790" xr:uid="{00000000-0005-0000-0000-0000D51F0000}"/>
    <cellStyle name="Vírgula 3 3 4 5 3 3 2" xfId="12304" xr:uid="{00000000-0005-0000-0000-0000D61F0000}"/>
    <cellStyle name="Vírgula 3 3 4 5 3 4" xfId="8020" xr:uid="{00000000-0005-0000-0000-0000D71F0000}"/>
    <cellStyle name="Vírgula 3 3 4 5 4" xfId="2532" xr:uid="{00000000-0005-0000-0000-0000D81F0000}"/>
    <cellStyle name="Vírgula 3 3 4 5 4 2" xfId="9048" xr:uid="{00000000-0005-0000-0000-0000D91F0000}"/>
    <cellStyle name="Vírgula 3 3 4 5 5" xfId="4705" xr:uid="{00000000-0005-0000-0000-0000DA1F0000}"/>
    <cellStyle name="Vírgula 3 3 4 5 5 2" xfId="11219" xr:uid="{00000000-0005-0000-0000-0000DB1F0000}"/>
    <cellStyle name="Vírgula 3 3 4 5 6" xfId="6935" xr:uid="{00000000-0005-0000-0000-0000DC1F0000}"/>
    <cellStyle name="Vírgula 3 3 4 6" xfId="732" xr:uid="{00000000-0005-0000-0000-0000DD1F0000}"/>
    <cellStyle name="Vírgula 3 3 4 6 2" xfId="1760" xr:uid="{00000000-0005-0000-0000-0000DE1F0000}"/>
    <cellStyle name="Vírgula 3 3 4 6 2 2" xfId="3818" xr:uid="{00000000-0005-0000-0000-0000DF1F0000}"/>
    <cellStyle name="Vírgula 3 3 4 6 2 2 2" xfId="10334" xr:uid="{00000000-0005-0000-0000-0000E01F0000}"/>
    <cellStyle name="Vírgula 3 3 4 6 2 3" xfId="6048" xr:uid="{00000000-0005-0000-0000-0000E11F0000}"/>
    <cellStyle name="Vírgula 3 3 4 6 2 3 2" xfId="12562" xr:uid="{00000000-0005-0000-0000-0000E21F0000}"/>
    <cellStyle name="Vírgula 3 3 4 6 2 4" xfId="8278" xr:uid="{00000000-0005-0000-0000-0000E31F0000}"/>
    <cellStyle name="Vírgula 3 3 4 6 3" xfId="2790" xr:uid="{00000000-0005-0000-0000-0000E41F0000}"/>
    <cellStyle name="Vírgula 3 3 4 6 3 2" xfId="9306" xr:uid="{00000000-0005-0000-0000-0000E51F0000}"/>
    <cellStyle name="Vírgula 3 3 4 6 4" xfId="5020" xr:uid="{00000000-0005-0000-0000-0000E61F0000}"/>
    <cellStyle name="Vírgula 3 3 4 6 4 2" xfId="11534" xr:uid="{00000000-0005-0000-0000-0000E71F0000}"/>
    <cellStyle name="Vírgula 3 3 4 6 5" xfId="7250" xr:uid="{00000000-0005-0000-0000-0000E81F0000}"/>
    <cellStyle name="Vírgula 3 3 4 7" xfId="1246" xr:uid="{00000000-0005-0000-0000-0000E91F0000}"/>
    <cellStyle name="Vírgula 3 3 4 7 2" xfId="3304" xr:uid="{00000000-0005-0000-0000-0000EA1F0000}"/>
    <cellStyle name="Vírgula 3 3 4 7 2 2" xfId="9820" xr:uid="{00000000-0005-0000-0000-0000EB1F0000}"/>
    <cellStyle name="Vírgula 3 3 4 7 3" xfId="5534" xr:uid="{00000000-0005-0000-0000-0000EC1F0000}"/>
    <cellStyle name="Vírgula 3 3 4 7 3 2" xfId="12048" xr:uid="{00000000-0005-0000-0000-0000ED1F0000}"/>
    <cellStyle name="Vírgula 3 3 4 7 4" xfId="7764" xr:uid="{00000000-0005-0000-0000-0000EE1F0000}"/>
    <cellStyle name="Vírgula 3 3 4 8" xfId="2276" xr:uid="{00000000-0005-0000-0000-0000EF1F0000}"/>
    <cellStyle name="Vírgula 3 3 4 8 2" xfId="8792" xr:uid="{00000000-0005-0000-0000-0000F01F0000}"/>
    <cellStyle name="Vírgula 3 3 4 9" xfId="4363" xr:uid="{00000000-0005-0000-0000-0000F11F0000}"/>
    <cellStyle name="Vírgula 3 3 4 9 2" xfId="10877" xr:uid="{00000000-0005-0000-0000-0000F21F0000}"/>
    <cellStyle name="Vírgula 3 3 5" xfId="101" xr:uid="{00000000-0005-0000-0000-0000F31F0000}"/>
    <cellStyle name="Vírgula 3 3 5 2" xfId="201" xr:uid="{00000000-0005-0000-0000-0000F41F0000}"/>
    <cellStyle name="Vírgula 3 3 5 2 2" xfId="329" xr:uid="{00000000-0005-0000-0000-0000F51F0000}"/>
    <cellStyle name="Vírgula 3 3 5 2 2 2" xfId="672" xr:uid="{00000000-0005-0000-0000-0000F61F0000}"/>
    <cellStyle name="Vírgula 3 3 5 2 2 2 2" xfId="1196" xr:uid="{00000000-0005-0000-0000-0000F71F0000}"/>
    <cellStyle name="Vírgula 3 3 5 2 2 2 2 2" xfId="2224" xr:uid="{00000000-0005-0000-0000-0000F81F0000}"/>
    <cellStyle name="Vírgula 3 3 5 2 2 2 2 2 2" xfId="4282" xr:uid="{00000000-0005-0000-0000-0000F91F0000}"/>
    <cellStyle name="Vírgula 3 3 5 2 2 2 2 2 2 2" xfId="10798" xr:uid="{00000000-0005-0000-0000-0000FA1F0000}"/>
    <cellStyle name="Vírgula 3 3 5 2 2 2 2 2 3" xfId="6512" xr:uid="{00000000-0005-0000-0000-0000FB1F0000}"/>
    <cellStyle name="Vírgula 3 3 5 2 2 2 2 2 3 2" xfId="13026" xr:uid="{00000000-0005-0000-0000-0000FC1F0000}"/>
    <cellStyle name="Vírgula 3 3 5 2 2 2 2 2 4" xfId="8742" xr:uid="{00000000-0005-0000-0000-0000FD1F0000}"/>
    <cellStyle name="Vírgula 3 3 5 2 2 2 2 3" xfId="3254" xr:uid="{00000000-0005-0000-0000-0000FE1F0000}"/>
    <cellStyle name="Vírgula 3 3 5 2 2 2 2 3 2" xfId="9770" xr:uid="{00000000-0005-0000-0000-0000FF1F0000}"/>
    <cellStyle name="Vírgula 3 3 5 2 2 2 2 4" xfId="5484" xr:uid="{00000000-0005-0000-0000-000000200000}"/>
    <cellStyle name="Vírgula 3 3 5 2 2 2 2 4 2" xfId="11998" xr:uid="{00000000-0005-0000-0000-000001200000}"/>
    <cellStyle name="Vírgula 3 3 5 2 2 2 2 5" xfId="7714" xr:uid="{00000000-0005-0000-0000-000002200000}"/>
    <cellStyle name="Vírgula 3 3 5 2 2 2 3" xfId="1710" xr:uid="{00000000-0005-0000-0000-000003200000}"/>
    <cellStyle name="Vírgula 3 3 5 2 2 2 3 2" xfId="3768" xr:uid="{00000000-0005-0000-0000-000004200000}"/>
    <cellStyle name="Vírgula 3 3 5 2 2 2 3 2 2" xfId="10284" xr:uid="{00000000-0005-0000-0000-000005200000}"/>
    <cellStyle name="Vírgula 3 3 5 2 2 2 3 3" xfId="5998" xr:uid="{00000000-0005-0000-0000-000006200000}"/>
    <cellStyle name="Vírgula 3 3 5 2 2 2 3 3 2" xfId="12512" xr:uid="{00000000-0005-0000-0000-000007200000}"/>
    <cellStyle name="Vírgula 3 3 5 2 2 2 3 4" xfId="8228" xr:uid="{00000000-0005-0000-0000-000008200000}"/>
    <cellStyle name="Vírgula 3 3 5 2 2 2 4" xfId="2740" xr:uid="{00000000-0005-0000-0000-000009200000}"/>
    <cellStyle name="Vírgula 3 3 5 2 2 2 4 2" xfId="9256" xr:uid="{00000000-0005-0000-0000-00000A200000}"/>
    <cellStyle name="Vírgula 3 3 5 2 2 2 5" xfId="4968" xr:uid="{00000000-0005-0000-0000-00000B200000}"/>
    <cellStyle name="Vírgula 3 3 5 2 2 2 5 2" xfId="11482" xr:uid="{00000000-0005-0000-0000-00000C200000}"/>
    <cellStyle name="Vírgula 3 3 5 2 2 2 6" xfId="7198" xr:uid="{00000000-0005-0000-0000-00000D200000}"/>
    <cellStyle name="Vírgula 3 3 5 2 2 3" xfId="940" xr:uid="{00000000-0005-0000-0000-00000E200000}"/>
    <cellStyle name="Vírgula 3 3 5 2 2 3 2" xfId="1968" xr:uid="{00000000-0005-0000-0000-00000F200000}"/>
    <cellStyle name="Vírgula 3 3 5 2 2 3 2 2" xfId="4026" xr:uid="{00000000-0005-0000-0000-000010200000}"/>
    <cellStyle name="Vírgula 3 3 5 2 2 3 2 2 2" xfId="10542" xr:uid="{00000000-0005-0000-0000-000011200000}"/>
    <cellStyle name="Vírgula 3 3 5 2 2 3 2 3" xfId="6256" xr:uid="{00000000-0005-0000-0000-000012200000}"/>
    <cellStyle name="Vírgula 3 3 5 2 2 3 2 3 2" xfId="12770" xr:uid="{00000000-0005-0000-0000-000013200000}"/>
    <cellStyle name="Vírgula 3 3 5 2 2 3 2 4" xfId="8486" xr:uid="{00000000-0005-0000-0000-000014200000}"/>
    <cellStyle name="Vírgula 3 3 5 2 2 3 3" xfId="2998" xr:uid="{00000000-0005-0000-0000-000015200000}"/>
    <cellStyle name="Vírgula 3 3 5 2 2 3 3 2" xfId="9514" xr:uid="{00000000-0005-0000-0000-000016200000}"/>
    <cellStyle name="Vírgula 3 3 5 2 2 3 4" xfId="5228" xr:uid="{00000000-0005-0000-0000-000017200000}"/>
    <cellStyle name="Vírgula 3 3 5 2 2 3 4 2" xfId="11742" xr:uid="{00000000-0005-0000-0000-000018200000}"/>
    <cellStyle name="Vírgula 3 3 5 2 2 3 5" xfId="7458" xr:uid="{00000000-0005-0000-0000-000019200000}"/>
    <cellStyle name="Vírgula 3 3 5 2 2 4" xfId="1454" xr:uid="{00000000-0005-0000-0000-00001A200000}"/>
    <cellStyle name="Vírgula 3 3 5 2 2 4 2" xfId="3512" xr:uid="{00000000-0005-0000-0000-00001B200000}"/>
    <cellStyle name="Vírgula 3 3 5 2 2 4 2 2" xfId="10028" xr:uid="{00000000-0005-0000-0000-00001C200000}"/>
    <cellStyle name="Vírgula 3 3 5 2 2 4 3" xfId="5742" xr:uid="{00000000-0005-0000-0000-00001D200000}"/>
    <cellStyle name="Vírgula 3 3 5 2 2 4 3 2" xfId="12256" xr:uid="{00000000-0005-0000-0000-00001E200000}"/>
    <cellStyle name="Vírgula 3 3 5 2 2 4 4" xfId="7972" xr:uid="{00000000-0005-0000-0000-00001F200000}"/>
    <cellStyle name="Vírgula 3 3 5 2 2 5" xfId="2484" xr:uid="{00000000-0005-0000-0000-000020200000}"/>
    <cellStyle name="Vírgula 3 3 5 2 2 5 2" xfId="9000" xr:uid="{00000000-0005-0000-0000-000021200000}"/>
    <cellStyle name="Vírgula 3 3 5 2 2 6" xfId="4626" xr:uid="{00000000-0005-0000-0000-000022200000}"/>
    <cellStyle name="Vírgula 3 3 5 2 2 6 2" xfId="11140" xr:uid="{00000000-0005-0000-0000-000023200000}"/>
    <cellStyle name="Vírgula 3 3 5 2 2 7" xfId="6856" xr:uid="{00000000-0005-0000-0000-000024200000}"/>
    <cellStyle name="Vírgula 3 3 5 2 3" xfId="544" xr:uid="{00000000-0005-0000-0000-000025200000}"/>
    <cellStyle name="Vírgula 3 3 5 2 3 2" xfId="1068" xr:uid="{00000000-0005-0000-0000-000026200000}"/>
    <cellStyle name="Vírgula 3 3 5 2 3 2 2" xfId="2096" xr:uid="{00000000-0005-0000-0000-000027200000}"/>
    <cellStyle name="Vírgula 3 3 5 2 3 2 2 2" xfId="4154" xr:uid="{00000000-0005-0000-0000-000028200000}"/>
    <cellStyle name="Vírgula 3 3 5 2 3 2 2 2 2" xfId="10670" xr:uid="{00000000-0005-0000-0000-000029200000}"/>
    <cellStyle name="Vírgula 3 3 5 2 3 2 2 3" xfId="6384" xr:uid="{00000000-0005-0000-0000-00002A200000}"/>
    <cellStyle name="Vírgula 3 3 5 2 3 2 2 3 2" xfId="12898" xr:uid="{00000000-0005-0000-0000-00002B200000}"/>
    <cellStyle name="Vírgula 3 3 5 2 3 2 2 4" xfId="8614" xr:uid="{00000000-0005-0000-0000-00002C200000}"/>
    <cellStyle name="Vírgula 3 3 5 2 3 2 3" xfId="3126" xr:uid="{00000000-0005-0000-0000-00002D200000}"/>
    <cellStyle name="Vírgula 3 3 5 2 3 2 3 2" xfId="9642" xr:uid="{00000000-0005-0000-0000-00002E200000}"/>
    <cellStyle name="Vírgula 3 3 5 2 3 2 4" xfId="5356" xr:uid="{00000000-0005-0000-0000-00002F200000}"/>
    <cellStyle name="Vírgula 3 3 5 2 3 2 4 2" xfId="11870" xr:uid="{00000000-0005-0000-0000-000030200000}"/>
    <cellStyle name="Vírgula 3 3 5 2 3 2 5" xfId="7586" xr:uid="{00000000-0005-0000-0000-000031200000}"/>
    <cellStyle name="Vírgula 3 3 5 2 3 3" xfId="1582" xr:uid="{00000000-0005-0000-0000-000032200000}"/>
    <cellStyle name="Vírgula 3 3 5 2 3 3 2" xfId="3640" xr:uid="{00000000-0005-0000-0000-000033200000}"/>
    <cellStyle name="Vírgula 3 3 5 2 3 3 2 2" xfId="10156" xr:uid="{00000000-0005-0000-0000-000034200000}"/>
    <cellStyle name="Vírgula 3 3 5 2 3 3 3" xfId="5870" xr:uid="{00000000-0005-0000-0000-000035200000}"/>
    <cellStyle name="Vírgula 3 3 5 2 3 3 3 2" xfId="12384" xr:uid="{00000000-0005-0000-0000-000036200000}"/>
    <cellStyle name="Vírgula 3 3 5 2 3 3 4" xfId="8100" xr:uid="{00000000-0005-0000-0000-000037200000}"/>
    <cellStyle name="Vírgula 3 3 5 2 3 4" xfId="2612" xr:uid="{00000000-0005-0000-0000-000038200000}"/>
    <cellStyle name="Vírgula 3 3 5 2 3 4 2" xfId="9128" xr:uid="{00000000-0005-0000-0000-000039200000}"/>
    <cellStyle name="Vírgula 3 3 5 2 3 5" xfId="4840" xr:uid="{00000000-0005-0000-0000-00003A200000}"/>
    <cellStyle name="Vírgula 3 3 5 2 3 5 2" xfId="11354" xr:uid="{00000000-0005-0000-0000-00003B200000}"/>
    <cellStyle name="Vírgula 3 3 5 2 3 6" xfId="7070" xr:uid="{00000000-0005-0000-0000-00003C200000}"/>
    <cellStyle name="Vírgula 3 3 5 2 4" xfId="812" xr:uid="{00000000-0005-0000-0000-00003D200000}"/>
    <cellStyle name="Vírgula 3 3 5 2 4 2" xfId="1840" xr:uid="{00000000-0005-0000-0000-00003E200000}"/>
    <cellStyle name="Vírgula 3 3 5 2 4 2 2" xfId="3898" xr:uid="{00000000-0005-0000-0000-00003F200000}"/>
    <cellStyle name="Vírgula 3 3 5 2 4 2 2 2" xfId="10414" xr:uid="{00000000-0005-0000-0000-000040200000}"/>
    <cellStyle name="Vírgula 3 3 5 2 4 2 3" xfId="6128" xr:uid="{00000000-0005-0000-0000-000041200000}"/>
    <cellStyle name="Vírgula 3 3 5 2 4 2 3 2" xfId="12642" xr:uid="{00000000-0005-0000-0000-000042200000}"/>
    <cellStyle name="Vírgula 3 3 5 2 4 2 4" xfId="8358" xr:uid="{00000000-0005-0000-0000-000043200000}"/>
    <cellStyle name="Vírgula 3 3 5 2 4 3" xfId="2870" xr:uid="{00000000-0005-0000-0000-000044200000}"/>
    <cellStyle name="Vírgula 3 3 5 2 4 3 2" xfId="9386" xr:uid="{00000000-0005-0000-0000-000045200000}"/>
    <cellStyle name="Vírgula 3 3 5 2 4 4" xfId="5100" xr:uid="{00000000-0005-0000-0000-000046200000}"/>
    <cellStyle name="Vírgula 3 3 5 2 4 4 2" xfId="11614" xr:uid="{00000000-0005-0000-0000-000047200000}"/>
    <cellStyle name="Vírgula 3 3 5 2 4 5" xfId="7330" xr:uid="{00000000-0005-0000-0000-000048200000}"/>
    <cellStyle name="Vírgula 3 3 5 2 5" xfId="1326" xr:uid="{00000000-0005-0000-0000-000049200000}"/>
    <cellStyle name="Vírgula 3 3 5 2 5 2" xfId="3384" xr:uid="{00000000-0005-0000-0000-00004A200000}"/>
    <cellStyle name="Vírgula 3 3 5 2 5 2 2" xfId="9900" xr:uid="{00000000-0005-0000-0000-00004B200000}"/>
    <cellStyle name="Vírgula 3 3 5 2 5 3" xfId="5614" xr:uid="{00000000-0005-0000-0000-00004C200000}"/>
    <cellStyle name="Vírgula 3 3 5 2 5 3 2" xfId="12128" xr:uid="{00000000-0005-0000-0000-00004D200000}"/>
    <cellStyle name="Vírgula 3 3 5 2 5 4" xfId="7844" xr:uid="{00000000-0005-0000-0000-00004E200000}"/>
    <cellStyle name="Vírgula 3 3 5 2 6" xfId="2356" xr:uid="{00000000-0005-0000-0000-00004F200000}"/>
    <cellStyle name="Vírgula 3 3 5 2 6 2" xfId="8872" xr:uid="{00000000-0005-0000-0000-000050200000}"/>
    <cellStyle name="Vírgula 3 3 5 2 7" xfId="4498" xr:uid="{00000000-0005-0000-0000-000051200000}"/>
    <cellStyle name="Vírgula 3 3 5 2 7 2" xfId="11012" xr:uid="{00000000-0005-0000-0000-000052200000}"/>
    <cellStyle name="Vírgula 3 3 5 2 8" xfId="6728" xr:uid="{00000000-0005-0000-0000-000053200000}"/>
    <cellStyle name="Vírgula 3 3 5 3" xfId="265" xr:uid="{00000000-0005-0000-0000-000054200000}"/>
    <cellStyle name="Vírgula 3 3 5 3 2" xfId="608" xr:uid="{00000000-0005-0000-0000-000055200000}"/>
    <cellStyle name="Vírgula 3 3 5 3 2 2" xfId="1132" xr:uid="{00000000-0005-0000-0000-000056200000}"/>
    <cellStyle name="Vírgula 3 3 5 3 2 2 2" xfId="2160" xr:uid="{00000000-0005-0000-0000-000057200000}"/>
    <cellStyle name="Vírgula 3 3 5 3 2 2 2 2" xfId="4218" xr:uid="{00000000-0005-0000-0000-000058200000}"/>
    <cellStyle name="Vírgula 3 3 5 3 2 2 2 2 2" xfId="10734" xr:uid="{00000000-0005-0000-0000-000059200000}"/>
    <cellStyle name="Vírgula 3 3 5 3 2 2 2 3" xfId="6448" xr:uid="{00000000-0005-0000-0000-00005A200000}"/>
    <cellStyle name="Vírgula 3 3 5 3 2 2 2 3 2" xfId="12962" xr:uid="{00000000-0005-0000-0000-00005B200000}"/>
    <cellStyle name="Vírgula 3 3 5 3 2 2 2 4" xfId="8678" xr:uid="{00000000-0005-0000-0000-00005C200000}"/>
    <cellStyle name="Vírgula 3 3 5 3 2 2 3" xfId="3190" xr:uid="{00000000-0005-0000-0000-00005D200000}"/>
    <cellStyle name="Vírgula 3 3 5 3 2 2 3 2" xfId="9706" xr:uid="{00000000-0005-0000-0000-00005E200000}"/>
    <cellStyle name="Vírgula 3 3 5 3 2 2 4" xfId="5420" xr:uid="{00000000-0005-0000-0000-00005F200000}"/>
    <cellStyle name="Vírgula 3 3 5 3 2 2 4 2" xfId="11934" xr:uid="{00000000-0005-0000-0000-000060200000}"/>
    <cellStyle name="Vírgula 3 3 5 3 2 2 5" xfId="7650" xr:uid="{00000000-0005-0000-0000-000061200000}"/>
    <cellStyle name="Vírgula 3 3 5 3 2 3" xfId="1646" xr:uid="{00000000-0005-0000-0000-000062200000}"/>
    <cellStyle name="Vírgula 3 3 5 3 2 3 2" xfId="3704" xr:uid="{00000000-0005-0000-0000-000063200000}"/>
    <cellStyle name="Vírgula 3 3 5 3 2 3 2 2" xfId="10220" xr:uid="{00000000-0005-0000-0000-000064200000}"/>
    <cellStyle name="Vírgula 3 3 5 3 2 3 3" xfId="5934" xr:uid="{00000000-0005-0000-0000-000065200000}"/>
    <cellStyle name="Vírgula 3 3 5 3 2 3 3 2" xfId="12448" xr:uid="{00000000-0005-0000-0000-000066200000}"/>
    <cellStyle name="Vírgula 3 3 5 3 2 3 4" xfId="8164" xr:uid="{00000000-0005-0000-0000-000067200000}"/>
    <cellStyle name="Vírgula 3 3 5 3 2 4" xfId="2676" xr:uid="{00000000-0005-0000-0000-000068200000}"/>
    <cellStyle name="Vírgula 3 3 5 3 2 4 2" xfId="9192" xr:uid="{00000000-0005-0000-0000-000069200000}"/>
    <cellStyle name="Vírgula 3 3 5 3 2 5" xfId="4904" xr:uid="{00000000-0005-0000-0000-00006A200000}"/>
    <cellStyle name="Vírgula 3 3 5 3 2 5 2" xfId="11418" xr:uid="{00000000-0005-0000-0000-00006B200000}"/>
    <cellStyle name="Vírgula 3 3 5 3 2 6" xfId="7134" xr:uid="{00000000-0005-0000-0000-00006C200000}"/>
    <cellStyle name="Vírgula 3 3 5 3 3" xfId="876" xr:uid="{00000000-0005-0000-0000-00006D200000}"/>
    <cellStyle name="Vírgula 3 3 5 3 3 2" xfId="1904" xr:uid="{00000000-0005-0000-0000-00006E200000}"/>
    <cellStyle name="Vírgula 3 3 5 3 3 2 2" xfId="3962" xr:uid="{00000000-0005-0000-0000-00006F200000}"/>
    <cellStyle name="Vírgula 3 3 5 3 3 2 2 2" xfId="10478" xr:uid="{00000000-0005-0000-0000-000070200000}"/>
    <cellStyle name="Vírgula 3 3 5 3 3 2 3" xfId="6192" xr:uid="{00000000-0005-0000-0000-000071200000}"/>
    <cellStyle name="Vírgula 3 3 5 3 3 2 3 2" xfId="12706" xr:uid="{00000000-0005-0000-0000-000072200000}"/>
    <cellStyle name="Vírgula 3 3 5 3 3 2 4" xfId="8422" xr:uid="{00000000-0005-0000-0000-000073200000}"/>
    <cellStyle name="Vírgula 3 3 5 3 3 3" xfId="2934" xr:uid="{00000000-0005-0000-0000-000074200000}"/>
    <cellStyle name="Vírgula 3 3 5 3 3 3 2" xfId="9450" xr:uid="{00000000-0005-0000-0000-000075200000}"/>
    <cellStyle name="Vírgula 3 3 5 3 3 4" xfId="5164" xr:uid="{00000000-0005-0000-0000-000076200000}"/>
    <cellStyle name="Vírgula 3 3 5 3 3 4 2" xfId="11678" xr:uid="{00000000-0005-0000-0000-000077200000}"/>
    <cellStyle name="Vírgula 3 3 5 3 3 5" xfId="7394" xr:uid="{00000000-0005-0000-0000-000078200000}"/>
    <cellStyle name="Vírgula 3 3 5 3 4" xfId="1390" xr:uid="{00000000-0005-0000-0000-000079200000}"/>
    <cellStyle name="Vírgula 3 3 5 3 4 2" xfId="3448" xr:uid="{00000000-0005-0000-0000-00007A200000}"/>
    <cellStyle name="Vírgula 3 3 5 3 4 2 2" xfId="9964" xr:uid="{00000000-0005-0000-0000-00007B200000}"/>
    <cellStyle name="Vírgula 3 3 5 3 4 3" xfId="5678" xr:uid="{00000000-0005-0000-0000-00007C200000}"/>
    <cellStyle name="Vírgula 3 3 5 3 4 3 2" xfId="12192" xr:uid="{00000000-0005-0000-0000-00007D200000}"/>
    <cellStyle name="Vírgula 3 3 5 3 4 4" xfId="7908" xr:uid="{00000000-0005-0000-0000-00007E200000}"/>
    <cellStyle name="Vírgula 3 3 5 3 5" xfId="2420" xr:uid="{00000000-0005-0000-0000-00007F200000}"/>
    <cellStyle name="Vírgula 3 3 5 3 5 2" xfId="8936" xr:uid="{00000000-0005-0000-0000-000080200000}"/>
    <cellStyle name="Vírgula 3 3 5 3 6" xfId="4562" xr:uid="{00000000-0005-0000-0000-000081200000}"/>
    <cellStyle name="Vírgula 3 3 5 3 6 2" xfId="11076" xr:uid="{00000000-0005-0000-0000-000082200000}"/>
    <cellStyle name="Vírgula 3 3 5 3 7" xfId="6792" xr:uid="{00000000-0005-0000-0000-000083200000}"/>
    <cellStyle name="Vírgula 3 3 5 4" xfId="444" xr:uid="{00000000-0005-0000-0000-000084200000}"/>
    <cellStyle name="Vírgula 3 3 5 4 2" xfId="1004" xr:uid="{00000000-0005-0000-0000-000085200000}"/>
    <cellStyle name="Vírgula 3 3 5 4 2 2" xfId="2032" xr:uid="{00000000-0005-0000-0000-000086200000}"/>
    <cellStyle name="Vírgula 3 3 5 4 2 2 2" xfId="4090" xr:uid="{00000000-0005-0000-0000-000087200000}"/>
    <cellStyle name="Vírgula 3 3 5 4 2 2 2 2" xfId="10606" xr:uid="{00000000-0005-0000-0000-000088200000}"/>
    <cellStyle name="Vírgula 3 3 5 4 2 2 3" xfId="6320" xr:uid="{00000000-0005-0000-0000-000089200000}"/>
    <cellStyle name="Vírgula 3 3 5 4 2 2 3 2" xfId="12834" xr:uid="{00000000-0005-0000-0000-00008A200000}"/>
    <cellStyle name="Vírgula 3 3 5 4 2 2 4" xfId="8550" xr:uid="{00000000-0005-0000-0000-00008B200000}"/>
    <cellStyle name="Vírgula 3 3 5 4 2 3" xfId="3062" xr:uid="{00000000-0005-0000-0000-00008C200000}"/>
    <cellStyle name="Vírgula 3 3 5 4 2 3 2" xfId="9578" xr:uid="{00000000-0005-0000-0000-00008D200000}"/>
    <cellStyle name="Vírgula 3 3 5 4 2 4" xfId="5292" xr:uid="{00000000-0005-0000-0000-00008E200000}"/>
    <cellStyle name="Vírgula 3 3 5 4 2 4 2" xfId="11806" xr:uid="{00000000-0005-0000-0000-00008F200000}"/>
    <cellStyle name="Vírgula 3 3 5 4 2 5" xfId="7522" xr:uid="{00000000-0005-0000-0000-000090200000}"/>
    <cellStyle name="Vírgula 3 3 5 4 3" xfId="1518" xr:uid="{00000000-0005-0000-0000-000091200000}"/>
    <cellStyle name="Vírgula 3 3 5 4 3 2" xfId="3576" xr:uid="{00000000-0005-0000-0000-000092200000}"/>
    <cellStyle name="Vírgula 3 3 5 4 3 2 2" xfId="10092" xr:uid="{00000000-0005-0000-0000-000093200000}"/>
    <cellStyle name="Vírgula 3 3 5 4 3 3" xfId="5806" xr:uid="{00000000-0005-0000-0000-000094200000}"/>
    <cellStyle name="Vírgula 3 3 5 4 3 3 2" xfId="12320" xr:uid="{00000000-0005-0000-0000-000095200000}"/>
    <cellStyle name="Vírgula 3 3 5 4 3 4" xfId="8036" xr:uid="{00000000-0005-0000-0000-000096200000}"/>
    <cellStyle name="Vírgula 3 3 5 4 4" xfId="2548" xr:uid="{00000000-0005-0000-0000-000097200000}"/>
    <cellStyle name="Vírgula 3 3 5 4 4 2" xfId="9064" xr:uid="{00000000-0005-0000-0000-000098200000}"/>
    <cellStyle name="Vírgula 3 3 5 4 5" xfId="4740" xr:uid="{00000000-0005-0000-0000-000099200000}"/>
    <cellStyle name="Vírgula 3 3 5 4 5 2" xfId="11254" xr:uid="{00000000-0005-0000-0000-00009A200000}"/>
    <cellStyle name="Vírgula 3 3 5 4 6" xfId="6970" xr:uid="{00000000-0005-0000-0000-00009B200000}"/>
    <cellStyle name="Vírgula 3 3 5 5" xfId="748" xr:uid="{00000000-0005-0000-0000-00009C200000}"/>
    <cellStyle name="Vírgula 3 3 5 5 2" xfId="1776" xr:uid="{00000000-0005-0000-0000-00009D200000}"/>
    <cellStyle name="Vírgula 3 3 5 5 2 2" xfId="3834" xr:uid="{00000000-0005-0000-0000-00009E200000}"/>
    <cellStyle name="Vírgula 3 3 5 5 2 2 2" xfId="10350" xr:uid="{00000000-0005-0000-0000-00009F200000}"/>
    <cellStyle name="Vírgula 3 3 5 5 2 3" xfId="6064" xr:uid="{00000000-0005-0000-0000-0000A0200000}"/>
    <cellStyle name="Vírgula 3 3 5 5 2 3 2" xfId="12578" xr:uid="{00000000-0005-0000-0000-0000A1200000}"/>
    <cellStyle name="Vírgula 3 3 5 5 2 4" xfId="8294" xr:uid="{00000000-0005-0000-0000-0000A2200000}"/>
    <cellStyle name="Vírgula 3 3 5 5 3" xfId="2806" xr:uid="{00000000-0005-0000-0000-0000A3200000}"/>
    <cellStyle name="Vírgula 3 3 5 5 3 2" xfId="9322" xr:uid="{00000000-0005-0000-0000-0000A4200000}"/>
    <cellStyle name="Vírgula 3 3 5 5 4" xfId="5036" xr:uid="{00000000-0005-0000-0000-0000A5200000}"/>
    <cellStyle name="Vírgula 3 3 5 5 4 2" xfId="11550" xr:uid="{00000000-0005-0000-0000-0000A6200000}"/>
    <cellStyle name="Vírgula 3 3 5 5 5" xfId="7266" xr:uid="{00000000-0005-0000-0000-0000A7200000}"/>
    <cellStyle name="Vírgula 3 3 5 6" xfId="1262" xr:uid="{00000000-0005-0000-0000-0000A8200000}"/>
    <cellStyle name="Vírgula 3 3 5 6 2" xfId="3320" xr:uid="{00000000-0005-0000-0000-0000A9200000}"/>
    <cellStyle name="Vírgula 3 3 5 6 2 2" xfId="9836" xr:uid="{00000000-0005-0000-0000-0000AA200000}"/>
    <cellStyle name="Vírgula 3 3 5 6 3" xfId="5550" xr:uid="{00000000-0005-0000-0000-0000AB200000}"/>
    <cellStyle name="Vírgula 3 3 5 6 3 2" xfId="12064" xr:uid="{00000000-0005-0000-0000-0000AC200000}"/>
    <cellStyle name="Vírgula 3 3 5 6 4" xfId="7780" xr:uid="{00000000-0005-0000-0000-0000AD200000}"/>
    <cellStyle name="Vírgula 3 3 5 7" xfId="2292" xr:uid="{00000000-0005-0000-0000-0000AE200000}"/>
    <cellStyle name="Vírgula 3 3 5 7 2" xfId="8808" xr:uid="{00000000-0005-0000-0000-0000AF200000}"/>
    <cellStyle name="Vírgula 3 3 5 8" xfId="4398" xr:uid="{00000000-0005-0000-0000-0000B0200000}"/>
    <cellStyle name="Vírgula 3 3 5 8 2" xfId="10912" xr:uid="{00000000-0005-0000-0000-0000B1200000}"/>
    <cellStyle name="Vírgula 3 3 5 9" xfId="6628" xr:uid="{00000000-0005-0000-0000-0000B2200000}"/>
    <cellStyle name="Vírgula 3 3 6" xfId="169" xr:uid="{00000000-0005-0000-0000-0000B3200000}"/>
    <cellStyle name="Vírgula 3 3 6 2" xfId="297" xr:uid="{00000000-0005-0000-0000-0000B4200000}"/>
    <cellStyle name="Vírgula 3 3 6 2 2" xfId="640" xr:uid="{00000000-0005-0000-0000-0000B5200000}"/>
    <cellStyle name="Vírgula 3 3 6 2 2 2" xfId="1164" xr:uid="{00000000-0005-0000-0000-0000B6200000}"/>
    <cellStyle name="Vírgula 3 3 6 2 2 2 2" xfId="2192" xr:uid="{00000000-0005-0000-0000-0000B7200000}"/>
    <cellStyle name="Vírgula 3 3 6 2 2 2 2 2" xfId="4250" xr:uid="{00000000-0005-0000-0000-0000B8200000}"/>
    <cellStyle name="Vírgula 3 3 6 2 2 2 2 2 2" xfId="10766" xr:uid="{00000000-0005-0000-0000-0000B9200000}"/>
    <cellStyle name="Vírgula 3 3 6 2 2 2 2 3" xfId="6480" xr:uid="{00000000-0005-0000-0000-0000BA200000}"/>
    <cellStyle name="Vírgula 3 3 6 2 2 2 2 3 2" xfId="12994" xr:uid="{00000000-0005-0000-0000-0000BB200000}"/>
    <cellStyle name="Vírgula 3 3 6 2 2 2 2 4" xfId="8710" xr:uid="{00000000-0005-0000-0000-0000BC200000}"/>
    <cellStyle name="Vírgula 3 3 6 2 2 2 3" xfId="3222" xr:uid="{00000000-0005-0000-0000-0000BD200000}"/>
    <cellStyle name="Vírgula 3 3 6 2 2 2 3 2" xfId="9738" xr:uid="{00000000-0005-0000-0000-0000BE200000}"/>
    <cellStyle name="Vírgula 3 3 6 2 2 2 4" xfId="5452" xr:uid="{00000000-0005-0000-0000-0000BF200000}"/>
    <cellStyle name="Vírgula 3 3 6 2 2 2 4 2" xfId="11966" xr:uid="{00000000-0005-0000-0000-0000C0200000}"/>
    <cellStyle name="Vírgula 3 3 6 2 2 2 5" xfId="7682" xr:uid="{00000000-0005-0000-0000-0000C1200000}"/>
    <cellStyle name="Vírgula 3 3 6 2 2 3" xfId="1678" xr:uid="{00000000-0005-0000-0000-0000C2200000}"/>
    <cellStyle name="Vírgula 3 3 6 2 2 3 2" xfId="3736" xr:uid="{00000000-0005-0000-0000-0000C3200000}"/>
    <cellStyle name="Vírgula 3 3 6 2 2 3 2 2" xfId="10252" xr:uid="{00000000-0005-0000-0000-0000C4200000}"/>
    <cellStyle name="Vírgula 3 3 6 2 2 3 3" xfId="5966" xr:uid="{00000000-0005-0000-0000-0000C5200000}"/>
    <cellStyle name="Vírgula 3 3 6 2 2 3 3 2" xfId="12480" xr:uid="{00000000-0005-0000-0000-0000C6200000}"/>
    <cellStyle name="Vírgula 3 3 6 2 2 3 4" xfId="8196" xr:uid="{00000000-0005-0000-0000-0000C7200000}"/>
    <cellStyle name="Vírgula 3 3 6 2 2 4" xfId="2708" xr:uid="{00000000-0005-0000-0000-0000C8200000}"/>
    <cellStyle name="Vírgula 3 3 6 2 2 4 2" xfId="9224" xr:uid="{00000000-0005-0000-0000-0000C9200000}"/>
    <cellStyle name="Vírgula 3 3 6 2 2 5" xfId="4936" xr:uid="{00000000-0005-0000-0000-0000CA200000}"/>
    <cellStyle name="Vírgula 3 3 6 2 2 5 2" xfId="11450" xr:uid="{00000000-0005-0000-0000-0000CB200000}"/>
    <cellStyle name="Vírgula 3 3 6 2 2 6" xfId="7166" xr:uid="{00000000-0005-0000-0000-0000CC200000}"/>
    <cellStyle name="Vírgula 3 3 6 2 3" xfId="908" xr:uid="{00000000-0005-0000-0000-0000CD200000}"/>
    <cellStyle name="Vírgula 3 3 6 2 3 2" xfId="1936" xr:uid="{00000000-0005-0000-0000-0000CE200000}"/>
    <cellStyle name="Vírgula 3 3 6 2 3 2 2" xfId="3994" xr:uid="{00000000-0005-0000-0000-0000CF200000}"/>
    <cellStyle name="Vírgula 3 3 6 2 3 2 2 2" xfId="10510" xr:uid="{00000000-0005-0000-0000-0000D0200000}"/>
    <cellStyle name="Vírgula 3 3 6 2 3 2 3" xfId="6224" xr:uid="{00000000-0005-0000-0000-0000D1200000}"/>
    <cellStyle name="Vírgula 3 3 6 2 3 2 3 2" xfId="12738" xr:uid="{00000000-0005-0000-0000-0000D2200000}"/>
    <cellStyle name="Vírgula 3 3 6 2 3 2 4" xfId="8454" xr:uid="{00000000-0005-0000-0000-0000D3200000}"/>
    <cellStyle name="Vírgula 3 3 6 2 3 3" xfId="2966" xr:uid="{00000000-0005-0000-0000-0000D4200000}"/>
    <cellStyle name="Vírgula 3 3 6 2 3 3 2" xfId="9482" xr:uid="{00000000-0005-0000-0000-0000D5200000}"/>
    <cellStyle name="Vírgula 3 3 6 2 3 4" xfId="5196" xr:uid="{00000000-0005-0000-0000-0000D6200000}"/>
    <cellStyle name="Vírgula 3 3 6 2 3 4 2" xfId="11710" xr:uid="{00000000-0005-0000-0000-0000D7200000}"/>
    <cellStyle name="Vírgula 3 3 6 2 3 5" xfId="7426" xr:uid="{00000000-0005-0000-0000-0000D8200000}"/>
    <cellStyle name="Vírgula 3 3 6 2 4" xfId="1422" xr:uid="{00000000-0005-0000-0000-0000D9200000}"/>
    <cellStyle name="Vírgula 3 3 6 2 4 2" xfId="3480" xr:uid="{00000000-0005-0000-0000-0000DA200000}"/>
    <cellStyle name="Vírgula 3 3 6 2 4 2 2" xfId="9996" xr:uid="{00000000-0005-0000-0000-0000DB200000}"/>
    <cellStyle name="Vírgula 3 3 6 2 4 3" xfId="5710" xr:uid="{00000000-0005-0000-0000-0000DC200000}"/>
    <cellStyle name="Vírgula 3 3 6 2 4 3 2" xfId="12224" xr:uid="{00000000-0005-0000-0000-0000DD200000}"/>
    <cellStyle name="Vírgula 3 3 6 2 4 4" xfId="7940" xr:uid="{00000000-0005-0000-0000-0000DE200000}"/>
    <cellStyle name="Vírgula 3 3 6 2 5" xfId="2452" xr:uid="{00000000-0005-0000-0000-0000DF200000}"/>
    <cellStyle name="Vírgula 3 3 6 2 5 2" xfId="8968" xr:uid="{00000000-0005-0000-0000-0000E0200000}"/>
    <cellStyle name="Vírgula 3 3 6 2 6" xfId="4594" xr:uid="{00000000-0005-0000-0000-0000E1200000}"/>
    <cellStyle name="Vírgula 3 3 6 2 6 2" xfId="11108" xr:uid="{00000000-0005-0000-0000-0000E2200000}"/>
    <cellStyle name="Vírgula 3 3 6 2 7" xfId="6824" xr:uid="{00000000-0005-0000-0000-0000E3200000}"/>
    <cellStyle name="Vírgula 3 3 6 3" xfId="512" xr:uid="{00000000-0005-0000-0000-0000E4200000}"/>
    <cellStyle name="Vírgula 3 3 6 3 2" xfId="1036" xr:uid="{00000000-0005-0000-0000-0000E5200000}"/>
    <cellStyle name="Vírgula 3 3 6 3 2 2" xfId="2064" xr:uid="{00000000-0005-0000-0000-0000E6200000}"/>
    <cellStyle name="Vírgula 3 3 6 3 2 2 2" xfId="4122" xr:uid="{00000000-0005-0000-0000-0000E7200000}"/>
    <cellStyle name="Vírgula 3 3 6 3 2 2 2 2" xfId="10638" xr:uid="{00000000-0005-0000-0000-0000E8200000}"/>
    <cellStyle name="Vírgula 3 3 6 3 2 2 3" xfId="6352" xr:uid="{00000000-0005-0000-0000-0000E9200000}"/>
    <cellStyle name="Vírgula 3 3 6 3 2 2 3 2" xfId="12866" xr:uid="{00000000-0005-0000-0000-0000EA200000}"/>
    <cellStyle name="Vírgula 3 3 6 3 2 2 4" xfId="8582" xr:uid="{00000000-0005-0000-0000-0000EB200000}"/>
    <cellStyle name="Vírgula 3 3 6 3 2 3" xfId="3094" xr:uid="{00000000-0005-0000-0000-0000EC200000}"/>
    <cellStyle name="Vírgula 3 3 6 3 2 3 2" xfId="9610" xr:uid="{00000000-0005-0000-0000-0000ED200000}"/>
    <cellStyle name="Vírgula 3 3 6 3 2 4" xfId="5324" xr:uid="{00000000-0005-0000-0000-0000EE200000}"/>
    <cellStyle name="Vírgula 3 3 6 3 2 4 2" xfId="11838" xr:uid="{00000000-0005-0000-0000-0000EF200000}"/>
    <cellStyle name="Vírgula 3 3 6 3 2 5" xfId="7554" xr:uid="{00000000-0005-0000-0000-0000F0200000}"/>
    <cellStyle name="Vírgula 3 3 6 3 3" xfId="1550" xr:uid="{00000000-0005-0000-0000-0000F1200000}"/>
    <cellStyle name="Vírgula 3 3 6 3 3 2" xfId="3608" xr:uid="{00000000-0005-0000-0000-0000F2200000}"/>
    <cellStyle name="Vírgula 3 3 6 3 3 2 2" xfId="10124" xr:uid="{00000000-0005-0000-0000-0000F3200000}"/>
    <cellStyle name="Vírgula 3 3 6 3 3 3" xfId="5838" xr:uid="{00000000-0005-0000-0000-0000F4200000}"/>
    <cellStyle name="Vírgula 3 3 6 3 3 3 2" xfId="12352" xr:uid="{00000000-0005-0000-0000-0000F5200000}"/>
    <cellStyle name="Vírgula 3 3 6 3 3 4" xfId="8068" xr:uid="{00000000-0005-0000-0000-0000F6200000}"/>
    <cellStyle name="Vírgula 3 3 6 3 4" xfId="2580" xr:uid="{00000000-0005-0000-0000-0000F7200000}"/>
    <cellStyle name="Vírgula 3 3 6 3 4 2" xfId="9096" xr:uid="{00000000-0005-0000-0000-0000F8200000}"/>
    <cellStyle name="Vírgula 3 3 6 3 5" xfId="4808" xr:uid="{00000000-0005-0000-0000-0000F9200000}"/>
    <cellStyle name="Vírgula 3 3 6 3 5 2" xfId="11322" xr:uid="{00000000-0005-0000-0000-0000FA200000}"/>
    <cellStyle name="Vírgula 3 3 6 3 6" xfId="7038" xr:uid="{00000000-0005-0000-0000-0000FB200000}"/>
    <cellStyle name="Vírgula 3 3 6 4" xfId="780" xr:uid="{00000000-0005-0000-0000-0000FC200000}"/>
    <cellStyle name="Vírgula 3 3 6 4 2" xfId="1808" xr:uid="{00000000-0005-0000-0000-0000FD200000}"/>
    <cellStyle name="Vírgula 3 3 6 4 2 2" xfId="3866" xr:uid="{00000000-0005-0000-0000-0000FE200000}"/>
    <cellStyle name="Vírgula 3 3 6 4 2 2 2" xfId="10382" xr:uid="{00000000-0005-0000-0000-0000FF200000}"/>
    <cellStyle name="Vírgula 3 3 6 4 2 3" xfId="6096" xr:uid="{00000000-0005-0000-0000-000000210000}"/>
    <cellStyle name="Vírgula 3 3 6 4 2 3 2" xfId="12610" xr:uid="{00000000-0005-0000-0000-000001210000}"/>
    <cellStyle name="Vírgula 3 3 6 4 2 4" xfId="8326" xr:uid="{00000000-0005-0000-0000-000002210000}"/>
    <cellStyle name="Vírgula 3 3 6 4 3" xfId="2838" xr:uid="{00000000-0005-0000-0000-000003210000}"/>
    <cellStyle name="Vírgula 3 3 6 4 3 2" xfId="9354" xr:uid="{00000000-0005-0000-0000-000004210000}"/>
    <cellStyle name="Vírgula 3 3 6 4 4" xfId="5068" xr:uid="{00000000-0005-0000-0000-000005210000}"/>
    <cellStyle name="Vírgula 3 3 6 4 4 2" xfId="11582" xr:uid="{00000000-0005-0000-0000-000006210000}"/>
    <cellStyle name="Vírgula 3 3 6 4 5" xfId="7298" xr:uid="{00000000-0005-0000-0000-000007210000}"/>
    <cellStyle name="Vírgula 3 3 6 5" xfId="1294" xr:uid="{00000000-0005-0000-0000-000008210000}"/>
    <cellStyle name="Vírgula 3 3 6 5 2" xfId="3352" xr:uid="{00000000-0005-0000-0000-000009210000}"/>
    <cellStyle name="Vírgula 3 3 6 5 2 2" xfId="9868" xr:uid="{00000000-0005-0000-0000-00000A210000}"/>
    <cellStyle name="Vírgula 3 3 6 5 3" xfId="5582" xr:uid="{00000000-0005-0000-0000-00000B210000}"/>
    <cellStyle name="Vírgula 3 3 6 5 3 2" xfId="12096" xr:uid="{00000000-0005-0000-0000-00000C210000}"/>
    <cellStyle name="Vírgula 3 3 6 5 4" xfId="7812" xr:uid="{00000000-0005-0000-0000-00000D210000}"/>
    <cellStyle name="Vírgula 3 3 6 6" xfId="2324" xr:uid="{00000000-0005-0000-0000-00000E210000}"/>
    <cellStyle name="Vírgula 3 3 6 6 2" xfId="8840" xr:uid="{00000000-0005-0000-0000-00000F210000}"/>
    <cellStyle name="Vírgula 3 3 6 7" xfId="4466" xr:uid="{00000000-0005-0000-0000-000010210000}"/>
    <cellStyle name="Vírgula 3 3 6 7 2" xfId="10980" xr:uid="{00000000-0005-0000-0000-000011210000}"/>
    <cellStyle name="Vírgula 3 3 6 8" xfId="6696" xr:uid="{00000000-0005-0000-0000-000012210000}"/>
    <cellStyle name="Vírgula 3 3 7" xfId="233" xr:uid="{00000000-0005-0000-0000-000013210000}"/>
    <cellStyle name="Vírgula 3 3 7 2" xfId="576" xr:uid="{00000000-0005-0000-0000-000014210000}"/>
    <cellStyle name="Vírgula 3 3 7 2 2" xfId="1100" xr:uid="{00000000-0005-0000-0000-000015210000}"/>
    <cellStyle name="Vírgula 3 3 7 2 2 2" xfId="2128" xr:uid="{00000000-0005-0000-0000-000016210000}"/>
    <cellStyle name="Vírgula 3 3 7 2 2 2 2" xfId="4186" xr:uid="{00000000-0005-0000-0000-000017210000}"/>
    <cellStyle name="Vírgula 3 3 7 2 2 2 2 2" xfId="10702" xr:uid="{00000000-0005-0000-0000-000018210000}"/>
    <cellStyle name="Vírgula 3 3 7 2 2 2 3" xfId="6416" xr:uid="{00000000-0005-0000-0000-000019210000}"/>
    <cellStyle name="Vírgula 3 3 7 2 2 2 3 2" xfId="12930" xr:uid="{00000000-0005-0000-0000-00001A210000}"/>
    <cellStyle name="Vírgula 3 3 7 2 2 2 4" xfId="8646" xr:uid="{00000000-0005-0000-0000-00001B210000}"/>
    <cellStyle name="Vírgula 3 3 7 2 2 3" xfId="3158" xr:uid="{00000000-0005-0000-0000-00001C210000}"/>
    <cellStyle name="Vírgula 3 3 7 2 2 3 2" xfId="9674" xr:uid="{00000000-0005-0000-0000-00001D210000}"/>
    <cellStyle name="Vírgula 3 3 7 2 2 4" xfId="5388" xr:uid="{00000000-0005-0000-0000-00001E210000}"/>
    <cellStyle name="Vírgula 3 3 7 2 2 4 2" xfId="11902" xr:uid="{00000000-0005-0000-0000-00001F210000}"/>
    <cellStyle name="Vírgula 3 3 7 2 2 5" xfId="7618" xr:uid="{00000000-0005-0000-0000-000020210000}"/>
    <cellStyle name="Vírgula 3 3 7 2 3" xfId="1614" xr:uid="{00000000-0005-0000-0000-000021210000}"/>
    <cellStyle name="Vírgula 3 3 7 2 3 2" xfId="3672" xr:uid="{00000000-0005-0000-0000-000022210000}"/>
    <cellStyle name="Vírgula 3 3 7 2 3 2 2" xfId="10188" xr:uid="{00000000-0005-0000-0000-000023210000}"/>
    <cellStyle name="Vírgula 3 3 7 2 3 3" xfId="5902" xr:uid="{00000000-0005-0000-0000-000024210000}"/>
    <cellStyle name="Vírgula 3 3 7 2 3 3 2" xfId="12416" xr:uid="{00000000-0005-0000-0000-000025210000}"/>
    <cellStyle name="Vírgula 3 3 7 2 3 4" xfId="8132" xr:uid="{00000000-0005-0000-0000-000026210000}"/>
    <cellStyle name="Vírgula 3 3 7 2 4" xfId="2644" xr:uid="{00000000-0005-0000-0000-000027210000}"/>
    <cellStyle name="Vírgula 3 3 7 2 4 2" xfId="9160" xr:uid="{00000000-0005-0000-0000-000028210000}"/>
    <cellStyle name="Vírgula 3 3 7 2 5" xfId="4872" xr:uid="{00000000-0005-0000-0000-000029210000}"/>
    <cellStyle name="Vírgula 3 3 7 2 5 2" xfId="11386" xr:uid="{00000000-0005-0000-0000-00002A210000}"/>
    <cellStyle name="Vírgula 3 3 7 2 6" xfId="7102" xr:uid="{00000000-0005-0000-0000-00002B210000}"/>
    <cellStyle name="Vírgula 3 3 7 3" xfId="844" xr:uid="{00000000-0005-0000-0000-00002C210000}"/>
    <cellStyle name="Vírgula 3 3 7 3 2" xfId="1872" xr:uid="{00000000-0005-0000-0000-00002D210000}"/>
    <cellStyle name="Vírgula 3 3 7 3 2 2" xfId="3930" xr:uid="{00000000-0005-0000-0000-00002E210000}"/>
    <cellStyle name="Vírgula 3 3 7 3 2 2 2" xfId="10446" xr:uid="{00000000-0005-0000-0000-00002F210000}"/>
    <cellStyle name="Vírgula 3 3 7 3 2 3" xfId="6160" xr:uid="{00000000-0005-0000-0000-000030210000}"/>
    <cellStyle name="Vírgula 3 3 7 3 2 3 2" xfId="12674" xr:uid="{00000000-0005-0000-0000-000031210000}"/>
    <cellStyle name="Vírgula 3 3 7 3 2 4" xfId="8390" xr:uid="{00000000-0005-0000-0000-000032210000}"/>
    <cellStyle name="Vírgula 3 3 7 3 3" xfId="2902" xr:uid="{00000000-0005-0000-0000-000033210000}"/>
    <cellStyle name="Vírgula 3 3 7 3 3 2" xfId="9418" xr:uid="{00000000-0005-0000-0000-000034210000}"/>
    <cellStyle name="Vírgula 3 3 7 3 4" xfId="5132" xr:uid="{00000000-0005-0000-0000-000035210000}"/>
    <cellStyle name="Vírgula 3 3 7 3 4 2" xfId="11646" xr:uid="{00000000-0005-0000-0000-000036210000}"/>
    <cellStyle name="Vírgula 3 3 7 3 5" xfId="7362" xr:uid="{00000000-0005-0000-0000-000037210000}"/>
    <cellStyle name="Vírgula 3 3 7 4" xfId="1358" xr:uid="{00000000-0005-0000-0000-000038210000}"/>
    <cellStyle name="Vírgula 3 3 7 4 2" xfId="3416" xr:uid="{00000000-0005-0000-0000-000039210000}"/>
    <cellStyle name="Vírgula 3 3 7 4 2 2" xfId="9932" xr:uid="{00000000-0005-0000-0000-00003A210000}"/>
    <cellStyle name="Vírgula 3 3 7 4 3" xfId="5646" xr:uid="{00000000-0005-0000-0000-00003B210000}"/>
    <cellStyle name="Vírgula 3 3 7 4 3 2" xfId="12160" xr:uid="{00000000-0005-0000-0000-00003C210000}"/>
    <cellStyle name="Vírgula 3 3 7 4 4" xfId="7876" xr:uid="{00000000-0005-0000-0000-00003D210000}"/>
    <cellStyle name="Vírgula 3 3 7 5" xfId="2388" xr:uid="{00000000-0005-0000-0000-00003E210000}"/>
    <cellStyle name="Vírgula 3 3 7 5 2" xfId="8904" xr:uid="{00000000-0005-0000-0000-00003F210000}"/>
    <cellStyle name="Vírgula 3 3 7 6" xfId="4530" xr:uid="{00000000-0005-0000-0000-000040210000}"/>
    <cellStyle name="Vírgula 3 3 7 6 2" xfId="11044" xr:uid="{00000000-0005-0000-0000-000041210000}"/>
    <cellStyle name="Vírgula 3 3 7 7" xfId="6760" xr:uid="{00000000-0005-0000-0000-000042210000}"/>
    <cellStyle name="Vírgula 3 3 8" xfId="370" xr:uid="{00000000-0005-0000-0000-000043210000}"/>
    <cellStyle name="Vírgula 3 3 8 2" xfId="972" xr:uid="{00000000-0005-0000-0000-000044210000}"/>
    <cellStyle name="Vírgula 3 3 8 2 2" xfId="2000" xr:uid="{00000000-0005-0000-0000-000045210000}"/>
    <cellStyle name="Vírgula 3 3 8 2 2 2" xfId="4058" xr:uid="{00000000-0005-0000-0000-000046210000}"/>
    <cellStyle name="Vírgula 3 3 8 2 2 2 2" xfId="10574" xr:uid="{00000000-0005-0000-0000-000047210000}"/>
    <cellStyle name="Vírgula 3 3 8 2 2 3" xfId="6288" xr:uid="{00000000-0005-0000-0000-000048210000}"/>
    <cellStyle name="Vírgula 3 3 8 2 2 3 2" xfId="12802" xr:uid="{00000000-0005-0000-0000-000049210000}"/>
    <cellStyle name="Vírgula 3 3 8 2 2 4" xfId="8518" xr:uid="{00000000-0005-0000-0000-00004A210000}"/>
    <cellStyle name="Vírgula 3 3 8 2 3" xfId="3030" xr:uid="{00000000-0005-0000-0000-00004B210000}"/>
    <cellStyle name="Vírgula 3 3 8 2 3 2" xfId="9546" xr:uid="{00000000-0005-0000-0000-00004C210000}"/>
    <cellStyle name="Vírgula 3 3 8 2 4" xfId="5260" xr:uid="{00000000-0005-0000-0000-00004D210000}"/>
    <cellStyle name="Vírgula 3 3 8 2 4 2" xfId="11774" xr:uid="{00000000-0005-0000-0000-00004E210000}"/>
    <cellStyle name="Vírgula 3 3 8 2 5" xfId="7490" xr:uid="{00000000-0005-0000-0000-00004F210000}"/>
    <cellStyle name="Vírgula 3 3 8 3" xfId="1486" xr:uid="{00000000-0005-0000-0000-000050210000}"/>
    <cellStyle name="Vírgula 3 3 8 3 2" xfId="3544" xr:uid="{00000000-0005-0000-0000-000051210000}"/>
    <cellStyle name="Vírgula 3 3 8 3 2 2" xfId="10060" xr:uid="{00000000-0005-0000-0000-000052210000}"/>
    <cellStyle name="Vírgula 3 3 8 3 3" xfId="5774" xr:uid="{00000000-0005-0000-0000-000053210000}"/>
    <cellStyle name="Vírgula 3 3 8 3 3 2" xfId="12288" xr:uid="{00000000-0005-0000-0000-000054210000}"/>
    <cellStyle name="Vírgula 3 3 8 3 4" xfId="8004" xr:uid="{00000000-0005-0000-0000-000055210000}"/>
    <cellStyle name="Vírgula 3 3 8 4" xfId="2516" xr:uid="{00000000-0005-0000-0000-000056210000}"/>
    <cellStyle name="Vírgula 3 3 8 4 2" xfId="9032" xr:uid="{00000000-0005-0000-0000-000057210000}"/>
    <cellStyle name="Vírgula 3 3 8 5" xfId="4666" xr:uid="{00000000-0005-0000-0000-000058210000}"/>
    <cellStyle name="Vírgula 3 3 8 5 2" xfId="11180" xr:uid="{00000000-0005-0000-0000-000059210000}"/>
    <cellStyle name="Vírgula 3 3 8 6" xfId="6896" xr:uid="{00000000-0005-0000-0000-00005A210000}"/>
    <cellStyle name="Vírgula 3 3 9" xfId="716" xr:uid="{00000000-0005-0000-0000-00005B210000}"/>
    <cellStyle name="Vírgula 3 3 9 2" xfId="1744" xr:uid="{00000000-0005-0000-0000-00005C210000}"/>
    <cellStyle name="Vírgula 3 3 9 2 2" xfId="3802" xr:uid="{00000000-0005-0000-0000-00005D210000}"/>
    <cellStyle name="Vírgula 3 3 9 2 2 2" xfId="10318" xr:uid="{00000000-0005-0000-0000-00005E210000}"/>
    <cellStyle name="Vírgula 3 3 9 2 3" xfId="6032" xr:uid="{00000000-0005-0000-0000-00005F210000}"/>
    <cellStyle name="Vírgula 3 3 9 2 3 2" xfId="12546" xr:uid="{00000000-0005-0000-0000-000060210000}"/>
    <cellStyle name="Vírgula 3 3 9 2 4" xfId="8262" xr:uid="{00000000-0005-0000-0000-000061210000}"/>
    <cellStyle name="Vírgula 3 3 9 3" xfId="2774" xr:uid="{00000000-0005-0000-0000-000062210000}"/>
    <cellStyle name="Vírgula 3 3 9 3 2" xfId="9290" xr:uid="{00000000-0005-0000-0000-000063210000}"/>
    <cellStyle name="Vírgula 3 3 9 4" xfId="5004" xr:uid="{00000000-0005-0000-0000-000064210000}"/>
    <cellStyle name="Vírgula 3 3 9 4 2" xfId="11518" xr:uid="{00000000-0005-0000-0000-000065210000}"/>
    <cellStyle name="Vírgula 3 3 9 5" xfId="7234" xr:uid="{00000000-0005-0000-0000-000066210000}"/>
    <cellStyle name="Vírgula 3 4" xfId="29" xr:uid="{00000000-0005-0000-0000-000067210000}"/>
    <cellStyle name="Vírgula 3 4 10" xfId="1231" xr:uid="{00000000-0005-0000-0000-000068210000}"/>
    <cellStyle name="Vírgula 3 4 10 2" xfId="3289" xr:uid="{00000000-0005-0000-0000-000069210000}"/>
    <cellStyle name="Vírgula 3 4 10 2 2" xfId="9805" xr:uid="{00000000-0005-0000-0000-00006A210000}"/>
    <cellStyle name="Vírgula 3 4 10 3" xfId="5519" xr:uid="{00000000-0005-0000-0000-00006B210000}"/>
    <cellStyle name="Vírgula 3 4 10 3 2" xfId="12033" xr:uid="{00000000-0005-0000-0000-00006C210000}"/>
    <cellStyle name="Vírgula 3 4 10 4" xfId="7749" xr:uid="{00000000-0005-0000-0000-00006D210000}"/>
    <cellStyle name="Vírgula 3 4 11" xfId="2261" xr:uid="{00000000-0005-0000-0000-00006E210000}"/>
    <cellStyle name="Vírgula 3 4 11 2" xfId="8777" xr:uid="{00000000-0005-0000-0000-00006F210000}"/>
    <cellStyle name="Vírgula 3 4 12" xfId="4327" xr:uid="{00000000-0005-0000-0000-000070210000}"/>
    <cellStyle name="Vírgula 3 4 12 2" xfId="10841" xr:uid="{00000000-0005-0000-0000-000071210000}"/>
    <cellStyle name="Vírgula 3 4 13" xfId="6557" xr:uid="{00000000-0005-0000-0000-000072210000}"/>
    <cellStyle name="Vírgula 3 4 2" xfId="44" xr:uid="{00000000-0005-0000-0000-000073210000}"/>
    <cellStyle name="Vírgula 3 4 2 10" xfId="4342" xr:uid="{00000000-0005-0000-0000-000074210000}"/>
    <cellStyle name="Vírgula 3 4 2 10 2" xfId="10856" xr:uid="{00000000-0005-0000-0000-000075210000}"/>
    <cellStyle name="Vírgula 3 4 2 11" xfId="6572" xr:uid="{00000000-0005-0000-0000-000076210000}"/>
    <cellStyle name="Vírgula 3 4 2 2" xfId="82" xr:uid="{00000000-0005-0000-0000-000077210000}"/>
    <cellStyle name="Vírgula 3 4 2 2 10" xfId="6609" xr:uid="{00000000-0005-0000-0000-000078210000}"/>
    <cellStyle name="Vírgula 3 4 2 2 2" xfId="156" xr:uid="{00000000-0005-0000-0000-000079210000}"/>
    <cellStyle name="Vírgula 3 4 2 2 2 2" xfId="224" xr:uid="{00000000-0005-0000-0000-00007A210000}"/>
    <cellStyle name="Vírgula 3 4 2 2 2 2 2" xfId="352" xr:uid="{00000000-0005-0000-0000-00007B210000}"/>
    <cellStyle name="Vírgula 3 4 2 2 2 2 2 2" xfId="695" xr:uid="{00000000-0005-0000-0000-00007C210000}"/>
    <cellStyle name="Vírgula 3 4 2 2 2 2 2 2 2" xfId="1219" xr:uid="{00000000-0005-0000-0000-00007D210000}"/>
    <cellStyle name="Vírgula 3 4 2 2 2 2 2 2 2 2" xfId="2247" xr:uid="{00000000-0005-0000-0000-00007E210000}"/>
    <cellStyle name="Vírgula 3 4 2 2 2 2 2 2 2 2 2" xfId="4305" xr:uid="{00000000-0005-0000-0000-00007F210000}"/>
    <cellStyle name="Vírgula 3 4 2 2 2 2 2 2 2 2 2 2" xfId="10821" xr:uid="{00000000-0005-0000-0000-000080210000}"/>
    <cellStyle name="Vírgula 3 4 2 2 2 2 2 2 2 2 3" xfId="6535" xr:uid="{00000000-0005-0000-0000-000081210000}"/>
    <cellStyle name="Vírgula 3 4 2 2 2 2 2 2 2 2 3 2" xfId="13049" xr:uid="{00000000-0005-0000-0000-000082210000}"/>
    <cellStyle name="Vírgula 3 4 2 2 2 2 2 2 2 2 4" xfId="8765" xr:uid="{00000000-0005-0000-0000-000083210000}"/>
    <cellStyle name="Vírgula 3 4 2 2 2 2 2 2 2 3" xfId="3277" xr:uid="{00000000-0005-0000-0000-000084210000}"/>
    <cellStyle name="Vírgula 3 4 2 2 2 2 2 2 2 3 2" xfId="9793" xr:uid="{00000000-0005-0000-0000-000085210000}"/>
    <cellStyle name="Vírgula 3 4 2 2 2 2 2 2 2 4" xfId="5507" xr:uid="{00000000-0005-0000-0000-000086210000}"/>
    <cellStyle name="Vírgula 3 4 2 2 2 2 2 2 2 4 2" xfId="12021" xr:uid="{00000000-0005-0000-0000-000087210000}"/>
    <cellStyle name="Vírgula 3 4 2 2 2 2 2 2 2 5" xfId="7737" xr:uid="{00000000-0005-0000-0000-000088210000}"/>
    <cellStyle name="Vírgula 3 4 2 2 2 2 2 2 3" xfId="1733" xr:uid="{00000000-0005-0000-0000-000089210000}"/>
    <cellStyle name="Vírgula 3 4 2 2 2 2 2 2 3 2" xfId="3791" xr:uid="{00000000-0005-0000-0000-00008A210000}"/>
    <cellStyle name="Vírgula 3 4 2 2 2 2 2 2 3 2 2" xfId="10307" xr:uid="{00000000-0005-0000-0000-00008B210000}"/>
    <cellStyle name="Vírgula 3 4 2 2 2 2 2 2 3 3" xfId="6021" xr:uid="{00000000-0005-0000-0000-00008C210000}"/>
    <cellStyle name="Vírgula 3 4 2 2 2 2 2 2 3 3 2" xfId="12535" xr:uid="{00000000-0005-0000-0000-00008D210000}"/>
    <cellStyle name="Vírgula 3 4 2 2 2 2 2 2 3 4" xfId="8251" xr:uid="{00000000-0005-0000-0000-00008E210000}"/>
    <cellStyle name="Vírgula 3 4 2 2 2 2 2 2 4" xfId="2763" xr:uid="{00000000-0005-0000-0000-00008F210000}"/>
    <cellStyle name="Vírgula 3 4 2 2 2 2 2 2 4 2" xfId="9279" xr:uid="{00000000-0005-0000-0000-000090210000}"/>
    <cellStyle name="Vírgula 3 4 2 2 2 2 2 2 5" xfId="4991" xr:uid="{00000000-0005-0000-0000-000091210000}"/>
    <cellStyle name="Vírgula 3 4 2 2 2 2 2 2 5 2" xfId="11505" xr:uid="{00000000-0005-0000-0000-000092210000}"/>
    <cellStyle name="Vírgula 3 4 2 2 2 2 2 2 6" xfId="7221" xr:uid="{00000000-0005-0000-0000-000093210000}"/>
    <cellStyle name="Vírgula 3 4 2 2 2 2 2 3" xfId="963" xr:uid="{00000000-0005-0000-0000-000094210000}"/>
    <cellStyle name="Vírgula 3 4 2 2 2 2 2 3 2" xfId="1991" xr:uid="{00000000-0005-0000-0000-000095210000}"/>
    <cellStyle name="Vírgula 3 4 2 2 2 2 2 3 2 2" xfId="4049" xr:uid="{00000000-0005-0000-0000-000096210000}"/>
    <cellStyle name="Vírgula 3 4 2 2 2 2 2 3 2 2 2" xfId="10565" xr:uid="{00000000-0005-0000-0000-000097210000}"/>
    <cellStyle name="Vírgula 3 4 2 2 2 2 2 3 2 3" xfId="6279" xr:uid="{00000000-0005-0000-0000-000098210000}"/>
    <cellStyle name="Vírgula 3 4 2 2 2 2 2 3 2 3 2" xfId="12793" xr:uid="{00000000-0005-0000-0000-000099210000}"/>
    <cellStyle name="Vírgula 3 4 2 2 2 2 2 3 2 4" xfId="8509" xr:uid="{00000000-0005-0000-0000-00009A210000}"/>
    <cellStyle name="Vírgula 3 4 2 2 2 2 2 3 3" xfId="3021" xr:uid="{00000000-0005-0000-0000-00009B210000}"/>
    <cellStyle name="Vírgula 3 4 2 2 2 2 2 3 3 2" xfId="9537" xr:uid="{00000000-0005-0000-0000-00009C210000}"/>
    <cellStyle name="Vírgula 3 4 2 2 2 2 2 3 4" xfId="5251" xr:uid="{00000000-0005-0000-0000-00009D210000}"/>
    <cellStyle name="Vírgula 3 4 2 2 2 2 2 3 4 2" xfId="11765" xr:uid="{00000000-0005-0000-0000-00009E210000}"/>
    <cellStyle name="Vírgula 3 4 2 2 2 2 2 3 5" xfId="7481" xr:uid="{00000000-0005-0000-0000-00009F210000}"/>
    <cellStyle name="Vírgula 3 4 2 2 2 2 2 4" xfId="1477" xr:uid="{00000000-0005-0000-0000-0000A0210000}"/>
    <cellStyle name="Vírgula 3 4 2 2 2 2 2 4 2" xfId="3535" xr:uid="{00000000-0005-0000-0000-0000A1210000}"/>
    <cellStyle name="Vírgula 3 4 2 2 2 2 2 4 2 2" xfId="10051" xr:uid="{00000000-0005-0000-0000-0000A2210000}"/>
    <cellStyle name="Vírgula 3 4 2 2 2 2 2 4 3" xfId="5765" xr:uid="{00000000-0005-0000-0000-0000A3210000}"/>
    <cellStyle name="Vírgula 3 4 2 2 2 2 2 4 3 2" xfId="12279" xr:uid="{00000000-0005-0000-0000-0000A4210000}"/>
    <cellStyle name="Vírgula 3 4 2 2 2 2 2 4 4" xfId="7995" xr:uid="{00000000-0005-0000-0000-0000A5210000}"/>
    <cellStyle name="Vírgula 3 4 2 2 2 2 2 5" xfId="2507" xr:uid="{00000000-0005-0000-0000-0000A6210000}"/>
    <cellStyle name="Vírgula 3 4 2 2 2 2 2 5 2" xfId="9023" xr:uid="{00000000-0005-0000-0000-0000A7210000}"/>
    <cellStyle name="Vírgula 3 4 2 2 2 2 2 6" xfId="4649" xr:uid="{00000000-0005-0000-0000-0000A8210000}"/>
    <cellStyle name="Vírgula 3 4 2 2 2 2 2 6 2" xfId="11163" xr:uid="{00000000-0005-0000-0000-0000A9210000}"/>
    <cellStyle name="Vírgula 3 4 2 2 2 2 2 7" xfId="6879" xr:uid="{00000000-0005-0000-0000-0000AA210000}"/>
    <cellStyle name="Vírgula 3 4 2 2 2 2 3" xfId="567" xr:uid="{00000000-0005-0000-0000-0000AB210000}"/>
    <cellStyle name="Vírgula 3 4 2 2 2 2 3 2" xfId="1091" xr:uid="{00000000-0005-0000-0000-0000AC210000}"/>
    <cellStyle name="Vírgula 3 4 2 2 2 2 3 2 2" xfId="2119" xr:uid="{00000000-0005-0000-0000-0000AD210000}"/>
    <cellStyle name="Vírgula 3 4 2 2 2 2 3 2 2 2" xfId="4177" xr:uid="{00000000-0005-0000-0000-0000AE210000}"/>
    <cellStyle name="Vírgula 3 4 2 2 2 2 3 2 2 2 2" xfId="10693" xr:uid="{00000000-0005-0000-0000-0000AF210000}"/>
    <cellStyle name="Vírgula 3 4 2 2 2 2 3 2 2 3" xfId="6407" xr:uid="{00000000-0005-0000-0000-0000B0210000}"/>
    <cellStyle name="Vírgula 3 4 2 2 2 2 3 2 2 3 2" xfId="12921" xr:uid="{00000000-0005-0000-0000-0000B1210000}"/>
    <cellStyle name="Vírgula 3 4 2 2 2 2 3 2 2 4" xfId="8637" xr:uid="{00000000-0005-0000-0000-0000B2210000}"/>
    <cellStyle name="Vírgula 3 4 2 2 2 2 3 2 3" xfId="3149" xr:uid="{00000000-0005-0000-0000-0000B3210000}"/>
    <cellStyle name="Vírgula 3 4 2 2 2 2 3 2 3 2" xfId="9665" xr:uid="{00000000-0005-0000-0000-0000B4210000}"/>
    <cellStyle name="Vírgula 3 4 2 2 2 2 3 2 4" xfId="5379" xr:uid="{00000000-0005-0000-0000-0000B5210000}"/>
    <cellStyle name="Vírgula 3 4 2 2 2 2 3 2 4 2" xfId="11893" xr:uid="{00000000-0005-0000-0000-0000B6210000}"/>
    <cellStyle name="Vírgula 3 4 2 2 2 2 3 2 5" xfId="7609" xr:uid="{00000000-0005-0000-0000-0000B7210000}"/>
    <cellStyle name="Vírgula 3 4 2 2 2 2 3 3" xfId="1605" xr:uid="{00000000-0005-0000-0000-0000B8210000}"/>
    <cellStyle name="Vírgula 3 4 2 2 2 2 3 3 2" xfId="3663" xr:uid="{00000000-0005-0000-0000-0000B9210000}"/>
    <cellStyle name="Vírgula 3 4 2 2 2 2 3 3 2 2" xfId="10179" xr:uid="{00000000-0005-0000-0000-0000BA210000}"/>
    <cellStyle name="Vírgula 3 4 2 2 2 2 3 3 3" xfId="5893" xr:uid="{00000000-0005-0000-0000-0000BB210000}"/>
    <cellStyle name="Vírgula 3 4 2 2 2 2 3 3 3 2" xfId="12407" xr:uid="{00000000-0005-0000-0000-0000BC210000}"/>
    <cellStyle name="Vírgula 3 4 2 2 2 2 3 3 4" xfId="8123" xr:uid="{00000000-0005-0000-0000-0000BD210000}"/>
    <cellStyle name="Vírgula 3 4 2 2 2 2 3 4" xfId="2635" xr:uid="{00000000-0005-0000-0000-0000BE210000}"/>
    <cellStyle name="Vírgula 3 4 2 2 2 2 3 4 2" xfId="9151" xr:uid="{00000000-0005-0000-0000-0000BF210000}"/>
    <cellStyle name="Vírgula 3 4 2 2 2 2 3 5" xfId="4863" xr:uid="{00000000-0005-0000-0000-0000C0210000}"/>
    <cellStyle name="Vírgula 3 4 2 2 2 2 3 5 2" xfId="11377" xr:uid="{00000000-0005-0000-0000-0000C1210000}"/>
    <cellStyle name="Vírgula 3 4 2 2 2 2 3 6" xfId="7093" xr:uid="{00000000-0005-0000-0000-0000C2210000}"/>
    <cellStyle name="Vírgula 3 4 2 2 2 2 4" xfId="835" xr:uid="{00000000-0005-0000-0000-0000C3210000}"/>
    <cellStyle name="Vírgula 3 4 2 2 2 2 4 2" xfId="1863" xr:uid="{00000000-0005-0000-0000-0000C4210000}"/>
    <cellStyle name="Vírgula 3 4 2 2 2 2 4 2 2" xfId="3921" xr:uid="{00000000-0005-0000-0000-0000C5210000}"/>
    <cellStyle name="Vírgula 3 4 2 2 2 2 4 2 2 2" xfId="10437" xr:uid="{00000000-0005-0000-0000-0000C6210000}"/>
    <cellStyle name="Vírgula 3 4 2 2 2 2 4 2 3" xfId="6151" xr:uid="{00000000-0005-0000-0000-0000C7210000}"/>
    <cellStyle name="Vírgula 3 4 2 2 2 2 4 2 3 2" xfId="12665" xr:uid="{00000000-0005-0000-0000-0000C8210000}"/>
    <cellStyle name="Vírgula 3 4 2 2 2 2 4 2 4" xfId="8381" xr:uid="{00000000-0005-0000-0000-0000C9210000}"/>
    <cellStyle name="Vírgula 3 4 2 2 2 2 4 3" xfId="2893" xr:uid="{00000000-0005-0000-0000-0000CA210000}"/>
    <cellStyle name="Vírgula 3 4 2 2 2 2 4 3 2" xfId="9409" xr:uid="{00000000-0005-0000-0000-0000CB210000}"/>
    <cellStyle name="Vírgula 3 4 2 2 2 2 4 4" xfId="5123" xr:uid="{00000000-0005-0000-0000-0000CC210000}"/>
    <cellStyle name="Vírgula 3 4 2 2 2 2 4 4 2" xfId="11637" xr:uid="{00000000-0005-0000-0000-0000CD210000}"/>
    <cellStyle name="Vírgula 3 4 2 2 2 2 4 5" xfId="7353" xr:uid="{00000000-0005-0000-0000-0000CE210000}"/>
    <cellStyle name="Vírgula 3 4 2 2 2 2 5" xfId="1349" xr:uid="{00000000-0005-0000-0000-0000CF210000}"/>
    <cellStyle name="Vírgula 3 4 2 2 2 2 5 2" xfId="3407" xr:uid="{00000000-0005-0000-0000-0000D0210000}"/>
    <cellStyle name="Vírgula 3 4 2 2 2 2 5 2 2" xfId="9923" xr:uid="{00000000-0005-0000-0000-0000D1210000}"/>
    <cellStyle name="Vírgula 3 4 2 2 2 2 5 3" xfId="5637" xr:uid="{00000000-0005-0000-0000-0000D2210000}"/>
    <cellStyle name="Vírgula 3 4 2 2 2 2 5 3 2" xfId="12151" xr:uid="{00000000-0005-0000-0000-0000D3210000}"/>
    <cellStyle name="Vírgula 3 4 2 2 2 2 5 4" xfId="7867" xr:uid="{00000000-0005-0000-0000-0000D4210000}"/>
    <cellStyle name="Vírgula 3 4 2 2 2 2 6" xfId="2379" xr:uid="{00000000-0005-0000-0000-0000D5210000}"/>
    <cellStyle name="Vírgula 3 4 2 2 2 2 6 2" xfId="8895" xr:uid="{00000000-0005-0000-0000-0000D6210000}"/>
    <cellStyle name="Vírgula 3 4 2 2 2 2 7" xfId="4521" xr:uid="{00000000-0005-0000-0000-0000D7210000}"/>
    <cellStyle name="Vírgula 3 4 2 2 2 2 7 2" xfId="11035" xr:uid="{00000000-0005-0000-0000-0000D8210000}"/>
    <cellStyle name="Vírgula 3 4 2 2 2 2 8" xfId="6751" xr:uid="{00000000-0005-0000-0000-0000D9210000}"/>
    <cellStyle name="Vírgula 3 4 2 2 2 3" xfId="288" xr:uid="{00000000-0005-0000-0000-0000DA210000}"/>
    <cellStyle name="Vírgula 3 4 2 2 2 3 2" xfId="631" xr:uid="{00000000-0005-0000-0000-0000DB210000}"/>
    <cellStyle name="Vírgula 3 4 2 2 2 3 2 2" xfId="1155" xr:uid="{00000000-0005-0000-0000-0000DC210000}"/>
    <cellStyle name="Vírgula 3 4 2 2 2 3 2 2 2" xfId="2183" xr:uid="{00000000-0005-0000-0000-0000DD210000}"/>
    <cellStyle name="Vírgula 3 4 2 2 2 3 2 2 2 2" xfId="4241" xr:uid="{00000000-0005-0000-0000-0000DE210000}"/>
    <cellStyle name="Vírgula 3 4 2 2 2 3 2 2 2 2 2" xfId="10757" xr:uid="{00000000-0005-0000-0000-0000DF210000}"/>
    <cellStyle name="Vírgula 3 4 2 2 2 3 2 2 2 3" xfId="6471" xr:uid="{00000000-0005-0000-0000-0000E0210000}"/>
    <cellStyle name="Vírgula 3 4 2 2 2 3 2 2 2 3 2" xfId="12985" xr:uid="{00000000-0005-0000-0000-0000E1210000}"/>
    <cellStyle name="Vírgula 3 4 2 2 2 3 2 2 2 4" xfId="8701" xr:uid="{00000000-0005-0000-0000-0000E2210000}"/>
    <cellStyle name="Vírgula 3 4 2 2 2 3 2 2 3" xfId="3213" xr:uid="{00000000-0005-0000-0000-0000E3210000}"/>
    <cellStyle name="Vírgula 3 4 2 2 2 3 2 2 3 2" xfId="9729" xr:uid="{00000000-0005-0000-0000-0000E4210000}"/>
    <cellStyle name="Vírgula 3 4 2 2 2 3 2 2 4" xfId="5443" xr:uid="{00000000-0005-0000-0000-0000E5210000}"/>
    <cellStyle name="Vírgula 3 4 2 2 2 3 2 2 4 2" xfId="11957" xr:uid="{00000000-0005-0000-0000-0000E6210000}"/>
    <cellStyle name="Vírgula 3 4 2 2 2 3 2 2 5" xfId="7673" xr:uid="{00000000-0005-0000-0000-0000E7210000}"/>
    <cellStyle name="Vírgula 3 4 2 2 2 3 2 3" xfId="1669" xr:uid="{00000000-0005-0000-0000-0000E8210000}"/>
    <cellStyle name="Vírgula 3 4 2 2 2 3 2 3 2" xfId="3727" xr:uid="{00000000-0005-0000-0000-0000E9210000}"/>
    <cellStyle name="Vírgula 3 4 2 2 2 3 2 3 2 2" xfId="10243" xr:uid="{00000000-0005-0000-0000-0000EA210000}"/>
    <cellStyle name="Vírgula 3 4 2 2 2 3 2 3 3" xfId="5957" xr:uid="{00000000-0005-0000-0000-0000EB210000}"/>
    <cellStyle name="Vírgula 3 4 2 2 2 3 2 3 3 2" xfId="12471" xr:uid="{00000000-0005-0000-0000-0000EC210000}"/>
    <cellStyle name="Vírgula 3 4 2 2 2 3 2 3 4" xfId="8187" xr:uid="{00000000-0005-0000-0000-0000ED210000}"/>
    <cellStyle name="Vírgula 3 4 2 2 2 3 2 4" xfId="2699" xr:uid="{00000000-0005-0000-0000-0000EE210000}"/>
    <cellStyle name="Vírgula 3 4 2 2 2 3 2 4 2" xfId="9215" xr:uid="{00000000-0005-0000-0000-0000EF210000}"/>
    <cellStyle name="Vírgula 3 4 2 2 2 3 2 5" xfId="4927" xr:uid="{00000000-0005-0000-0000-0000F0210000}"/>
    <cellStyle name="Vírgula 3 4 2 2 2 3 2 5 2" xfId="11441" xr:uid="{00000000-0005-0000-0000-0000F1210000}"/>
    <cellStyle name="Vírgula 3 4 2 2 2 3 2 6" xfId="7157" xr:uid="{00000000-0005-0000-0000-0000F2210000}"/>
    <cellStyle name="Vírgula 3 4 2 2 2 3 3" xfId="899" xr:uid="{00000000-0005-0000-0000-0000F3210000}"/>
    <cellStyle name="Vírgula 3 4 2 2 2 3 3 2" xfId="1927" xr:uid="{00000000-0005-0000-0000-0000F4210000}"/>
    <cellStyle name="Vírgula 3 4 2 2 2 3 3 2 2" xfId="3985" xr:uid="{00000000-0005-0000-0000-0000F5210000}"/>
    <cellStyle name="Vírgula 3 4 2 2 2 3 3 2 2 2" xfId="10501" xr:uid="{00000000-0005-0000-0000-0000F6210000}"/>
    <cellStyle name="Vírgula 3 4 2 2 2 3 3 2 3" xfId="6215" xr:uid="{00000000-0005-0000-0000-0000F7210000}"/>
    <cellStyle name="Vírgula 3 4 2 2 2 3 3 2 3 2" xfId="12729" xr:uid="{00000000-0005-0000-0000-0000F8210000}"/>
    <cellStyle name="Vírgula 3 4 2 2 2 3 3 2 4" xfId="8445" xr:uid="{00000000-0005-0000-0000-0000F9210000}"/>
    <cellStyle name="Vírgula 3 4 2 2 2 3 3 3" xfId="2957" xr:uid="{00000000-0005-0000-0000-0000FA210000}"/>
    <cellStyle name="Vírgula 3 4 2 2 2 3 3 3 2" xfId="9473" xr:uid="{00000000-0005-0000-0000-0000FB210000}"/>
    <cellStyle name="Vírgula 3 4 2 2 2 3 3 4" xfId="5187" xr:uid="{00000000-0005-0000-0000-0000FC210000}"/>
    <cellStyle name="Vírgula 3 4 2 2 2 3 3 4 2" xfId="11701" xr:uid="{00000000-0005-0000-0000-0000FD210000}"/>
    <cellStyle name="Vírgula 3 4 2 2 2 3 3 5" xfId="7417" xr:uid="{00000000-0005-0000-0000-0000FE210000}"/>
    <cellStyle name="Vírgula 3 4 2 2 2 3 4" xfId="1413" xr:uid="{00000000-0005-0000-0000-0000FF210000}"/>
    <cellStyle name="Vírgula 3 4 2 2 2 3 4 2" xfId="3471" xr:uid="{00000000-0005-0000-0000-000000220000}"/>
    <cellStyle name="Vírgula 3 4 2 2 2 3 4 2 2" xfId="9987" xr:uid="{00000000-0005-0000-0000-000001220000}"/>
    <cellStyle name="Vírgula 3 4 2 2 2 3 4 3" xfId="5701" xr:uid="{00000000-0005-0000-0000-000002220000}"/>
    <cellStyle name="Vírgula 3 4 2 2 2 3 4 3 2" xfId="12215" xr:uid="{00000000-0005-0000-0000-000003220000}"/>
    <cellStyle name="Vírgula 3 4 2 2 2 3 4 4" xfId="7931" xr:uid="{00000000-0005-0000-0000-000004220000}"/>
    <cellStyle name="Vírgula 3 4 2 2 2 3 5" xfId="2443" xr:uid="{00000000-0005-0000-0000-000005220000}"/>
    <cellStyle name="Vírgula 3 4 2 2 2 3 5 2" xfId="8959" xr:uid="{00000000-0005-0000-0000-000006220000}"/>
    <cellStyle name="Vírgula 3 4 2 2 2 3 6" xfId="4585" xr:uid="{00000000-0005-0000-0000-000007220000}"/>
    <cellStyle name="Vírgula 3 4 2 2 2 3 6 2" xfId="11099" xr:uid="{00000000-0005-0000-0000-000008220000}"/>
    <cellStyle name="Vírgula 3 4 2 2 2 3 7" xfId="6815" xr:uid="{00000000-0005-0000-0000-000009220000}"/>
    <cellStyle name="Vírgula 3 4 2 2 2 4" xfId="499" xr:uid="{00000000-0005-0000-0000-00000A220000}"/>
    <cellStyle name="Vírgula 3 4 2 2 2 4 2" xfId="1027" xr:uid="{00000000-0005-0000-0000-00000B220000}"/>
    <cellStyle name="Vírgula 3 4 2 2 2 4 2 2" xfId="2055" xr:uid="{00000000-0005-0000-0000-00000C220000}"/>
    <cellStyle name="Vírgula 3 4 2 2 2 4 2 2 2" xfId="4113" xr:uid="{00000000-0005-0000-0000-00000D220000}"/>
    <cellStyle name="Vírgula 3 4 2 2 2 4 2 2 2 2" xfId="10629" xr:uid="{00000000-0005-0000-0000-00000E220000}"/>
    <cellStyle name="Vírgula 3 4 2 2 2 4 2 2 3" xfId="6343" xr:uid="{00000000-0005-0000-0000-00000F220000}"/>
    <cellStyle name="Vírgula 3 4 2 2 2 4 2 2 3 2" xfId="12857" xr:uid="{00000000-0005-0000-0000-000010220000}"/>
    <cellStyle name="Vírgula 3 4 2 2 2 4 2 2 4" xfId="8573" xr:uid="{00000000-0005-0000-0000-000011220000}"/>
    <cellStyle name="Vírgula 3 4 2 2 2 4 2 3" xfId="3085" xr:uid="{00000000-0005-0000-0000-000012220000}"/>
    <cellStyle name="Vírgula 3 4 2 2 2 4 2 3 2" xfId="9601" xr:uid="{00000000-0005-0000-0000-000013220000}"/>
    <cellStyle name="Vírgula 3 4 2 2 2 4 2 4" xfId="5315" xr:uid="{00000000-0005-0000-0000-000014220000}"/>
    <cellStyle name="Vírgula 3 4 2 2 2 4 2 4 2" xfId="11829" xr:uid="{00000000-0005-0000-0000-000015220000}"/>
    <cellStyle name="Vírgula 3 4 2 2 2 4 2 5" xfId="7545" xr:uid="{00000000-0005-0000-0000-000016220000}"/>
    <cellStyle name="Vírgula 3 4 2 2 2 4 3" xfId="1541" xr:uid="{00000000-0005-0000-0000-000017220000}"/>
    <cellStyle name="Vírgula 3 4 2 2 2 4 3 2" xfId="3599" xr:uid="{00000000-0005-0000-0000-000018220000}"/>
    <cellStyle name="Vírgula 3 4 2 2 2 4 3 2 2" xfId="10115" xr:uid="{00000000-0005-0000-0000-000019220000}"/>
    <cellStyle name="Vírgula 3 4 2 2 2 4 3 3" xfId="5829" xr:uid="{00000000-0005-0000-0000-00001A220000}"/>
    <cellStyle name="Vírgula 3 4 2 2 2 4 3 3 2" xfId="12343" xr:uid="{00000000-0005-0000-0000-00001B220000}"/>
    <cellStyle name="Vírgula 3 4 2 2 2 4 3 4" xfId="8059" xr:uid="{00000000-0005-0000-0000-00001C220000}"/>
    <cellStyle name="Vírgula 3 4 2 2 2 4 4" xfId="2571" xr:uid="{00000000-0005-0000-0000-00001D220000}"/>
    <cellStyle name="Vírgula 3 4 2 2 2 4 4 2" xfId="9087" xr:uid="{00000000-0005-0000-0000-00001E220000}"/>
    <cellStyle name="Vírgula 3 4 2 2 2 4 5" xfId="4795" xr:uid="{00000000-0005-0000-0000-00001F220000}"/>
    <cellStyle name="Vírgula 3 4 2 2 2 4 5 2" xfId="11309" xr:uid="{00000000-0005-0000-0000-000020220000}"/>
    <cellStyle name="Vírgula 3 4 2 2 2 4 6" xfId="7025" xr:uid="{00000000-0005-0000-0000-000021220000}"/>
    <cellStyle name="Vírgula 3 4 2 2 2 5" xfId="771" xr:uid="{00000000-0005-0000-0000-000022220000}"/>
    <cellStyle name="Vírgula 3 4 2 2 2 5 2" xfId="1799" xr:uid="{00000000-0005-0000-0000-000023220000}"/>
    <cellStyle name="Vírgula 3 4 2 2 2 5 2 2" xfId="3857" xr:uid="{00000000-0005-0000-0000-000024220000}"/>
    <cellStyle name="Vírgula 3 4 2 2 2 5 2 2 2" xfId="10373" xr:uid="{00000000-0005-0000-0000-000025220000}"/>
    <cellStyle name="Vírgula 3 4 2 2 2 5 2 3" xfId="6087" xr:uid="{00000000-0005-0000-0000-000026220000}"/>
    <cellStyle name="Vírgula 3 4 2 2 2 5 2 3 2" xfId="12601" xr:uid="{00000000-0005-0000-0000-000027220000}"/>
    <cellStyle name="Vírgula 3 4 2 2 2 5 2 4" xfId="8317" xr:uid="{00000000-0005-0000-0000-000028220000}"/>
    <cellStyle name="Vírgula 3 4 2 2 2 5 3" xfId="2829" xr:uid="{00000000-0005-0000-0000-000029220000}"/>
    <cellStyle name="Vírgula 3 4 2 2 2 5 3 2" xfId="9345" xr:uid="{00000000-0005-0000-0000-00002A220000}"/>
    <cellStyle name="Vírgula 3 4 2 2 2 5 4" xfId="5059" xr:uid="{00000000-0005-0000-0000-00002B220000}"/>
    <cellStyle name="Vírgula 3 4 2 2 2 5 4 2" xfId="11573" xr:uid="{00000000-0005-0000-0000-00002C220000}"/>
    <cellStyle name="Vírgula 3 4 2 2 2 5 5" xfId="7289" xr:uid="{00000000-0005-0000-0000-00002D220000}"/>
    <cellStyle name="Vírgula 3 4 2 2 2 6" xfId="1285" xr:uid="{00000000-0005-0000-0000-00002E220000}"/>
    <cellStyle name="Vírgula 3 4 2 2 2 6 2" xfId="3343" xr:uid="{00000000-0005-0000-0000-00002F220000}"/>
    <cellStyle name="Vírgula 3 4 2 2 2 6 2 2" xfId="9859" xr:uid="{00000000-0005-0000-0000-000030220000}"/>
    <cellStyle name="Vírgula 3 4 2 2 2 6 3" xfId="5573" xr:uid="{00000000-0005-0000-0000-000031220000}"/>
    <cellStyle name="Vírgula 3 4 2 2 2 6 3 2" xfId="12087" xr:uid="{00000000-0005-0000-0000-000032220000}"/>
    <cellStyle name="Vírgula 3 4 2 2 2 6 4" xfId="7803" xr:uid="{00000000-0005-0000-0000-000033220000}"/>
    <cellStyle name="Vírgula 3 4 2 2 2 7" xfId="2315" xr:uid="{00000000-0005-0000-0000-000034220000}"/>
    <cellStyle name="Vírgula 3 4 2 2 2 7 2" xfId="8831" xr:uid="{00000000-0005-0000-0000-000035220000}"/>
    <cellStyle name="Vírgula 3 4 2 2 2 8" xfId="4453" xr:uid="{00000000-0005-0000-0000-000036220000}"/>
    <cellStyle name="Vírgula 3 4 2 2 2 8 2" xfId="10967" xr:uid="{00000000-0005-0000-0000-000037220000}"/>
    <cellStyle name="Vírgula 3 4 2 2 2 9" xfId="6683" xr:uid="{00000000-0005-0000-0000-000038220000}"/>
    <cellStyle name="Vírgula 3 4 2 2 3" xfId="192" xr:uid="{00000000-0005-0000-0000-000039220000}"/>
    <cellStyle name="Vírgula 3 4 2 2 3 2" xfId="320" xr:uid="{00000000-0005-0000-0000-00003A220000}"/>
    <cellStyle name="Vírgula 3 4 2 2 3 2 2" xfId="663" xr:uid="{00000000-0005-0000-0000-00003B220000}"/>
    <cellStyle name="Vírgula 3 4 2 2 3 2 2 2" xfId="1187" xr:uid="{00000000-0005-0000-0000-00003C220000}"/>
    <cellStyle name="Vírgula 3 4 2 2 3 2 2 2 2" xfId="2215" xr:uid="{00000000-0005-0000-0000-00003D220000}"/>
    <cellStyle name="Vírgula 3 4 2 2 3 2 2 2 2 2" xfId="4273" xr:uid="{00000000-0005-0000-0000-00003E220000}"/>
    <cellStyle name="Vírgula 3 4 2 2 3 2 2 2 2 2 2" xfId="10789" xr:uid="{00000000-0005-0000-0000-00003F220000}"/>
    <cellStyle name="Vírgula 3 4 2 2 3 2 2 2 2 3" xfId="6503" xr:uid="{00000000-0005-0000-0000-000040220000}"/>
    <cellStyle name="Vírgula 3 4 2 2 3 2 2 2 2 3 2" xfId="13017" xr:uid="{00000000-0005-0000-0000-000041220000}"/>
    <cellStyle name="Vírgula 3 4 2 2 3 2 2 2 2 4" xfId="8733" xr:uid="{00000000-0005-0000-0000-000042220000}"/>
    <cellStyle name="Vírgula 3 4 2 2 3 2 2 2 3" xfId="3245" xr:uid="{00000000-0005-0000-0000-000043220000}"/>
    <cellStyle name="Vírgula 3 4 2 2 3 2 2 2 3 2" xfId="9761" xr:uid="{00000000-0005-0000-0000-000044220000}"/>
    <cellStyle name="Vírgula 3 4 2 2 3 2 2 2 4" xfId="5475" xr:uid="{00000000-0005-0000-0000-000045220000}"/>
    <cellStyle name="Vírgula 3 4 2 2 3 2 2 2 4 2" xfId="11989" xr:uid="{00000000-0005-0000-0000-000046220000}"/>
    <cellStyle name="Vírgula 3 4 2 2 3 2 2 2 5" xfId="7705" xr:uid="{00000000-0005-0000-0000-000047220000}"/>
    <cellStyle name="Vírgula 3 4 2 2 3 2 2 3" xfId="1701" xr:uid="{00000000-0005-0000-0000-000048220000}"/>
    <cellStyle name="Vírgula 3 4 2 2 3 2 2 3 2" xfId="3759" xr:uid="{00000000-0005-0000-0000-000049220000}"/>
    <cellStyle name="Vírgula 3 4 2 2 3 2 2 3 2 2" xfId="10275" xr:uid="{00000000-0005-0000-0000-00004A220000}"/>
    <cellStyle name="Vírgula 3 4 2 2 3 2 2 3 3" xfId="5989" xr:uid="{00000000-0005-0000-0000-00004B220000}"/>
    <cellStyle name="Vírgula 3 4 2 2 3 2 2 3 3 2" xfId="12503" xr:uid="{00000000-0005-0000-0000-00004C220000}"/>
    <cellStyle name="Vírgula 3 4 2 2 3 2 2 3 4" xfId="8219" xr:uid="{00000000-0005-0000-0000-00004D220000}"/>
    <cellStyle name="Vírgula 3 4 2 2 3 2 2 4" xfId="2731" xr:uid="{00000000-0005-0000-0000-00004E220000}"/>
    <cellStyle name="Vírgula 3 4 2 2 3 2 2 4 2" xfId="9247" xr:uid="{00000000-0005-0000-0000-00004F220000}"/>
    <cellStyle name="Vírgula 3 4 2 2 3 2 2 5" xfId="4959" xr:uid="{00000000-0005-0000-0000-000050220000}"/>
    <cellStyle name="Vírgula 3 4 2 2 3 2 2 5 2" xfId="11473" xr:uid="{00000000-0005-0000-0000-000051220000}"/>
    <cellStyle name="Vírgula 3 4 2 2 3 2 2 6" xfId="7189" xr:uid="{00000000-0005-0000-0000-000052220000}"/>
    <cellStyle name="Vírgula 3 4 2 2 3 2 3" xfId="931" xr:uid="{00000000-0005-0000-0000-000053220000}"/>
    <cellStyle name="Vírgula 3 4 2 2 3 2 3 2" xfId="1959" xr:uid="{00000000-0005-0000-0000-000054220000}"/>
    <cellStyle name="Vírgula 3 4 2 2 3 2 3 2 2" xfId="4017" xr:uid="{00000000-0005-0000-0000-000055220000}"/>
    <cellStyle name="Vírgula 3 4 2 2 3 2 3 2 2 2" xfId="10533" xr:uid="{00000000-0005-0000-0000-000056220000}"/>
    <cellStyle name="Vírgula 3 4 2 2 3 2 3 2 3" xfId="6247" xr:uid="{00000000-0005-0000-0000-000057220000}"/>
    <cellStyle name="Vírgula 3 4 2 2 3 2 3 2 3 2" xfId="12761" xr:uid="{00000000-0005-0000-0000-000058220000}"/>
    <cellStyle name="Vírgula 3 4 2 2 3 2 3 2 4" xfId="8477" xr:uid="{00000000-0005-0000-0000-000059220000}"/>
    <cellStyle name="Vírgula 3 4 2 2 3 2 3 3" xfId="2989" xr:uid="{00000000-0005-0000-0000-00005A220000}"/>
    <cellStyle name="Vírgula 3 4 2 2 3 2 3 3 2" xfId="9505" xr:uid="{00000000-0005-0000-0000-00005B220000}"/>
    <cellStyle name="Vírgula 3 4 2 2 3 2 3 4" xfId="5219" xr:uid="{00000000-0005-0000-0000-00005C220000}"/>
    <cellStyle name="Vírgula 3 4 2 2 3 2 3 4 2" xfId="11733" xr:uid="{00000000-0005-0000-0000-00005D220000}"/>
    <cellStyle name="Vírgula 3 4 2 2 3 2 3 5" xfId="7449" xr:uid="{00000000-0005-0000-0000-00005E220000}"/>
    <cellStyle name="Vírgula 3 4 2 2 3 2 4" xfId="1445" xr:uid="{00000000-0005-0000-0000-00005F220000}"/>
    <cellStyle name="Vírgula 3 4 2 2 3 2 4 2" xfId="3503" xr:uid="{00000000-0005-0000-0000-000060220000}"/>
    <cellStyle name="Vírgula 3 4 2 2 3 2 4 2 2" xfId="10019" xr:uid="{00000000-0005-0000-0000-000061220000}"/>
    <cellStyle name="Vírgula 3 4 2 2 3 2 4 3" xfId="5733" xr:uid="{00000000-0005-0000-0000-000062220000}"/>
    <cellStyle name="Vírgula 3 4 2 2 3 2 4 3 2" xfId="12247" xr:uid="{00000000-0005-0000-0000-000063220000}"/>
    <cellStyle name="Vírgula 3 4 2 2 3 2 4 4" xfId="7963" xr:uid="{00000000-0005-0000-0000-000064220000}"/>
    <cellStyle name="Vírgula 3 4 2 2 3 2 5" xfId="2475" xr:uid="{00000000-0005-0000-0000-000065220000}"/>
    <cellStyle name="Vírgula 3 4 2 2 3 2 5 2" xfId="8991" xr:uid="{00000000-0005-0000-0000-000066220000}"/>
    <cellStyle name="Vírgula 3 4 2 2 3 2 6" xfId="4617" xr:uid="{00000000-0005-0000-0000-000067220000}"/>
    <cellStyle name="Vírgula 3 4 2 2 3 2 6 2" xfId="11131" xr:uid="{00000000-0005-0000-0000-000068220000}"/>
    <cellStyle name="Vírgula 3 4 2 2 3 2 7" xfId="6847" xr:uid="{00000000-0005-0000-0000-000069220000}"/>
    <cellStyle name="Vírgula 3 4 2 2 3 3" xfId="535" xr:uid="{00000000-0005-0000-0000-00006A220000}"/>
    <cellStyle name="Vírgula 3 4 2 2 3 3 2" xfId="1059" xr:uid="{00000000-0005-0000-0000-00006B220000}"/>
    <cellStyle name="Vírgula 3 4 2 2 3 3 2 2" xfId="2087" xr:uid="{00000000-0005-0000-0000-00006C220000}"/>
    <cellStyle name="Vírgula 3 4 2 2 3 3 2 2 2" xfId="4145" xr:uid="{00000000-0005-0000-0000-00006D220000}"/>
    <cellStyle name="Vírgula 3 4 2 2 3 3 2 2 2 2" xfId="10661" xr:uid="{00000000-0005-0000-0000-00006E220000}"/>
    <cellStyle name="Vírgula 3 4 2 2 3 3 2 2 3" xfId="6375" xr:uid="{00000000-0005-0000-0000-00006F220000}"/>
    <cellStyle name="Vírgula 3 4 2 2 3 3 2 2 3 2" xfId="12889" xr:uid="{00000000-0005-0000-0000-000070220000}"/>
    <cellStyle name="Vírgula 3 4 2 2 3 3 2 2 4" xfId="8605" xr:uid="{00000000-0005-0000-0000-000071220000}"/>
    <cellStyle name="Vírgula 3 4 2 2 3 3 2 3" xfId="3117" xr:uid="{00000000-0005-0000-0000-000072220000}"/>
    <cellStyle name="Vírgula 3 4 2 2 3 3 2 3 2" xfId="9633" xr:uid="{00000000-0005-0000-0000-000073220000}"/>
    <cellStyle name="Vírgula 3 4 2 2 3 3 2 4" xfId="5347" xr:uid="{00000000-0005-0000-0000-000074220000}"/>
    <cellStyle name="Vírgula 3 4 2 2 3 3 2 4 2" xfId="11861" xr:uid="{00000000-0005-0000-0000-000075220000}"/>
    <cellStyle name="Vírgula 3 4 2 2 3 3 2 5" xfId="7577" xr:uid="{00000000-0005-0000-0000-000076220000}"/>
    <cellStyle name="Vírgula 3 4 2 2 3 3 3" xfId="1573" xr:uid="{00000000-0005-0000-0000-000077220000}"/>
    <cellStyle name="Vírgula 3 4 2 2 3 3 3 2" xfId="3631" xr:uid="{00000000-0005-0000-0000-000078220000}"/>
    <cellStyle name="Vírgula 3 4 2 2 3 3 3 2 2" xfId="10147" xr:uid="{00000000-0005-0000-0000-000079220000}"/>
    <cellStyle name="Vírgula 3 4 2 2 3 3 3 3" xfId="5861" xr:uid="{00000000-0005-0000-0000-00007A220000}"/>
    <cellStyle name="Vírgula 3 4 2 2 3 3 3 3 2" xfId="12375" xr:uid="{00000000-0005-0000-0000-00007B220000}"/>
    <cellStyle name="Vírgula 3 4 2 2 3 3 3 4" xfId="8091" xr:uid="{00000000-0005-0000-0000-00007C220000}"/>
    <cellStyle name="Vírgula 3 4 2 2 3 3 4" xfId="2603" xr:uid="{00000000-0005-0000-0000-00007D220000}"/>
    <cellStyle name="Vírgula 3 4 2 2 3 3 4 2" xfId="9119" xr:uid="{00000000-0005-0000-0000-00007E220000}"/>
    <cellStyle name="Vírgula 3 4 2 2 3 3 5" xfId="4831" xr:uid="{00000000-0005-0000-0000-00007F220000}"/>
    <cellStyle name="Vírgula 3 4 2 2 3 3 5 2" xfId="11345" xr:uid="{00000000-0005-0000-0000-000080220000}"/>
    <cellStyle name="Vírgula 3 4 2 2 3 3 6" xfId="7061" xr:uid="{00000000-0005-0000-0000-000081220000}"/>
    <cellStyle name="Vírgula 3 4 2 2 3 4" xfId="803" xr:uid="{00000000-0005-0000-0000-000082220000}"/>
    <cellStyle name="Vírgula 3 4 2 2 3 4 2" xfId="1831" xr:uid="{00000000-0005-0000-0000-000083220000}"/>
    <cellStyle name="Vírgula 3 4 2 2 3 4 2 2" xfId="3889" xr:uid="{00000000-0005-0000-0000-000084220000}"/>
    <cellStyle name="Vírgula 3 4 2 2 3 4 2 2 2" xfId="10405" xr:uid="{00000000-0005-0000-0000-000085220000}"/>
    <cellStyle name="Vírgula 3 4 2 2 3 4 2 3" xfId="6119" xr:uid="{00000000-0005-0000-0000-000086220000}"/>
    <cellStyle name="Vírgula 3 4 2 2 3 4 2 3 2" xfId="12633" xr:uid="{00000000-0005-0000-0000-000087220000}"/>
    <cellStyle name="Vírgula 3 4 2 2 3 4 2 4" xfId="8349" xr:uid="{00000000-0005-0000-0000-000088220000}"/>
    <cellStyle name="Vírgula 3 4 2 2 3 4 3" xfId="2861" xr:uid="{00000000-0005-0000-0000-000089220000}"/>
    <cellStyle name="Vírgula 3 4 2 2 3 4 3 2" xfId="9377" xr:uid="{00000000-0005-0000-0000-00008A220000}"/>
    <cellStyle name="Vírgula 3 4 2 2 3 4 4" xfId="5091" xr:uid="{00000000-0005-0000-0000-00008B220000}"/>
    <cellStyle name="Vírgula 3 4 2 2 3 4 4 2" xfId="11605" xr:uid="{00000000-0005-0000-0000-00008C220000}"/>
    <cellStyle name="Vírgula 3 4 2 2 3 4 5" xfId="7321" xr:uid="{00000000-0005-0000-0000-00008D220000}"/>
    <cellStyle name="Vírgula 3 4 2 2 3 5" xfId="1317" xr:uid="{00000000-0005-0000-0000-00008E220000}"/>
    <cellStyle name="Vírgula 3 4 2 2 3 5 2" xfId="3375" xr:uid="{00000000-0005-0000-0000-00008F220000}"/>
    <cellStyle name="Vírgula 3 4 2 2 3 5 2 2" xfId="9891" xr:uid="{00000000-0005-0000-0000-000090220000}"/>
    <cellStyle name="Vírgula 3 4 2 2 3 5 3" xfId="5605" xr:uid="{00000000-0005-0000-0000-000091220000}"/>
    <cellStyle name="Vírgula 3 4 2 2 3 5 3 2" xfId="12119" xr:uid="{00000000-0005-0000-0000-000092220000}"/>
    <cellStyle name="Vírgula 3 4 2 2 3 5 4" xfId="7835" xr:uid="{00000000-0005-0000-0000-000093220000}"/>
    <cellStyle name="Vírgula 3 4 2 2 3 6" xfId="2347" xr:uid="{00000000-0005-0000-0000-000094220000}"/>
    <cellStyle name="Vírgula 3 4 2 2 3 6 2" xfId="8863" xr:uid="{00000000-0005-0000-0000-000095220000}"/>
    <cellStyle name="Vírgula 3 4 2 2 3 7" xfId="4489" xr:uid="{00000000-0005-0000-0000-000096220000}"/>
    <cellStyle name="Vírgula 3 4 2 2 3 7 2" xfId="11003" xr:uid="{00000000-0005-0000-0000-000097220000}"/>
    <cellStyle name="Vírgula 3 4 2 2 3 8" xfId="6719" xr:uid="{00000000-0005-0000-0000-000098220000}"/>
    <cellStyle name="Vírgula 3 4 2 2 4" xfId="256" xr:uid="{00000000-0005-0000-0000-000099220000}"/>
    <cellStyle name="Vírgula 3 4 2 2 4 2" xfId="599" xr:uid="{00000000-0005-0000-0000-00009A220000}"/>
    <cellStyle name="Vírgula 3 4 2 2 4 2 2" xfId="1123" xr:uid="{00000000-0005-0000-0000-00009B220000}"/>
    <cellStyle name="Vírgula 3 4 2 2 4 2 2 2" xfId="2151" xr:uid="{00000000-0005-0000-0000-00009C220000}"/>
    <cellStyle name="Vírgula 3 4 2 2 4 2 2 2 2" xfId="4209" xr:uid="{00000000-0005-0000-0000-00009D220000}"/>
    <cellStyle name="Vírgula 3 4 2 2 4 2 2 2 2 2" xfId="10725" xr:uid="{00000000-0005-0000-0000-00009E220000}"/>
    <cellStyle name="Vírgula 3 4 2 2 4 2 2 2 3" xfId="6439" xr:uid="{00000000-0005-0000-0000-00009F220000}"/>
    <cellStyle name="Vírgula 3 4 2 2 4 2 2 2 3 2" xfId="12953" xr:uid="{00000000-0005-0000-0000-0000A0220000}"/>
    <cellStyle name="Vírgula 3 4 2 2 4 2 2 2 4" xfId="8669" xr:uid="{00000000-0005-0000-0000-0000A1220000}"/>
    <cellStyle name="Vírgula 3 4 2 2 4 2 2 3" xfId="3181" xr:uid="{00000000-0005-0000-0000-0000A2220000}"/>
    <cellStyle name="Vírgula 3 4 2 2 4 2 2 3 2" xfId="9697" xr:uid="{00000000-0005-0000-0000-0000A3220000}"/>
    <cellStyle name="Vírgula 3 4 2 2 4 2 2 4" xfId="5411" xr:uid="{00000000-0005-0000-0000-0000A4220000}"/>
    <cellStyle name="Vírgula 3 4 2 2 4 2 2 4 2" xfId="11925" xr:uid="{00000000-0005-0000-0000-0000A5220000}"/>
    <cellStyle name="Vírgula 3 4 2 2 4 2 2 5" xfId="7641" xr:uid="{00000000-0005-0000-0000-0000A6220000}"/>
    <cellStyle name="Vírgula 3 4 2 2 4 2 3" xfId="1637" xr:uid="{00000000-0005-0000-0000-0000A7220000}"/>
    <cellStyle name="Vírgula 3 4 2 2 4 2 3 2" xfId="3695" xr:uid="{00000000-0005-0000-0000-0000A8220000}"/>
    <cellStyle name="Vírgula 3 4 2 2 4 2 3 2 2" xfId="10211" xr:uid="{00000000-0005-0000-0000-0000A9220000}"/>
    <cellStyle name="Vírgula 3 4 2 2 4 2 3 3" xfId="5925" xr:uid="{00000000-0005-0000-0000-0000AA220000}"/>
    <cellStyle name="Vírgula 3 4 2 2 4 2 3 3 2" xfId="12439" xr:uid="{00000000-0005-0000-0000-0000AB220000}"/>
    <cellStyle name="Vírgula 3 4 2 2 4 2 3 4" xfId="8155" xr:uid="{00000000-0005-0000-0000-0000AC220000}"/>
    <cellStyle name="Vírgula 3 4 2 2 4 2 4" xfId="2667" xr:uid="{00000000-0005-0000-0000-0000AD220000}"/>
    <cellStyle name="Vírgula 3 4 2 2 4 2 4 2" xfId="9183" xr:uid="{00000000-0005-0000-0000-0000AE220000}"/>
    <cellStyle name="Vírgula 3 4 2 2 4 2 5" xfId="4895" xr:uid="{00000000-0005-0000-0000-0000AF220000}"/>
    <cellStyle name="Vírgula 3 4 2 2 4 2 5 2" xfId="11409" xr:uid="{00000000-0005-0000-0000-0000B0220000}"/>
    <cellStyle name="Vírgula 3 4 2 2 4 2 6" xfId="7125" xr:uid="{00000000-0005-0000-0000-0000B1220000}"/>
    <cellStyle name="Vírgula 3 4 2 2 4 3" xfId="867" xr:uid="{00000000-0005-0000-0000-0000B2220000}"/>
    <cellStyle name="Vírgula 3 4 2 2 4 3 2" xfId="1895" xr:uid="{00000000-0005-0000-0000-0000B3220000}"/>
    <cellStyle name="Vírgula 3 4 2 2 4 3 2 2" xfId="3953" xr:uid="{00000000-0005-0000-0000-0000B4220000}"/>
    <cellStyle name="Vírgula 3 4 2 2 4 3 2 2 2" xfId="10469" xr:uid="{00000000-0005-0000-0000-0000B5220000}"/>
    <cellStyle name="Vírgula 3 4 2 2 4 3 2 3" xfId="6183" xr:uid="{00000000-0005-0000-0000-0000B6220000}"/>
    <cellStyle name="Vírgula 3 4 2 2 4 3 2 3 2" xfId="12697" xr:uid="{00000000-0005-0000-0000-0000B7220000}"/>
    <cellStyle name="Vírgula 3 4 2 2 4 3 2 4" xfId="8413" xr:uid="{00000000-0005-0000-0000-0000B8220000}"/>
    <cellStyle name="Vírgula 3 4 2 2 4 3 3" xfId="2925" xr:uid="{00000000-0005-0000-0000-0000B9220000}"/>
    <cellStyle name="Vírgula 3 4 2 2 4 3 3 2" xfId="9441" xr:uid="{00000000-0005-0000-0000-0000BA220000}"/>
    <cellStyle name="Vírgula 3 4 2 2 4 3 4" xfId="5155" xr:uid="{00000000-0005-0000-0000-0000BB220000}"/>
    <cellStyle name="Vírgula 3 4 2 2 4 3 4 2" xfId="11669" xr:uid="{00000000-0005-0000-0000-0000BC220000}"/>
    <cellStyle name="Vírgula 3 4 2 2 4 3 5" xfId="7385" xr:uid="{00000000-0005-0000-0000-0000BD220000}"/>
    <cellStyle name="Vírgula 3 4 2 2 4 4" xfId="1381" xr:uid="{00000000-0005-0000-0000-0000BE220000}"/>
    <cellStyle name="Vírgula 3 4 2 2 4 4 2" xfId="3439" xr:uid="{00000000-0005-0000-0000-0000BF220000}"/>
    <cellStyle name="Vírgula 3 4 2 2 4 4 2 2" xfId="9955" xr:uid="{00000000-0005-0000-0000-0000C0220000}"/>
    <cellStyle name="Vírgula 3 4 2 2 4 4 3" xfId="5669" xr:uid="{00000000-0005-0000-0000-0000C1220000}"/>
    <cellStyle name="Vírgula 3 4 2 2 4 4 3 2" xfId="12183" xr:uid="{00000000-0005-0000-0000-0000C2220000}"/>
    <cellStyle name="Vírgula 3 4 2 2 4 4 4" xfId="7899" xr:uid="{00000000-0005-0000-0000-0000C3220000}"/>
    <cellStyle name="Vírgula 3 4 2 2 4 5" xfId="2411" xr:uid="{00000000-0005-0000-0000-0000C4220000}"/>
    <cellStyle name="Vírgula 3 4 2 2 4 5 2" xfId="8927" xr:uid="{00000000-0005-0000-0000-0000C5220000}"/>
    <cellStyle name="Vírgula 3 4 2 2 4 6" xfId="4553" xr:uid="{00000000-0005-0000-0000-0000C6220000}"/>
    <cellStyle name="Vírgula 3 4 2 2 4 6 2" xfId="11067" xr:uid="{00000000-0005-0000-0000-0000C7220000}"/>
    <cellStyle name="Vírgula 3 4 2 2 4 7" xfId="6783" xr:uid="{00000000-0005-0000-0000-0000C8220000}"/>
    <cellStyle name="Vírgula 3 4 2 2 5" xfId="425" xr:uid="{00000000-0005-0000-0000-0000C9220000}"/>
    <cellStyle name="Vírgula 3 4 2 2 5 2" xfId="995" xr:uid="{00000000-0005-0000-0000-0000CA220000}"/>
    <cellStyle name="Vírgula 3 4 2 2 5 2 2" xfId="2023" xr:uid="{00000000-0005-0000-0000-0000CB220000}"/>
    <cellStyle name="Vírgula 3 4 2 2 5 2 2 2" xfId="4081" xr:uid="{00000000-0005-0000-0000-0000CC220000}"/>
    <cellStyle name="Vírgula 3 4 2 2 5 2 2 2 2" xfId="10597" xr:uid="{00000000-0005-0000-0000-0000CD220000}"/>
    <cellStyle name="Vírgula 3 4 2 2 5 2 2 3" xfId="6311" xr:uid="{00000000-0005-0000-0000-0000CE220000}"/>
    <cellStyle name="Vírgula 3 4 2 2 5 2 2 3 2" xfId="12825" xr:uid="{00000000-0005-0000-0000-0000CF220000}"/>
    <cellStyle name="Vírgula 3 4 2 2 5 2 2 4" xfId="8541" xr:uid="{00000000-0005-0000-0000-0000D0220000}"/>
    <cellStyle name="Vírgula 3 4 2 2 5 2 3" xfId="3053" xr:uid="{00000000-0005-0000-0000-0000D1220000}"/>
    <cellStyle name="Vírgula 3 4 2 2 5 2 3 2" xfId="9569" xr:uid="{00000000-0005-0000-0000-0000D2220000}"/>
    <cellStyle name="Vírgula 3 4 2 2 5 2 4" xfId="5283" xr:uid="{00000000-0005-0000-0000-0000D3220000}"/>
    <cellStyle name="Vírgula 3 4 2 2 5 2 4 2" xfId="11797" xr:uid="{00000000-0005-0000-0000-0000D4220000}"/>
    <cellStyle name="Vírgula 3 4 2 2 5 2 5" xfId="7513" xr:uid="{00000000-0005-0000-0000-0000D5220000}"/>
    <cellStyle name="Vírgula 3 4 2 2 5 3" xfId="1509" xr:uid="{00000000-0005-0000-0000-0000D6220000}"/>
    <cellStyle name="Vírgula 3 4 2 2 5 3 2" xfId="3567" xr:uid="{00000000-0005-0000-0000-0000D7220000}"/>
    <cellStyle name="Vírgula 3 4 2 2 5 3 2 2" xfId="10083" xr:uid="{00000000-0005-0000-0000-0000D8220000}"/>
    <cellStyle name="Vírgula 3 4 2 2 5 3 3" xfId="5797" xr:uid="{00000000-0005-0000-0000-0000D9220000}"/>
    <cellStyle name="Vírgula 3 4 2 2 5 3 3 2" xfId="12311" xr:uid="{00000000-0005-0000-0000-0000DA220000}"/>
    <cellStyle name="Vírgula 3 4 2 2 5 3 4" xfId="8027" xr:uid="{00000000-0005-0000-0000-0000DB220000}"/>
    <cellStyle name="Vírgula 3 4 2 2 5 4" xfId="2539" xr:uid="{00000000-0005-0000-0000-0000DC220000}"/>
    <cellStyle name="Vírgula 3 4 2 2 5 4 2" xfId="9055" xr:uid="{00000000-0005-0000-0000-0000DD220000}"/>
    <cellStyle name="Vírgula 3 4 2 2 5 5" xfId="4721" xr:uid="{00000000-0005-0000-0000-0000DE220000}"/>
    <cellStyle name="Vírgula 3 4 2 2 5 5 2" xfId="11235" xr:uid="{00000000-0005-0000-0000-0000DF220000}"/>
    <cellStyle name="Vírgula 3 4 2 2 5 6" xfId="6951" xr:uid="{00000000-0005-0000-0000-0000E0220000}"/>
    <cellStyle name="Vírgula 3 4 2 2 6" xfId="739" xr:uid="{00000000-0005-0000-0000-0000E1220000}"/>
    <cellStyle name="Vírgula 3 4 2 2 6 2" xfId="1767" xr:uid="{00000000-0005-0000-0000-0000E2220000}"/>
    <cellStyle name="Vírgula 3 4 2 2 6 2 2" xfId="3825" xr:uid="{00000000-0005-0000-0000-0000E3220000}"/>
    <cellStyle name="Vírgula 3 4 2 2 6 2 2 2" xfId="10341" xr:uid="{00000000-0005-0000-0000-0000E4220000}"/>
    <cellStyle name="Vírgula 3 4 2 2 6 2 3" xfId="6055" xr:uid="{00000000-0005-0000-0000-0000E5220000}"/>
    <cellStyle name="Vírgula 3 4 2 2 6 2 3 2" xfId="12569" xr:uid="{00000000-0005-0000-0000-0000E6220000}"/>
    <cellStyle name="Vírgula 3 4 2 2 6 2 4" xfId="8285" xr:uid="{00000000-0005-0000-0000-0000E7220000}"/>
    <cellStyle name="Vírgula 3 4 2 2 6 3" xfId="2797" xr:uid="{00000000-0005-0000-0000-0000E8220000}"/>
    <cellStyle name="Vírgula 3 4 2 2 6 3 2" xfId="9313" xr:uid="{00000000-0005-0000-0000-0000E9220000}"/>
    <cellStyle name="Vírgula 3 4 2 2 6 4" xfId="5027" xr:uid="{00000000-0005-0000-0000-0000EA220000}"/>
    <cellStyle name="Vírgula 3 4 2 2 6 4 2" xfId="11541" xr:uid="{00000000-0005-0000-0000-0000EB220000}"/>
    <cellStyle name="Vírgula 3 4 2 2 6 5" xfId="7257" xr:uid="{00000000-0005-0000-0000-0000EC220000}"/>
    <cellStyle name="Vírgula 3 4 2 2 7" xfId="1253" xr:uid="{00000000-0005-0000-0000-0000ED220000}"/>
    <cellStyle name="Vírgula 3 4 2 2 7 2" xfId="3311" xr:uid="{00000000-0005-0000-0000-0000EE220000}"/>
    <cellStyle name="Vírgula 3 4 2 2 7 2 2" xfId="9827" xr:uid="{00000000-0005-0000-0000-0000EF220000}"/>
    <cellStyle name="Vírgula 3 4 2 2 7 3" xfId="5541" xr:uid="{00000000-0005-0000-0000-0000F0220000}"/>
    <cellStyle name="Vírgula 3 4 2 2 7 3 2" xfId="12055" xr:uid="{00000000-0005-0000-0000-0000F1220000}"/>
    <cellStyle name="Vírgula 3 4 2 2 7 4" xfId="7771" xr:uid="{00000000-0005-0000-0000-0000F2220000}"/>
    <cellStyle name="Vírgula 3 4 2 2 8" xfId="2283" xr:uid="{00000000-0005-0000-0000-0000F3220000}"/>
    <cellStyle name="Vírgula 3 4 2 2 8 2" xfId="8799" xr:uid="{00000000-0005-0000-0000-0000F4220000}"/>
    <cellStyle name="Vírgula 3 4 2 2 9" xfId="4379" xr:uid="{00000000-0005-0000-0000-0000F5220000}"/>
    <cellStyle name="Vírgula 3 4 2 2 9 2" xfId="10893" xr:uid="{00000000-0005-0000-0000-0000F6220000}"/>
    <cellStyle name="Vírgula 3 4 2 3" xfId="119" xr:uid="{00000000-0005-0000-0000-0000F7220000}"/>
    <cellStyle name="Vírgula 3 4 2 3 2" xfId="208" xr:uid="{00000000-0005-0000-0000-0000F8220000}"/>
    <cellStyle name="Vírgula 3 4 2 3 2 2" xfId="336" xr:uid="{00000000-0005-0000-0000-0000F9220000}"/>
    <cellStyle name="Vírgula 3 4 2 3 2 2 2" xfId="679" xr:uid="{00000000-0005-0000-0000-0000FA220000}"/>
    <cellStyle name="Vírgula 3 4 2 3 2 2 2 2" xfId="1203" xr:uid="{00000000-0005-0000-0000-0000FB220000}"/>
    <cellStyle name="Vírgula 3 4 2 3 2 2 2 2 2" xfId="2231" xr:uid="{00000000-0005-0000-0000-0000FC220000}"/>
    <cellStyle name="Vírgula 3 4 2 3 2 2 2 2 2 2" xfId="4289" xr:uid="{00000000-0005-0000-0000-0000FD220000}"/>
    <cellStyle name="Vírgula 3 4 2 3 2 2 2 2 2 2 2" xfId="10805" xr:uid="{00000000-0005-0000-0000-0000FE220000}"/>
    <cellStyle name="Vírgula 3 4 2 3 2 2 2 2 2 3" xfId="6519" xr:uid="{00000000-0005-0000-0000-0000FF220000}"/>
    <cellStyle name="Vírgula 3 4 2 3 2 2 2 2 2 3 2" xfId="13033" xr:uid="{00000000-0005-0000-0000-000000230000}"/>
    <cellStyle name="Vírgula 3 4 2 3 2 2 2 2 2 4" xfId="8749" xr:uid="{00000000-0005-0000-0000-000001230000}"/>
    <cellStyle name="Vírgula 3 4 2 3 2 2 2 2 3" xfId="3261" xr:uid="{00000000-0005-0000-0000-000002230000}"/>
    <cellStyle name="Vírgula 3 4 2 3 2 2 2 2 3 2" xfId="9777" xr:uid="{00000000-0005-0000-0000-000003230000}"/>
    <cellStyle name="Vírgula 3 4 2 3 2 2 2 2 4" xfId="5491" xr:uid="{00000000-0005-0000-0000-000004230000}"/>
    <cellStyle name="Vírgula 3 4 2 3 2 2 2 2 4 2" xfId="12005" xr:uid="{00000000-0005-0000-0000-000005230000}"/>
    <cellStyle name="Vírgula 3 4 2 3 2 2 2 2 5" xfId="7721" xr:uid="{00000000-0005-0000-0000-000006230000}"/>
    <cellStyle name="Vírgula 3 4 2 3 2 2 2 3" xfId="1717" xr:uid="{00000000-0005-0000-0000-000007230000}"/>
    <cellStyle name="Vírgula 3 4 2 3 2 2 2 3 2" xfId="3775" xr:uid="{00000000-0005-0000-0000-000008230000}"/>
    <cellStyle name="Vírgula 3 4 2 3 2 2 2 3 2 2" xfId="10291" xr:uid="{00000000-0005-0000-0000-000009230000}"/>
    <cellStyle name="Vírgula 3 4 2 3 2 2 2 3 3" xfId="6005" xr:uid="{00000000-0005-0000-0000-00000A230000}"/>
    <cellStyle name="Vírgula 3 4 2 3 2 2 2 3 3 2" xfId="12519" xr:uid="{00000000-0005-0000-0000-00000B230000}"/>
    <cellStyle name="Vírgula 3 4 2 3 2 2 2 3 4" xfId="8235" xr:uid="{00000000-0005-0000-0000-00000C230000}"/>
    <cellStyle name="Vírgula 3 4 2 3 2 2 2 4" xfId="2747" xr:uid="{00000000-0005-0000-0000-00000D230000}"/>
    <cellStyle name="Vírgula 3 4 2 3 2 2 2 4 2" xfId="9263" xr:uid="{00000000-0005-0000-0000-00000E230000}"/>
    <cellStyle name="Vírgula 3 4 2 3 2 2 2 5" xfId="4975" xr:uid="{00000000-0005-0000-0000-00000F230000}"/>
    <cellStyle name="Vírgula 3 4 2 3 2 2 2 5 2" xfId="11489" xr:uid="{00000000-0005-0000-0000-000010230000}"/>
    <cellStyle name="Vírgula 3 4 2 3 2 2 2 6" xfId="7205" xr:uid="{00000000-0005-0000-0000-000011230000}"/>
    <cellStyle name="Vírgula 3 4 2 3 2 2 3" xfId="947" xr:uid="{00000000-0005-0000-0000-000012230000}"/>
    <cellStyle name="Vírgula 3 4 2 3 2 2 3 2" xfId="1975" xr:uid="{00000000-0005-0000-0000-000013230000}"/>
    <cellStyle name="Vírgula 3 4 2 3 2 2 3 2 2" xfId="4033" xr:uid="{00000000-0005-0000-0000-000014230000}"/>
    <cellStyle name="Vírgula 3 4 2 3 2 2 3 2 2 2" xfId="10549" xr:uid="{00000000-0005-0000-0000-000015230000}"/>
    <cellStyle name="Vírgula 3 4 2 3 2 2 3 2 3" xfId="6263" xr:uid="{00000000-0005-0000-0000-000016230000}"/>
    <cellStyle name="Vírgula 3 4 2 3 2 2 3 2 3 2" xfId="12777" xr:uid="{00000000-0005-0000-0000-000017230000}"/>
    <cellStyle name="Vírgula 3 4 2 3 2 2 3 2 4" xfId="8493" xr:uid="{00000000-0005-0000-0000-000018230000}"/>
    <cellStyle name="Vírgula 3 4 2 3 2 2 3 3" xfId="3005" xr:uid="{00000000-0005-0000-0000-000019230000}"/>
    <cellStyle name="Vírgula 3 4 2 3 2 2 3 3 2" xfId="9521" xr:uid="{00000000-0005-0000-0000-00001A230000}"/>
    <cellStyle name="Vírgula 3 4 2 3 2 2 3 4" xfId="5235" xr:uid="{00000000-0005-0000-0000-00001B230000}"/>
    <cellStyle name="Vírgula 3 4 2 3 2 2 3 4 2" xfId="11749" xr:uid="{00000000-0005-0000-0000-00001C230000}"/>
    <cellStyle name="Vírgula 3 4 2 3 2 2 3 5" xfId="7465" xr:uid="{00000000-0005-0000-0000-00001D230000}"/>
    <cellStyle name="Vírgula 3 4 2 3 2 2 4" xfId="1461" xr:uid="{00000000-0005-0000-0000-00001E230000}"/>
    <cellStyle name="Vírgula 3 4 2 3 2 2 4 2" xfId="3519" xr:uid="{00000000-0005-0000-0000-00001F230000}"/>
    <cellStyle name="Vírgula 3 4 2 3 2 2 4 2 2" xfId="10035" xr:uid="{00000000-0005-0000-0000-000020230000}"/>
    <cellStyle name="Vírgula 3 4 2 3 2 2 4 3" xfId="5749" xr:uid="{00000000-0005-0000-0000-000021230000}"/>
    <cellStyle name="Vírgula 3 4 2 3 2 2 4 3 2" xfId="12263" xr:uid="{00000000-0005-0000-0000-000022230000}"/>
    <cellStyle name="Vírgula 3 4 2 3 2 2 4 4" xfId="7979" xr:uid="{00000000-0005-0000-0000-000023230000}"/>
    <cellStyle name="Vírgula 3 4 2 3 2 2 5" xfId="2491" xr:uid="{00000000-0005-0000-0000-000024230000}"/>
    <cellStyle name="Vírgula 3 4 2 3 2 2 5 2" xfId="9007" xr:uid="{00000000-0005-0000-0000-000025230000}"/>
    <cellStyle name="Vírgula 3 4 2 3 2 2 6" xfId="4633" xr:uid="{00000000-0005-0000-0000-000026230000}"/>
    <cellStyle name="Vírgula 3 4 2 3 2 2 6 2" xfId="11147" xr:uid="{00000000-0005-0000-0000-000027230000}"/>
    <cellStyle name="Vírgula 3 4 2 3 2 2 7" xfId="6863" xr:uid="{00000000-0005-0000-0000-000028230000}"/>
    <cellStyle name="Vírgula 3 4 2 3 2 3" xfId="551" xr:uid="{00000000-0005-0000-0000-000029230000}"/>
    <cellStyle name="Vírgula 3 4 2 3 2 3 2" xfId="1075" xr:uid="{00000000-0005-0000-0000-00002A230000}"/>
    <cellStyle name="Vírgula 3 4 2 3 2 3 2 2" xfId="2103" xr:uid="{00000000-0005-0000-0000-00002B230000}"/>
    <cellStyle name="Vírgula 3 4 2 3 2 3 2 2 2" xfId="4161" xr:uid="{00000000-0005-0000-0000-00002C230000}"/>
    <cellStyle name="Vírgula 3 4 2 3 2 3 2 2 2 2" xfId="10677" xr:uid="{00000000-0005-0000-0000-00002D230000}"/>
    <cellStyle name="Vírgula 3 4 2 3 2 3 2 2 3" xfId="6391" xr:uid="{00000000-0005-0000-0000-00002E230000}"/>
    <cellStyle name="Vírgula 3 4 2 3 2 3 2 2 3 2" xfId="12905" xr:uid="{00000000-0005-0000-0000-00002F230000}"/>
    <cellStyle name="Vírgula 3 4 2 3 2 3 2 2 4" xfId="8621" xr:uid="{00000000-0005-0000-0000-000030230000}"/>
    <cellStyle name="Vírgula 3 4 2 3 2 3 2 3" xfId="3133" xr:uid="{00000000-0005-0000-0000-000031230000}"/>
    <cellStyle name="Vírgula 3 4 2 3 2 3 2 3 2" xfId="9649" xr:uid="{00000000-0005-0000-0000-000032230000}"/>
    <cellStyle name="Vírgula 3 4 2 3 2 3 2 4" xfId="5363" xr:uid="{00000000-0005-0000-0000-000033230000}"/>
    <cellStyle name="Vírgula 3 4 2 3 2 3 2 4 2" xfId="11877" xr:uid="{00000000-0005-0000-0000-000034230000}"/>
    <cellStyle name="Vírgula 3 4 2 3 2 3 2 5" xfId="7593" xr:uid="{00000000-0005-0000-0000-000035230000}"/>
    <cellStyle name="Vírgula 3 4 2 3 2 3 3" xfId="1589" xr:uid="{00000000-0005-0000-0000-000036230000}"/>
    <cellStyle name="Vírgula 3 4 2 3 2 3 3 2" xfId="3647" xr:uid="{00000000-0005-0000-0000-000037230000}"/>
    <cellStyle name="Vírgula 3 4 2 3 2 3 3 2 2" xfId="10163" xr:uid="{00000000-0005-0000-0000-000038230000}"/>
    <cellStyle name="Vírgula 3 4 2 3 2 3 3 3" xfId="5877" xr:uid="{00000000-0005-0000-0000-000039230000}"/>
    <cellStyle name="Vírgula 3 4 2 3 2 3 3 3 2" xfId="12391" xr:uid="{00000000-0005-0000-0000-00003A230000}"/>
    <cellStyle name="Vírgula 3 4 2 3 2 3 3 4" xfId="8107" xr:uid="{00000000-0005-0000-0000-00003B230000}"/>
    <cellStyle name="Vírgula 3 4 2 3 2 3 4" xfId="2619" xr:uid="{00000000-0005-0000-0000-00003C230000}"/>
    <cellStyle name="Vírgula 3 4 2 3 2 3 4 2" xfId="9135" xr:uid="{00000000-0005-0000-0000-00003D230000}"/>
    <cellStyle name="Vírgula 3 4 2 3 2 3 5" xfId="4847" xr:uid="{00000000-0005-0000-0000-00003E230000}"/>
    <cellStyle name="Vírgula 3 4 2 3 2 3 5 2" xfId="11361" xr:uid="{00000000-0005-0000-0000-00003F230000}"/>
    <cellStyle name="Vírgula 3 4 2 3 2 3 6" xfId="7077" xr:uid="{00000000-0005-0000-0000-000040230000}"/>
    <cellStyle name="Vírgula 3 4 2 3 2 4" xfId="819" xr:uid="{00000000-0005-0000-0000-000041230000}"/>
    <cellStyle name="Vírgula 3 4 2 3 2 4 2" xfId="1847" xr:uid="{00000000-0005-0000-0000-000042230000}"/>
    <cellStyle name="Vírgula 3 4 2 3 2 4 2 2" xfId="3905" xr:uid="{00000000-0005-0000-0000-000043230000}"/>
    <cellStyle name="Vírgula 3 4 2 3 2 4 2 2 2" xfId="10421" xr:uid="{00000000-0005-0000-0000-000044230000}"/>
    <cellStyle name="Vírgula 3 4 2 3 2 4 2 3" xfId="6135" xr:uid="{00000000-0005-0000-0000-000045230000}"/>
    <cellStyle name="Vírgula 3 4 2 3 2 4 2 3 2" xfId="12649" xr:uid="{00000000-0005-0000-0000-000046230000}"/>
    <cellStyle name="Vírgula 3 4 2 3 2 4 2 4" xfId="8365" xr:uid="{00000000-0005-0000-0000-000047230000}"/>
    <cellStyle name="Vírgula 3 4 2 3 2 4 3" xfId="2877" xr:uid="{00000000-0005-0000-0000-000048230000}"/>
    <cellStyle name="Vírgula 3 4 2 3 2 4 3 2" xfId="9393" xr:uid="{00000000-0005-0000-0000-000049230000}"/>
    <cellStyle name="Vírgula 3 4 2 3 2 4 4" xfId="5107" xr:uid="{00000000-0005-0000-0000-00004A230000}"/>
    <cellStyle name="Vírgula 3 4 2 3 2 4 4 2" xfId="11621" xr:uid="{00000000-0005-0000-0000-00004B230000}"/>
    <cellStyle name="Vírgula 3 4 2 3 2 4 5" xfId="7337" xr:uid="{00000000-0005-0000-0000-00004C230000}"/>
    <cellStyle name="Vírgula 3 4 2 3 2 5" xfId="1333" xr:uid="{00000000-0005-0000-0000-00004D230000}"/>
    <cellStyle name="Vírgula 3 4 2 3 2 5 2" xfId="3391" xr:uid="{00000000-0005-0000-0000-00004E230000}"/>
    <cellStyle name="Vírgula 3 4 2 3 2 5 2 2" xfId="9907" xr:uid="{00000000-0005-0000-0000-00004F230000}"/>
    <cellStyle name="Vírgula 3 4 2 3 2 5 3" xfId="5621" xr:uid="{00000000-0005-0000-0000-000050230000}"/>
    <cellStyle name="Vírgula 3 4 2 3 2 5 3 2" xfId="12135" xr:uid="{00000000-0005-0000-0000-000051230000}"/>
    <cellStyle name="Vírgula 3 4 2 3 2 5 4" xfId="7851" xr:uid="{00000000-0005-0000-0000-000052230000}"/>
    <cellStyle name="Vírgula 3 4 2 3 2 6" xfId="2363" xr:uid="{00000000-0005-0000-0000-000053230000}"/>
    <cellStyle name="Vírgula 3 4 2 3 2 6 2" xfId="8879" xr:uid="{00000000-0005-0000-0000-000054230000}"/>
    <cellStyle name="Vírgula 3 4 2 3 2 7" xfId="4505" xr:uid="{00000000-0005-0000-0000-000055230000}"/>
    <cellStyle name="Vírgula 3 4 2 3 2 7 2" xfId="11019" xr:uid="{00000000-0005-0000-0000-000056230000}"/>
    <cellStyle name="Vírgula 3 4 2 3 2 8" xfId="6735" xr:uid="{00000000-0005-0000-0000-000057230000}"/>
    <cellStyle name="Vírgula 3 4 2 3 3" xfId="272" xr:uid="{00000000-0005-0000-0000-000058230000}"/>
    <cellStyle name="Vírgula 3 4 2 3 3 2" xfId="615" xr:uid="{00000000-0005-0000-0000-000059230000}"/>
    <cellStyle name="Vírgula 3 4 2 3 3 2 2" xfId="1139" xr:uid="{00000000-0005-0000-0000-00005A230000}"/>
    <cellStyle name="Vírgula 3 4 2 3 3 2 2 2" xfId="2167" xr:uid="{00000000-0005-0000-0000-00005B230000}"/>
    <cellStyle name="Vírgula 3 4 2 3 3 2 2 2 2" xfId="4225" xr:uid="{00000000-0005-0000-0000-00005C230000}"/>
    <cellStyle name="Vírgula 3 4 2 3 3 2 2 2 2 2" xfId="10741" xr:uid="{00000000-0005-0000-0000-00005D230000}"/>
    <cellStyle name="Vírgula 3 4 2 3 3 2 2 2 3" xfId="6455" xr:uid="{00000000-0005-0000-0000-00005E230000}"/>
    <cellStyle name="Vírgula 3 4 2 3 3 2 2 2 3 2" xfId="12969" xr:uid="{00000000-0005-0000-0000-00005F230000}"/>
    <cellStyle name="Vírgula 3 4 2 3 3 2 2 2 4" xfId="8685" xr:uid="{00000000-0005-0000-0000-000060230000}"/>
    <cellStyle name="Vírgula 3 4 2 3 3 2 2 3" xfId="3197" xr:uid="{00000000-0005-0000-0000-000061230000}"/>
    <cellStyle name="Vírgula 3 4 2 3 3 2 2 3 2" xfId="9713" xr:uid="{00000000-0005-0000-0000-000062230000}"/>
    <cellStyle name="Vírgula 3 4 2 3 3 2 2 4" xfId="5427" xr:uid="{00000000-0005-0000-0000-000063230000}"/>
    <cellStyle name="Vírgula 3 4 2 3 3 2 2 4 2" xfId="11941" xr:uid="{00000000-0005-0000-0000-000064230000}"/>
    <cellStyle name="Vírgula 3 4 2 3 3 2 2 5" xfId="7657" xr:uid="{00000000-0005-0000-0000-000065230000}"/>
    <cellStyle name="Vírgula 3 4 2 3 3 2 3" xfId="1653" xr:uid="{00000000-0005-0000-0000-000066230000}"/>
    <cellStyle name="Vírgula 3 4 2 3 3 2 3 2" xfId="3711" xr:uid="{00000000-0005-0000-0000-000067230000}"/>
    <cellStyle name="Vírgula 3 4 2 3 3 2 3 2 2" xfId="10227" xr:uid="{00000000-0005-0000-0000-000068230000}"/>
    <cellStyle name="Vírgula 3 4 2 3 3 2 3 3" xfId="5941" xr:uid="{00000000-0005-0000-0000-000069230000}"/>
    <cellStyle name="Vírgula 3 4 2 3 3 2 3 3 2" xfId="12455" xr:uid="{00000000-0005-0000-0000-00006A230000}"/>
    <cellStyle name="Vírgula 3 4 2 3 3 2 3 4" xfId="8171" xr:uid="{00000000-0005-0000-0000-00006B230000}"/>
    <cellStyle name="Vírgula 3 4 2 3 3 2 4" xfId="2683" xr:uid="{00000000-0005-0000-0000-00006C230000}"/>
    <cellStyle name="Vírgula 3 4 2 3 3 2 4 2" xfId="9199" xr:uid="{00000000-0005-0000-0000-00006D230000}"/>
    <cellStyle name="Vírgula 3 4 2 3 3 2 5" xfId="4911" xr:uid="{00000000-0005-0000-0000-00006E230000}"/>
    <cellStyle name="Vírgula 3 4 2 3 3 2 5 2" xfId="11425" xr:uid="{00000000-0005-0000-0000-00006F230000}"/>
    <cellStyle name="Vírgula 3 4 2 3 3 2 6" xfId="7141" xr:uid="{00000000-0005-0000-0000-000070230000}"/>
    <cellStyle name="Vírgula 3 4 2 3 3 3" xfId="883" xr:uid="{00000000-0005-0000-0000-000071230000}"/>
    <cellStyle name="Vírgula 3 4 2 3 3 3 2" xfId="1911" xr:uid="{00000000-0005-0000-0000-000072230000}"/>
    <cellStyle name="Vírgula 3 4 2 3 3 3 2 2" xfId="3969" xr:uid="{00000000-0005-0000-0000-000073230000}"/>
    <cellStyle name="Vírgula 3 4 2 3 3 3 2 2 2" xfId="10485" xr:uid="{00000000-0005-0000-0000-000074230000}"/>
    <cellStyle name="Vírgula 3 4 2 3 3 3 2 3" xfId="6199" xr:uid="{00000000-0005-0000-0000-000075230000}"/>
    <cellStyle name="Vírgula 3 4 2 3 3 3 2 3 2" xfId="12713" xr:uid="{00000000-0005-0000-0000-000076230000}"/>
    <cellStyle name="Vírgula 3 4 2 3 3 3 2 4" xfId="8429" xr:uid="{00000000-0005-0000-0000-000077230000}"/>
    <cellStyle name="Vírgula 3 4 2 3 3 3 3" xfId="2941" xr:uid="{00000000-0005-0000-0000-000078230000}"/>
    <cellStyle name="Vírgula 3 4 2 3 3 3 3 2" xfId="9457" xr:uid="{00000000-0005-0000-0000-000079230000}"/>
    <cellStyle name="Vírgula 3 4 2 3 3 3 4" xfId="5171" xr:uid="{00000000-0005-0000-0000-00007A230000}"/>
    <cellStyle name="Vírgula 3 4 2 3 3 3 4 2" xfId="11685" xr:uid="{00000000-0005-0000-0000-00007B230000}"/>
    <cellStyle name="Vírgula 3 4 2 3 3 3 5" xfId="7401" xr:uid="{00000000-0005-0000-0000-00007C230000}"/>
    <cellStyle name="Vírgula 3 4 2 3 3 4" xfId="1397" xr:uid="{00000000-0005-0000-0000-00007D230000}"/>
    <cellStyle name="Vírgula 3 4 2 3 3 4 2" xfId="3455" xr:uid="{00000000-0005-0000-0000-00007E230000}"/>
    <cellStyle name="Vírgula 3 4 2 3 3 4 2 2" xfId="9971" xr:uid="{00000000-0005-0000-0000-00007F230000}"/>
    <cellStyle name="Vírgula 3 4 2 3 3 4 3" xfId="5685" xr:uid="{00000000-0005-0000-0000-000080230000}"/>
    <cellStyle name="Vírgula 3 4 2 3 3 4 3 2" xfId="12199" xr:uid="{00000000-0005-0000-0000-000081230000}"/>
    <cellStyle name="Vírgula 3 4 2 3 3 4 4" xfId="7915" xr:uid="{00000000-0005-0000-0000-000082230000}"/>
    <cellStyle name="Vírgula 3 4 2 3 3 5" xfId="2427" xr:uid="{00000000-0005-0000-0000-000083230000}"/>
    <cellStyle name="Vírgula 3 4 2 3 3 5 2" xfId="8943" xr:uid="{00000000-0005-0000-0000-000084230000}"/>
    <cellStyle name="Vírgula 3 4 2 3 3 6" xfId="4569" xr:uid="{00000000-0005-0000-0000-000085230000}"/>
    <cellStyle name="Vírgula 3 4 2 3 3 6 2" xfId="11083" xr:uid="{00000000-0005-0000-0000-000086230000}"/>
    <cellStyle name="Vírgula 3 4 2 3 3 7" xfId="6799" xr:uid="{00000000-0005-0000-0000-000087230000}"/>
    <cellStyle name="Vírgula 3 4 2 3 4" xfId="462" xr:uid="{00000000-0005-0000-0000-000088230000}"/>
    <cellStyle name="Vírgula 3 4 2 3 4 2" xfId="1011" xr:uid="{00000000-0005-0000-0000-000089230000}"/>
    <cellStyle name="Vírgula 3 4 2 3 4 2 2" xfId="2039" xr:uid="{00000000-0005-0000-0000-00008A230000}"/>
    <cellStyle name="Vírgula 3 4 2 3 4 2 2 2" xfId="4097" xr:uid="{00000000-0005-0000-0000-00008B230000}"/>
    <cellStyle name="Vírgula 3 4 2 3 4 2 2 2 2" xfId="10613" xr:uid="{00000000-0005-0000-0000-00008C230000}"/>
    <cellStyle name="Vírgula 3 4 2 3 4 2 2 3" xfId="6327" xr:uid="{00000000-0005-0000-0000-00008D230000}"/>
    <cellStyle name="Vírgula 3 4 2 3 4 2 2 3 2" xfId="12841" xr:uid="{00000000-0005-0000-0000-00008E230000}"/>
    <cellStyle name="Vírgula 3 4 2 3 4 2 2 4" xfId="8557" xr:uid="{00000000-0005-0000-0000-00008F230000}"/>
    <cellStyle name="Vírgula 3 4 2 3 4 2 3" xfId="3069" xr:uid="{00000000-0005-0000-0000-000090230000}"/>
    <cellStyle name="Vírgula 3 4 2 3 4 2 3 2" xfId="9585" xr:uid="{00000000-0005-0000-0000-000091230000}"/>
    <cellStyle name="Vírgula 3 4 2 3 4 2 4" xfId="5299" xr:uid="{00000000-0005-0000-0000-000092230000}"/>
    <cellStyle name="Vírgula 3 4 2 3 4 2 4 2" xfId="11813" xr:uid="{00000000-0005-0000-0000-000093230000}"/>
    <cellStyle name="Vírgula 3 4 2 3 4 2 5" xfId="7529" xr:uid="{00000000-0005-0000-0000-000094230000}"/>
    <cellStyle name="Vírgula 3 4 2 3 4 3" xfId="1525" xr:uid="{00000000-0005-0000-0000-000095230000}"/>
    <cellStyle name="Vírgula 3 4 2 3 4 3 2" xfId="3583" xr:uid="{00000000-0005-0000-0000-000096230000}"/>
    <cellStyle name="Vírgula 3 4 2 3 4 3 2 2" xfId="10099" xr:uid="{00000000-0005-0000-0000-000097230000}"/>
    <cellStyle name="Vírgula 3 4 2 3 4 3 3" xfId="5813" xr:uid="{00000000-0005-0000-0000-000098230000}"/>
    <cellStyle name="Vírgula 3 4 2 3 4 3 3 2" xfId="12327" xr:uid="{00000000-0005-0000-0000-000099230000}"/>
    <cellStyle name="Vírgula 3 4 2 3 4 3 4" xfId="8043" xr:uid="{00000000-0005-0000-0000-00009A230000}"/>
    <cellStyle name="Vírgula 3 4 2 3 4 4" xfId="2555" xr:uid="{00000000-0005-0000-0000-00009B230000}"/>
    <cellStyle name="Vírgula 3 4 2 3 4 4 2" xfId="9071" xr:uid="{00000000-0005-0000-0000-00009C230000}"/>
    <cellStyle name="Vírgula 3 4 2 3 4 5" xfId="4758" xr:uid="{00000000-0005-0000-0000-00009D230000}"/>
    <cellStyle name="Vírgula 3 4 2 3 4 5 2" xfId="11272" xr:uid="{00000000-0005-0000-0000-00009E230000}"/>
    <cellStyle name="Vírgula 3 4 2 3 4 6" xfId="6988" xr:uid="{00000000-0005-0000-0000-00009F230000}"/>
    <cellStyle name="Vírgula 3 4 2 3 5" xfId="755" xr:uid="{00000000-0005-0000-0000-0000A0230000}"/>
    <cellStyle name="Vírgula 3 4 2 3 5 2" xfId="1783" xr:uid="{00000000-0005-0000-0000-0000A1230000}"/>
    <cellStyle name="Vírgula 3 4 2 3 5 2 2" xfId="3841" xr:uid="{00000000-0005-0000-0000-0000A2230000}"/>
    <cellStyle name="Vírgula 3 4 2 3 5 2 2 2" xfId="10357" xr:uid="{00000000-0005-0000-0000-0000A3230000}"/>
    <cellStyle name="Vírgula 3 4 2 3 5 2 3" xfId="6071" xr:uid="{00000000-0005-0000-0000-0000A4230000}"/>
    <cellStyle name="Vírgula 3 4 2 3 5 2 3 2" xfId="12585" xr:uid="{00000000-0005-0000-0000-0000A5230000}"/>
    <cellStyle name="Vírgula 3 4 2 3 5 2 4" xfId="8301" xr:uid="{00000000-0005-0000-0000-0000A6230000}"/>
    <cellStyle name="Vírgula 3 4 2 3 5 3" xfId="2813" xr:uid="{00000000-0005-0000-0000-0000A7230000}"/>
    <cellStyle name="Vírgula 3 4 2 3 5 3 2" xfId="9329" xr:uid="{00000000-0005-0000-0000-0000A8230000}"/>
    <cellStyle name="Vírgula 3 4 2 3 5 4" xfId="5043" xr:uid="{00000000-0005-0000-0000-0000A9230000}"/>
    <cellStyle name="Vírgula 3 4 2 3 5 4 2" xfId="11557" xr:uid="{00000000-0005-0000-0000-0000AA230000}"/>
    <cellStyle name="Vírgula 3 4 2 3 5 5" xfId="7273" xr:uid="{00000000-0005-0000-0000-0000AB230000}"/>
    <cellStyle name="Vírgula 3 4 2 3 6" xfId="1269" xr:uid="{00000000-0005-0000-0000-0000AC230000}"/>
    <cellStyle name="Vírgula 3 4 2 3 6 2" xfId="3327" xr:uid="{00000000-0005-0000-0000-0000AD230000}"/>
    <cellStyle name="Vírgula 3 4 2 3 6 2 2" xfId="9843" xr:uid="{00000000-0005-0000-0000-0000AE230000}"/>
    <cellStyle name="Vírgula 3 4 2 3 6 3" xfId="5557" xr:uid="{00000000-0005-0000-0000-0000AF230000}"/>
    <cellStyle name="Vírgula 3 4 2 3 6 3 2" xfId="12071" xr:uid="{00000000-0005-0000-0000-0000B0230000}"/>
    <cellStyle name="Vírgula 3 4 2 3 6 4" xfId="7787" xr:uid="{00000000-0005-0000-0000-0000B1230000}"/>
    <cellStyle name="Vírgula 3 4 2 3 7" xfId="2299" xr:uid="{00000000-0005-0000-0000-0000B2230000}"/>
    <cellStyle name="Vírgula 3 4 2 3 7 2" xfId="8815" xr:uid="{00000000-0005-0000-0000-0000B3230000}"/>
    <cellStyle name="Vírgula 3 4 2 3 8" xfId="4416" xr:uid="{00000000-0005-0000-0000-0000B4230000}"/>
    <cellStyle name="Vírgula 3 4 2 3 8 2" xfId="10930" xr:uid="{00000000-0005-0000-0000-0000B5230000}"/>
    <cellStyle name="Vírgula 3 4 2 3 9" xfId="6646" xr:uid="{00000000-0005-0000-0000-0000B6230000}"/>
    <cellStyle name="Vírgula 3 4 2 4" xfId="176" xr:uid="{00000000-0005-0000-0000-0000B7230000}"/>
    <cellStyle name="Vírgula 3 4 2 4 2" xfId="304" xr:uid="{00000000-0005-0000-0000-0000B8230000}"/>
    <cellStyle name="Vírgula 3 4 2 4 2 2" xfId="647" xr:uid="{00000000-0005-0000-0000-0000B9230000}"/>
    <cellStyle name="Vírgula 3 4 2 4 2 2 2" xfId="1171" xr:uid="{00000000-0005-0000-0000-0000BA230000}"/>
    <cellStyle name="Vírgula 3 4 2 4 2 2 2 2" xfId="2199" xr:uid="{00000000-0005-0000-0000-0000BB230000}"/>
    <cellStyle name="Vírgula 3 4 2 4 2 2 2 2 2" xfId="4257" xr:uid="{00000000-0005-0000-0000-0000BC230000}"/>
    <cellStyle name="Vírgula 3 4 2 4 2 2 2 2 2 2" xfId="10773" xr:uid="{00000000-0005-0000-0000-0000BD230000}"/>
    <cellStyle name="Vírgula 3 4 2 4 2 2 2 2 3" xfId="6487" xr:uid="{00000000-0005-0000-0000-0000BE230000}"/>
    <cellStyle name="Vírgula 3 4 2 4 2 2 2 2 3 2" xfId="13001" xr:uid="{00000000-0005-0000-0000-0000BF230000}"/>
    <cellStyle name="Vírgula 3 4 2 4 2 2 2 2 4" xfId="8717" xr:uid="{00000000-0005-0000-0000-0000C0230000}"/>
    <cellStyle name="Vírgula 3 4 2 4 2 2 2 3" xfId="3229" xr:uid="{00000000-0005-0000-0000-0000C1230000}"/>
    <cellStyle name="Vírgula 3 4 2 4 2 2 2 3 2" xfId="9745" xr:uid="{00000000-0005-0000-0000-0000C2230000}"/>
    <cellStyle name="Vírgula 3 4 2 4 2 2 2 4" xfId="5459" xr:uid="{00000000-0005-0000-0000-0000C3230000}"/>
    <cellStyle name="Vírgula 3 4 2 4 2 2 2 4 2" xfId="11973" xr:uid="{00000000-0005-0000-0000-0000C4230000}"/>
    <cellStyle name="Vírgula 3 4 2 4 2 2 2 5" xfId="7689" xr:uid="{00000000-0005-0000-0000-0000C5230000}"/>
    <cellStyle name="Vírgula 3 4 2 4 2 2 3" xfId="1685" xr:uid="{00000000-0005-0000-0000-0000C6230000}"/>
    <cellStyle name="Vírgula 3 4 2 4 2 2 3 2" xfId="3743" xr:uid="{00000000-0005-0000-0000-0000C7230000}"/>
    <cellStyle name="Vírgula 3 4 2 4 2 2 3 2 2" xfId="10259" xr:uid="{00000000-0005-0000-0000-0000C8230000}"/>
    <cellStyle name="Vírgula 3 4 2 4 2 2 3 3" xfId="5973" xr:uid="{00000000-0005-0000-0000-0000C9230000}"/>
    <cellStyle name="Vírgula 3 4 2 4 2 2 3 3 2" xfId="12487" xr:uid="{00000000-0005-0000-0000-0000CA230000}"/>
    <cellStyle name="Vírgula 3 4 2 4 2 2 3 4" xfId="8203" xr:uid="{00000000-0005-0000-0000-0000CB230000}"/>
    <cellStyle name="Vírgula 3 4 2 4 2 2 4" xfId="2715" xr:uid="{00000000-0005-0000-0000-0000CC230000}"/>
    <cellStyle name="Vírgula 3 4 2 4 2 2 4 2" xfId="9231" xr:uid="{00000000-0005-0000-0000-0000CD230000}"/>
    <cellStyle name="Vírgula 3 4 2 4 2 2 5" xfId="4943" xr:uid="{00000000-0005-0000-0000-0000CE230000}"/>
    <cellStyle name="Vírgula 3 4 2 4 2 2 5 2" xfId="11457" xr:uid="{00000000-0005-0000-0000-0000CF230000}"/>
    <cellStyle name="Vírgula 3 4 2 4 2 2 6" xfId="7173" xr:uid="{00000000-0005-0000-0000-0000D0230000}"/>
    <cellStyle name="Vírgula 3 4 2 4 2 3" xfId="915" xr:uid="{00000000-0005-0000-0000-0000D1230000}"/>
    <cellStyle name="Vírgula 3 4 2 4 2 3 2" xfId="1943" xr:uid="{00000000-0005-0000-0000-0000D2230000}"/>
    <cellStyle name="Vírgula 3 4 2 4 2 3 2 2" xfId="4001" xr:uid="{00000000-0005-0000-0000-0000D3230000}"/>
    <cellStyle name="Vírgula 3 4 2 4 2 3 2 2 2" xfId="10517" xr:uid="{00000000-0005-0000-0000-0000D4230000}"/>
    <cellStyle name="Vírgula 3 4 2 4 2 3 2 3" xfId="6231" xr:uid="{00000000-0005-0000-0000-0000D5230000}"/>
    <cellStyle name="Vírgula 3 4 2 4 2 3 2 3 2" xfId="12745" xr:uid="{00000000-0005-0000-0000-0000D6230000}"/>
    <cellStyle name="Vírgula 3 4 2 4 2 3 2 4" xfId="8461" xr:uid="{00000000-0005-0000-0000-0000D7230000}"/>
    <cellStyle name="Vírgula 3 4 2 4 2 3 3" xfId="2973" xr:uid="{00000000-0005-0000-0000-0000D8230000}"/>
    <cellStyle name="Vírgula 3 4 2 4 2 3 3 2" xfId="9489" xr:uid="{00000000-0005-0000-0000-0000D9230000}"/>
    <cellStyle name="Vírgula 3 4 2 4 2 3 4" xfId="5203" xr:uid="{00000000-0005-0000-0000-0000DA230000}"/>
    <cellStyle name="Vírgula 3 4 2 4 2 3 4 2" xfId="11717" xr:uid="{00000000-0005-0000-0000-0000DB230000}"/>
    <cellStyle name="Vírgula 3 4 2 4 2 3 5" xfId="7433" xr:uid="{00000000-0005-0000-0000-0000DC230000}"/>
    <cellStyle name="Vírgula 3 4 2 4 2 4" xfId="1429" xr:uid="{00000000-0005-0000-0000-0000DD230000}"/>
    <cellStyle name="Vírgula 3 4 2 4 2 4 2" xfId="3487" xr:uid="{00000000-0005-0000-0000-0000DE230000}"/>
    <cellStyle name="Vírgula 3 4 2 4 2 4 2 2" xfId="10003" xr:uid="{00000000-0005-0000-0000-0000DF230000}"/>
    <cellStyle name="Vírgula 3 4 2 4 2 4 3" xfId="5717" xr:uid="{00000000-0005-0000-0000-0000E0230000}"/>
    <cellStyle name="Vírgula 3 4 2 4 2 4 3 2" xfId="12231" xr:uid="{00000000-0005-0000-0000-0000E1230000}"/>
    <cellStyle name="Vírgula 3 4 2 4 2 4 4" xfId="7947" xr:uid="{00000000-0005-0000-0000-0000E2230000}"/>
    <cellStyle name="Vírgula 3 4 2 4 2 5" xfId="2459" xr:uid="{00000000-0005-0000-0000-0000E3230000}"/>
    <cellStyle name="Vírgula 3 4 2 4 2 5 2" xfId="8975" xr:uid="{00000000-0005-0000-0000-0000E4230000}"/>
    <cellStyle name="Vírgula 3 4 2 4 2 6" xfId="4601" xr:uid="{00000000-0005-0000-0000-0000E5230000}"/>
    <cellStyle name="Vírgula 3 4 2 4 2 6 2" xfId="11115" xr:uid="{00000000-0005-0000-0000-0000E6230000}"/>
    <cellStyle name="Vírgula 3 4 2 4 2 7" xfId="6831" xr:uid="{00000000-0005-0000-0000-0000E7230000}"/>
    <cellStyle name="Vírgula 3 4 2 4 3" xfId="519" xr:uid="{00000000-0005-0000-0000-0000E8230000}"/>
    <cellStyle name="Vírgula 3 4 2 4 3 2" xfId="1043" xr:uid="{00000000-0005-0000-0000-0000E9230000}"/>
    <cellStyle name="Vírgula 3 4 2 4 3 2 2" xfId="2071" xr:uid="{00000000-0005-0000-0000-0000EA230000}"/>
    <cellStyle name="Vírgula 3 4 2 4 3 2 2 2" xfId="4129" xr:uid="{00000000-0005-0000-0000-0000EB230000}"/>
    <cellStyle name="Vírgula 3 4 2 4 3 2 2 2 2" xfId="10645" xr:uid="{00000000-0005-0000-0000-0000EC230000}"/>
    <cellStyle name="Vírgula 3 4 2 4 3 2 2 3" xfId="6359" xr:uid="{00000000-0005-0000-0000-0000ED230000}"/>
    <cellStyle name="Vírgula 3 4 2 4 3 2 2 3 2" xfId="12873" xr:uid="{00000000-0005-0000-0000-0000EE230000}"/>
    <cellStyle name="Vírgula 3 4 2 4 3 2 2 4" xfId="8589" xr:uid="{00000000-0005-0000-0000-0000EF230000}"/>
    <cellStyle name="Vírgula 3 4 2 4 3 2 3" xfId="3101" xr:uid="{00000000-0005-0000-0000-0000F0230000}"/>
    <cellStyle name="Vírgula 3 4 2 4 3 2 3 2" xfId="9617" xr:uid="{00000000-0005-0000-0000-0000F1230000}"/>
    <cellStyle name="Vírgula 3 4 2 4 3 2 4" xfId="5331" xr:uid="{00000000-0005-0000-0000-0000F2230000}"/>
    <cellStyle name="Vírgula 3 4 2 4 3 2 4 2" xfId="11845" xr:uid="{00000000-0005-0000-0000-0000F3230000}"/>
    <cellStyle name="Vírgula 3 4 2 4 3 2 5" xfId="7561" xr:uid="{00000000-0005-0000-0000-0000F4230000}"/>
    <cellStyle name="Vírgula 3 4 2 4 3 3" xfId="1557" xr:uid="{00000000-0005-0000-0000-0000F5230000}"/>
    <cellStyle name="Vírgula 3 4 2 4 3 3 2" xfId="3615" xr:uid="{00000000-0005-0000-0000-0000F6230000}"/>
    <cellStyle name="Vírgula 3 4 2 4 3 3 2 2" xfId="10131" xr:uid="{00000000-0005-0000-0000-0000F7230000}"/>
    <cellStyle name="Vírgula 3 4 2 4 3 3 3" xfId="5845" xr:uid="{00000000-0005-0000-0000-0000F8230000}"/>
    <cellStyle name="Vírgula 3 4 2 4 3 3 3 2" xfId="12359" xr:uid="{00000000-0005-0000-0000-0000F9230000}"/>
    <cellStyle name="Vírgula 3 4 2 4 3 3 4" xfId="8075" xr:uid="{00000000-0005-0000-0000-0000FA230000}"/>
    <cellStyle name="Vírgula 3 4 2 4 3 4" xfId="2587" xr:uid="{00000000-0005-0000-0000-0000FB230000}"/>
    <cellStyle name="Vírgula 3 4 2 4 3 4 2" xfId="9103" xr:uid="{00000000-0005-0000-0000-0000FC230000}"/>
    <cellStyle name="Vírgula 3 4 2 4 3 5" xfId="4815" xr:uid="{00000000-0005-0000-0000-0000FD230000}"/>
    <cellStyle name="Vírgula 3 4 2 4 3 5 2" xfId="11329" xr:uid="{00000000-0005-0000-0000-0000FE230000}"/>
    <cellStyle name="Vírgula 3 4 2 4 3 6" xfId="7045" xr:uid="{00000000-0005-0000-0000-0000FF230000}"/>
    <cellStyle name="Vírgula 3 4 2 4 4" xfId="787" xr:uid="{00000000-0005-0000-0000-000000240000}"/>
    <cellStyle name="Vírgula 3 4 2 4 4 2" xfId="1815" xr:uid="{00000000-0005-0000-0000-000001240000}"/>
    <cellStyle name="Vírgula 3 4 2 4 4 2 2" xfId="3873" xr:uid="{00000000-0005-0000-0000-000002240000}"/>
    <cellStyle name="Vírgula 3 4 2 4 4 2 2 2" xfId="10389" xr:uid="{00000000-0005-0000-0000-000003240000}"/>
    <cellStyle name="Vírgula 3 4 2 4 4 2 3" xfId="6103" xr:uid="{00000000-0005-0000-0000-000004240000}"/>
    <cellStyle name="Vírgula 3 4 2 4 4 2 3 2" xfId="12617" xr:uid="{00000000-0005-0000-0000-000005240000}"/>
    <cellStyle name="Vírgula 3 4 2 4 4 2 4" xfId="8333" xr:uid="{00000000-0005-0000-0000-000006240000}"/>
    <cellStyle name="Vírgula 3 4 2 4 4 3" xfId="2845" xr:uid="{00000000-0005-0000-0000-000007240000}"/>
    <cellStyle name="Vírgula 3 4 2 4 4 3 2" xfId="9361" xr:uid="{00000000-0005-0000-0000-000008240000}"/>
    <cellStyle name="Vírgula 3 4 2 4 4 4" xfId="5075" xr:uid="{00000000-0005-0000-0000-000009240000}"/>
    <cellStyle name="Vírgula 3 4 2 4 4 4 2" xfId="11589" xr:uid="{00000000-0005-0000-0000-00000A240000}"/>
    <cellStyle name="Vírgula 3 4 2 4 4 5" xfId="7305" xr:uid="{00000000-0005-0000-0000-00000B240000}"/>
    <cellStyle name="Vírgula 3 4 2 4 5" xfId="1301" xr:uid="{00000000-0005-0000-0000-00000C240000}"/>
    <cellStyle name="Vírgula 3 4 2 4 5 2" xfId="3359" xr:uid="{00000000-0005-0000-0000-00000D240000}"/>
    <cellStyle name="Vírgula 3 4 2 4 5 2 2" xfId="9875" xr:uid="{00000000-0005-0000-0000-00000E240000}"/>
    <cellStyle name="Vírgula 3 4 2 4 5 3" xfId="5589" xr:uid="{00000000-0005-0000-0000-00000F240000}"/>
    <cellStyle name="Vírgula 3 4 2 4 5 3 2" xfId="12103" xr:uid="{00000000-0005-0000-0000-000010240000}"/>
    <cellStyle name="Vírgula 3 4 2 4 5 4" xfId="7819" xr:uid="{00000000-0005-0000-0000-000011240000}"/>
    <cellStyle name="Vírgula 3 4 2 4 6" xfId="2331" xr:uid="{00000000-0005-0000-0000-000012240000}"/>
    <cellStyle name="Vírgula 3 4 2 4 6 2" xfId="8847" xr:uid="{00000000-0005-0000-0000-000013240000}"/>
    <cellStyle name="Vírgula 3 4 2 4 7" xfId="4473" xr:uid="{00000000-0005-0000-0000-000014240000}"/>
    <cellStyle name="Vírgula 3 4 2 4 7 2" xfId="10987" xr:uid="{00000000-0005-0000-0000-000015240000}"/>
    <cellStyle name="Vírgula 3 4 2 4 8" xfId="6703" xr:uid="{00000000-0005-0000-0000-000016240000}"/>
    <cellStyle name="Vírgula 3 4 2 5" xfId="240" xr:uid="{00000000-0005-0000-0000-000017240000}"/>
    <cellStyle name="Vírgula 3 4 2 5 2" xfId="583" xr:uid="{00000000-0005-0000-0000-000018240000}"/>
    <cellStyle name="Vírgula 3 4 2 5 2 2" xfId="1107" xr:uid="{00000000-0005-0000-0000-000019240000}"/>
    <cellStyle name="Vírgula 3 4 2 5 2 2 2" xfId="2135" xr:uid="{00000000-0005-0000-0000-00001A240000}"/>
    <cellStyle name="Vírgula 3 4 2 5 2 2 2 2" xfId="4193" xr:uid="{00000000-0005-0000-0000-00001B240000}"/>
    <cellStyle name="Vírgula 3 4 2 5 2 2 2 2 2" xfId="10709" xr:uid="{00000000-0005-0000-0000-00001C240000}"/>
    <cellStyle name="Vírgula 3 4 2 5 2 2 2 3" xfId="6423" xr:uid="{00000000-0005-0000-0000-00001D240000}"/>
    <cellStyle name="Vírgula 3 4 2 5 2 2 2 3 2" xfId="12937" xr:uid="{00000000-0005-0000-0000-00001E240000}"/>
    <cellStyle name="Vírgula 3 4 2 5 2 2 2 4" xfId="8653" xr:uid="{00000000-0005-0000-0000-00001F240000}"/>
    <cellStyle name="Vírgula 3 4 2 5 2 2 3" xfId="3165" xr:uid="{00000000-0005-0000-0000-000020240000}"/>
    <cellStyle name="Vírgula 3 4 2 5 2 2 3 2" xfId="9681" xr:uid="{00000000-0005-0000-0000-000021240000}"/>
    <cellStyle name="Vírgula 3 4 2 5 2 2 4" xfId="5395" xr:uid="{00000000-0005-0000-0000-000022240000}"/>
    <cellStyle name="Vírgula 3 4 2 5 2 2 4 2" xfId="11909" xr:uid="{00000000-0005-0000-0000-000023240000}"/>
    <cellStyle name="Vírgula 3 4 2 5 2 2 5" xfId="7625" xr:uid="{00000000-0005-0000-0000-000024240000}"/>
    <cellStyle name="Vírgula 3 4 2 5 2 3" xfId="1621" xr:uid="{00000000-0005-0000-0000-000025240000}"/>
    <cellStyle name="Vírgula 3 4 2 5 2 3 2" xfId="3679" xr:uid="{00000000-0005-0000-0000-000026240000}"/>
    <cellStyle name="Vírgula 3 4 2 5 2 3 2 2" xfId="10195" xr:uid="{00000000-0005-0000-0000-000027240000}"/>
    <cellStyle name="Vírgula 3 4 2 5 2 3 3" xfId="5909" xr:uid="{00000000-0005-0000-0000-000028240000}"/>
    <cellStyle name="Vírgula 3 4 2 5 2 3 3 2" xfId="12423" xr:uid="{00000000-0005-0000-0000-000029240000}"/>
    <cellStyle name="Vírgula 3 4 2 5 2 3 4" xfId="8139" xr:uid="{00000000-0005-0000-0000-00002A240000}"/>
    <cellStyle name="Vírgula 3 4 2 5 2 4" xfId="2651" xr:uid="{00000000-0005-0000-0000-00002B240000}"/>
    <cellStyle name="Vírgula 3 4 2 5 2 4 2" xfId="9167" xr:uid="{00000000-0005-0000-0000-00002C240000}"/>
    <cellStyle name="Vírgula 3 4 2 5 2 5" xfId="4879" xr:uid="{00000000-0005-0000-0000-00002D240000}"/>
    <cellStyle name="Vírgula 3 4 2 5 2 5 2" xfId="11393" xr:uid="{00000000-0005-0000-0000-00002E240000}"/>
    <cellStyle name="Vírgula 3 4 2 5 2 6" xfId="7109" xr:uid="{00000000-0005-0000-0000-00002F240000}"/>
    <cellStyle name="Vírgula 3 4 2 5 3" xfId="851" xr:uid="{00000000-0005-0000-0000-000030240000}"/>
    <cellStyle name="Vírgula 3 4 2 5 3 2" xfId="1879" xr:uid="{00000000-0005-0000-0000-000031240000}"/>
    <cellStyle name="Vírgula 3 4 2 5 3 2 2" xfId="3937" xr:uid="{00000000-0005-0000-0000-000032240000}"/>
    <cellStyle name="Vírgula 3 4 2 5 3 2 2 2" xfId="10453" xr:uid="{00000000-0005-0000-0000-000033240000}"/>
    <cellStyle name="Vírgula 3 4 2 5 3 2 3" xfId="6167" xr:uid="{00000000-0005-0000-0000-000034240000}"/>
    <cellStyle name="Vírgula 3 4 2 5 3 2 3 2" xfId="12681" xr:uid="{00000000-0005-0000-0000-000035240000}"/>
    <cellStyle name="Vírgula 3 4 2 5 3 2 4" xfId="8397" xr:uid="{00000000-0005-0000-0000-000036240000}"/>
    <cellStyle name="Vírgula 3 4 2 5 3 3" xfId="2909" xr:uid="{00000000-0005-0000-0000-000037240000}"/>
    <cellStyle name="Vírgula 3 4 2 5 3 3 2" xfId="9425" xr:uid="{00000000-0005-0000-0000-000038240000}"/>
    <cellStyle name="Vírgula 3 4 2 5 3 4" xfId="5139" xr:uid="{00000000-0005-0000-0000-000039240000}"/>
    <cellStyle name="Vírgula 3 4 2 5 3 4 2" xfId="11653" xr:uid="{00000000-0005-0000-0000-00003A240000}"/>
    <cellStyle name="Vírgula 3 4 2 5 3 5" xfId="7369" xr:uid="{00000000-0005-0000-0000-00003B240000}"/>
    <cellStyle name="Vírgula 3 4 2 5 4" xfId="1365" xr:uid="{00000000-0005-0000-0000-00003C240000}"/>
    <cellStyle name="Vírgula 3 4 2 5 4 2" xfId="3423" xr:uid="{00000000-0005-0000-0000-00003D240000}"/>
    <cellStyle name="Vírgula 3 4 2 5 4 2 2" xfId="9939" xr:uid="{00000000-0005-0000-0000-00003E240000}"/>
    <cellStyle name="Vírgula 3 4 2 5 4 3" xfId="5653" xr:uid="{00000000-0005-0000-0000-00003F240000}"/>
    <cellStyle name="Vírgula 3 4 2 5 4 3 2" xfId="12167" xr:uid="{00000000-0005-0000-0000-000040240000}"/>
    <cellStyle name="Vírgula 3 4 2 5 4 4" xfId="7883" xr:uid="{00000000-0005-0000-0000-000041240000}"/>
    <cellStyle name="Vírgula 3 4 2 5 5" xfId="2395" xr:uid="{00000000-0005-0000-0000-000042240000}"/>
    <cellStyle name="Vírgula 3 4 2 5 5 2" xfId="8911" xr:uid="{00000000-0005-0000-0000-000043240000}"/>
    <cellStyle name="Vírgula 3 4 2 5 6" xfId="4537" xr:uid="{00000000-0005-0000-0000-000044240000}"/>
    <cellStyle name="Vírgula 3 4 2 5 6 2" xfId="11051" xr:uid="{00000000-0005-0000-0000-000045240000}"/>
    <cellStyle name="Vírgula 3 4 2 5 7" xfId="6767" xr:uid="{00000000-0005-0000-0000-000046240000}"/>
    <cellStyle name="Vírgula 3 4 2 6" xfId="388" xr:uid="{00000000-0005-0000-0000-000047240000}"/>
    <cellStyle name="Vírgula 3 4 2 6 2" xfId="979" xr:uid="{00000000-0005-0000-0000-000048240000}"/>
    <cellStyle name="Vírgula 3 4 2 6 2 2" xfId="2007" xr:uid="{00000000-0005-0000-0000-000049240000}"/>
    <cellStyle name="Vírgula 3 4 2 6 2 2 2" xfId="4065" xr:uid="{00000000-0005-0000-0000-00004A240000}"/>
    <cellStyle name="Vírgula 3 4 2 6 2 2 2 2" xfId="10581" xr:uid="{00000000-0005-0000-0000-00004B240000}"/>
    <cellStyle name="Vírgula 3 4 2 6 2 2 3" xfId="6295" xr:uid="{00000000-0005-0000-0000-00004C240000}"/>
    <cellStyle name="Vírgula 3 4 2 6 2 2 3 2" xfId="12809" xr:uid="{00000000-0005-0000-0000-00004D240000}"/>
    <cellStyle name="Vírgula 3 4 2 6 2 2 4" xfId="8525" xr:uid="{00000000-0005-0000-0000-00004E240000}"/>
    <cellStyle name="Vírgula 3 4 2 6 2 3" xfId="3037" xr:uid="{00000000-0005-0000-0000-00004F240000}"/>
    <cellStyle name="Vírgula 3 4 2 6 2 3 2" xfId="9553" xr:uid="{00000000-0005-0000-0000-000050240000}"/>
    <cellStyle name="Vírgula 3 4 2 6 2 4" xfId="5267" xr:uid="{00000000-0005-0000-0000-000051240000}"/>
    <cellStyle name="Vírgula 3 4 2 6 2 4 2" xfId="11781" xr:uid="{00000000-0005-0000-0000-000052240000}"/>
    <cellStyle name="Vírgula 3 4 2 6 2 5" xfId="7497" xr:uid="{00000000-0005-0000-0000-000053240000}"/>
    <cellStyle name="Vírgula 3 4 2 6 3" xfId="1493" xr:uid="{00000000-0005-0000-0000-000054240000}"/>
    <cellStyle name="Vírgula 3 4 2 6 3 2" xfId="3551" xr:uid="{00000000-0005-0000-0000-000055240000}"/>
    <cellStyle name="Vírgula 3 4 2 6 3 2 2" xfId="10067" xr:uid="{00000000-0005-0000-0000-000056240000}"/>
    <cellStyle name="Vírgula 3 4 2 6 3 3" xfId="5781" xr:uid="{00000000-0005-0000-0000-000057240000}"/>
    <cellStyle name="Vírgula 3 4 2 6 3 3 2" xfId="12295" xr:uid="{00000000-0005-0000-0000-000058240000}"/>
    <cellStyle name="Vírgula 3 4 2 6 3 4" xfId="8011" xr:uid="{00000000-0005-0000-0000-000059240000}"/>
    <cellStyle name="Vírgula 3 4 2 6 4" xfId="2523" xr:uid="{00000000-0005-0000-0000-00005A240000}"/>
    <cellStyle name="Vírgula 3 4 2 6 4 2" xfId="9039" xr:uid="{00000000-0005-0000-0000-00005B240000}"/>
    <cellStyle name="Vírgula 3 4 2 6 5" xfId="4684" xr:uid="{00000000-0005-0000-0000-00005C240000}"/>
    <cellStyle name="Vírgula 3 4 2 6 5 2" xfId="11198" xr:uid="{00000000-0005-0000-0000-00005D240000}"/>
    <cellStyle name="Vírgula 3 4 2 6 6" xfId="6914" xr:uid="{00000000-0005-0000-0000-00005E240000}"/>
    <cellStyle name="Vírgula 3 4 2 7" xfId="723" xr:uid="{00000000-0005-0000-0000-00005F240000}"/>
    <cellStyle name="Vírgula 3 4 2 7 2" xfId="1751" xr:uid="{00000000-0005-0000-0000-000060240000}"/>
    <cellStyle name="Vírgula 3 4 2 7 2 2" xfId="3809" xr:uid="{00000000-0005-0000-0000-000061240000}"/>
    <cellStyle name="Vírgula 3 4 2 7 2 2 2" xfId="10325" xr:uid="{00000000-0005-0000-0000-000062240000}"/>
    <cellStyle name="Vírgula 3 4 2 7 2 3" xfId="6039" xr:uid="{00000000-0005-0000-0000-000063240000}"/>
    <cellStyle name="Vírgula 3 4 2 7 2 3 2" xfId="12553" xr:uid="{00000000-0005-0000-0000-000064240000}"/>
    <cellStyle name="Vírgula 3 4 2 7 2 4" xfId="8269" xr:uid="{00000000-0005-0000-0000-000065240000}"/>
    <cellStyle name="Vírgula 3 4 2 7 3" xfId="2781" xr:uid="{00000000-0005-0000-0000-000066240000}"/>
    <cellStyle name="Vírgula 3 4 2 7 3 2" xfId="9297" xr:uid="{00000000-0005-0000-0000-000067240000}"/>
    <cellStyle name="Vírgula 3 4 2 7 4" xfId="5011" xr:uid="{00000000-0005-0000-0000-000068240000}"/>
    <cellStyle name="Vírgula 3 4 2 7 4 2" xfId="11525" xr:uid="{00000000-0005-0000-0000-000069240000}"/>
    <cellStyle name="Vírgula 3 4 2 7 5" xfId="7241" xr:uid="{00000000-0005-0000-0000-00006A240000}"/>
    <cellStyle name="Vírgula 3 4 2 8" xfId="1237" xr:uid="{00000000-0005-0000-0000-00006B240000}"/>
    <cellStyle name="Vírgula 3 4 2 8 2" xfId="3295" xr:uid="{00000000-0005-0000-0000-00006C240000}"/>
    <cellStyle name="Vírgula 3 4 2 8 2 2" xfId="9811" xr:uid="{00000000-0005-0000-0000-00006D240000}"/>
    <cellStyle name="Vírgula 3 4 2 8 3" xfId="5525" xr:uid="{00000000-0005-0000-0000-00006E240000}"/>
    <cellStyle name="Vírgula 3 4 2 8 3 2" xfId="12039" xr:uid="{00000000-0005-0000-0000-00006F240000}"/>
    <cellStyle name="Vírgula 3 4 2 8 4" xfId="7755" xr:uid="{00000000-0005-0000-0000-000070240000}"/>
    <cellStyle name="Vírgula 3 4 2 9" xfId="2267" xr:uid="{00000000-0005-0000-0000-000071240000}"/>
    <cellStyle name="Vírgula 3 4 2 9 2" xfId="8783" xr:uid="{00000000-0005-0000-0000-000072240000}"/>
    <cellStyle name="Vírgula 3 4 3" xfId="61" xr:uid="{00000000-0005-0000-0000-000073240000}"/>
    <cellStyle name="Vírgula 3 4 3 10" xfId="4358" xr:uid="{00000000-0005-0000-0000-000074240000}"/>
    <cellStyle name="Vírgula 3 4 3 10 2" xfId="10872" xr:uid="{00000000-0005-0000-0000-000075240000}"/>
    <cellStyle name="Vírgula 3 4 3 11" xfId="6588" xr:uid="{00000000-0005-0000-0000-000076240000}"/>
    <cellStyle name="Vírgula 3 4 3 2" xfId="90" xr:uid="{00000000-0005-0000-0000-000077240000}"/>
    <cellStyle name="Vírgula 3 4 3 2 10" xfId="6617" xr:uid="{00000000-0005-0000-0000-000078240000}"/>
    <cellStyle name="Vírgula 3 4 3 2 2" xfId="164" xr:uid="{00000000-0005-0000-0000-000079240000}"/>
    <cellStyle name="Vírgula 3 4 3 2 2 2" xfId="228" xr:uid="{00000000-0005-0000-0000-00007A240000}"/>
    <cellStyle name="Vírgula 3 4 3 2 2 2 2" xfId="356" xr:uid="{00000000-0005-0000-0000-00007B240000}"/>
    <cellStyle name="Vírgula 3 4 3 2 2 2 2 2" xfId="699" xr:uid="{00000000-0005-0000-0000-00007C240000}"/>
    <cellStyle name="Vírgula 3 4 3 2 2 2 2 2 2" xfId="1223" xr:uid="{00000000-0005-0000-0000-00007D240000}"/>
    <cellStyle name="Vírgula 3 4 3 2 2 2 2 2 2 2" xfId="2251" xr:uid="{00000000-0005-0000-0000-00007E240000}"/>
    <cellStyle name="Vírgula 3 4 3 2 2 2 2 2 2 2 2" xfId="4309" xr:uid="{00000000-0005-0000-0000-00007F240000}"/>
    <cellStyle name="Vírgula 3 4 3 2 2 2 2 2 2 2 2 2" xfId="10825" xr:uid="{00000000-0005-0000-0000-000080240000}"/>
    <cellStyle name="Vírgula 3 4 3 2 2 2 2 2 2 2 3" xfId="6539" xr:uid="{00000000-0005-0000-0000-000081240000}"/>
    <cellStyle name="Vírgula 3 4 3 2 2 2 2 2 2 2 3 2" xfId="13053" xr:uid="{00000000-0005-0000-0000-000082240000}"/>
    <cellStyle name="Vírgula 3 4 3 2 2 2 2 2 2 2 4" xfId="8769" xr:uid="{00000000-0005-0000-0000-000083240000}"/>
    <cellStyle name="Vírgula 3 4 3 2 2 2 2 2 2 3" xfId="3281" xr:uid="{00000000-0005-0000-0000-000084240000}"/>
    <cellStyle name="Vírgula 3 4 3 2 2 2 2 2 2 3 2" xfId="9797" xr:uid="{00000000-0005-0000-0000-000085240000}"/>
    <cellStyle name="Vírgula 3 4 3 2 2 2 2 2 2 4" xfId="5511" xr:uid="{00000000-0005-0000-0000-000086240000}"/>
    <cellStyle name="Vírgula 3 4 3 2 2 2 2 2 2 4 2" xfId="12025" xr:uid="{00000000-0005-0000-0000-000087240000}"/>
    <cellStyle name="Vírgula 3 4 3 2 2 2 2 2 2 5" xfId="7741" xr:uid="{00000000-0005-0000-0000-000088240000}"/>
    <cellStyle name="Vírgula 3 4 3 2 2 2 2 2 3" xfId="1737" xr:uid="{00000000-0005-0000-0000-000089240000}"/>
    <cellStyle name="Vírgula 3 4 3 2 2 2 2 2 3 2" xfId="3795" xr:uid="{00000000-0005-0000-0000-00008A240000}"/>
    <cellStyle name="Vírgula 3 4 3 2 2 2 2 2 3 2 2" xfId="10311" xr:uid="{00000000-0005-0000-0000-00008B240000}"/>
    <cellStyle name="Vírgula 3 4 3 2 2 2 2 2 3 3" xfId="6025" xr:uid="{00000000-0005-0000-0000-00008C240000}"/>
    <cellStyle name="Vírgula 3 4 3 2 2 2 2 2 3 3 2" xfId="12539" xr:uid="{00000000-0005-0000-0000-00008D240000}"/>
    <cellStyle name="Vírgula 3 4 3 2 2 2 2 2 3 4" xfId="8255" xr:uid="{00000000-0005-0000-0000-00008E240000}"/>
    <cellStyle name="Vírgula 3 4 3 2 2 2 2 2 4" xfId="2767" xr:uid="{00000000-0005-0000-0000-00008F240000}"/>
    <cellStyle name="Vírgula 3 4 3 2 2 2 2 2 4 2" xfId="9283" xr:uid="{00000000-0005-0000-0000-000090240000}"/>
    <cellStyle name="Vírgula 3 4 3 2 2 2 2 2 5" xfId="4995" xr:uid="{00000000-0005-0000-0000-000091240000}"/>
    <cellStyle name="Vírgula 3 4 3 2 2 2 2 2 5 2" xfId="11509" xr:uid="{00000000-0005-0000-0000-000092240000}"/>
    <cellStyle name="Vírgula 3 4 3 2 2 2 2 2 6" xfId="7225" xr:uid="{00000000-0005-0000-0000-000093240000}"/>
    <cellStyle name="Vírgula 3 4 3 2 2 2 2 3" xfId="967" xr:uid="{00000000-0005-0000-0000-000094240000}"/>
    <cellStyle name="Vírgula 3 4 3 2 2 2 2 3 2" xfId="1995" xr:uid="{00000000-0005-0000-0000-000095240000}"/>
    <cellStyle name="Vírgula 3 4 3 2 2 2 2 3 2 2" xfId="4053" xr:uid="{00000000-0005-0000-0000-000096240000}"/>
    <cellStyle name="Vírgula 3 4 3 2 2 2 2 3 2 2 2" xfId="10569" xr:uid="{00000000-0005-0000-0000-000097240000}"/>
    <cellStyle name="Vírgula 3 4 3 2 2 2 2 3 2 3" xfId="6283" xr:uid="{00000000-0005-0000-0000-000098240000}"/>
    <cellStyle name="Vírgula 3 4 3 2 2 2 2 3 2 3 2" xfId="12797" xr:uid="{00000000-0005-0000-0000-000099240000}"/>
    <cellStyle name="Vírgula 3 4 3 2 2 2 2 3 2 4" xfId="8513" xr:uid="{00000000-0005-0000-0000-00009A240000}"/>
    <cellStyle name="Vírgula 3 4 3 2 2 2 2 3 3" xfId="3025" xr:uid="{00000000-0005-0000-0000-00009B240000}"/>
    <cellStyle name="Vírgula 3 4 3 2 2 2 2 3 3 2" xfId="9541" xr:uid="{00000000-0005-0000-0000-00009C240000}"/>
    <cellStyle name="Vírgula 3 4 3 2 2 2 2 3 4" xfId="5255" xr:uid="{00000000-0005-0000-0000-00009D240000}"/>
    <cellStyle name="Vírgula 3 4 3 2 2 2 2 3 4 2" xfId="11769" xr:uid="{00000000-0005-0000-0000-00009E240000}"/>
    <cellStyle name="Vírgula 3 4 3 2 2 2 2 3 5" xfId="7485" xr:uid="{00000000-0005-0000-0000-00009F240000}"/>
    <cellStyle name="Vírgula 3 4 3 2 2 2 2 4" xfId="1481" xr:uid="{00000000-0005-0000-0000-0000A0240000}"/>
    <cellStyle name="Vírgula 3 4 3 2 2 2 2 4 2" xfId="3539" xr:uid="{00000000-0005-0000-0000-0000A1240000}"/>
    <cellStyle name="Vírgula 3 4 3 2 2 2 2 4 2 2" xfId="10055" xr:uid="{00000000-0005-0000-0000-0000A2240000}"/>
    <cellStyle name="Vírgula 3 4 3 2 2 2 2 4 3" xfId="5769" xr:uid="{00000000-0005-0000-0000-0000A3240000}"/>
    <cellStyle name="Vírgula 3 4 3 2 2 2 2 4 3 2" xfId="12283" xr:uid="{00000000-0005-0000-0000-0000A4240000}"/>
    <cellStyle name="Vírgula 3 4 3 2 2 2 2 4 4" xfId="7999" xr:uid="{00000000-0005-0000-0000-0000A5240000}"/>
    <cellStyle name="Vírgula 3 4 3 2 2 2 2 5" xfId="2511" xr:uid="{00000000-0005-0000-0000-0000A6240000}"/>
    <cellStyle name="Vírgula 3 4 3 2 2 2 2 5 2" xfId="9027" xr:uid="{00000000-0005-0000-0000-0000A7240000}"/>
    <cellStyle name="Vírgula 3 4 3 2 2 2 2 6" xfId="4653" xr:uid="{00000000-0005-0000-0000-0000A8240000}"/>
    <cellStyle name="Vírgula 3 4 3 2 2 2 2 6 2" xfId="11167" xr:uid="{00000000-0005-0000-0000-0000A9240000}"/>
    <cellStyle name="Vírgula 3 4 3 2 2 2 2 7" xfId="6883" xr:uid="{00000000-0005-0000-0000-0000AA240000}"/>
    <cellStyle name="Vírgula 3 4 3 2 2 2 3" xfId="571" xr:uid="{00000000-0005-0000-0000-0000AB240000}"/>
    <cellStyle name="Vírgula 3 4 3 2 2 2 3 2" xfId="1095" xr:uid="{00000000-0005-0000-0000-0000AC240000}"/>
    <cellStyle name="Vírgula 3 4 3 2 2 2 3 2 2" xfId="2123" xr:uid="{00000000-0005-0000-0000-0000AD240000}"/>
    <cellStyle name="Vírgula 3 4 3 2 2 2 3 2 2 2" xfId="4181" xr:uid="{00000000-0005-0000-0000-0000AE240000}"/>
    <cellStyle name="Vírgula 3 4 3 2 2 2 3 2 2 2 2" xfId="10697" xr:uid="{00000000-0005-0000-0000-0000AF240000}"/>
    <cellStyle name="Vírgula 3 4 3 2 2 2 3 2 2 3" xfId="6411" xr:uid="{00000000-0005-0000-0000-0000B0240000}"/>
    <cellStyle name="Vírgula 3 4 3 2 2 2 3 2 2 3 2" xfId="12925" xr:uid="{00000000-0005-0000-0000-0000B1240000}"/>
    <cellStyle name="Vírgula 3 4 3 2 2 2 3 2 2 4" xfId="8641" xr:uid="{00000000-0005-0000-0000-0000B2240000}"/>
    <cellStyle name="Vírgula 3 4 3 2 2 2 3 2 3" xfId="3153" xr:uid="{00000000-0005-0000-0000-0000B3240000}"/>
    <cellStyle name="Vírgula 3 4 3 2 2 2 3 2 3 2" xfId="9669" xr:uid="{00000000-0005-0000-0000-0000B4240000}"/>
    <cellStyle name="Vírgula 3 4 3 2 2 2 3 2 4" xfId="5383" xr:uid="{00000000-0005-0000-0000-0000B5240000}"/>
    <cellStyle name="Vírgula 3 4 3 2 2 2 3 2 4 2" xfId="11897" xr:uid="{00000000-0005-0000-0000-0000B6240000}"/>
    <cellStyle name="Vírgula 3 4 3 2 2 2 3 2 5" xfId="7613" xr:uid="{00000000-0005-0000-0000-0000B7240000}"/>
    <cellStyle name="Vírgula 3 4 3 2 2 2 3 3" xfId="1609" xr:uid="{00000000-0005-0000-0000-0000B8240000}"/>
    <cellStyle name="Vírgula 3 4 3 2 2 2 3 3 2" xfId="3667" xr:uid="{00000000-0005-0000-0000-0000B9240000}"/>
    <cellStyle name="Vírgula 3 4 3 2 2 2 3 3 2 2" xfId="10183" xr:uid="{00000000-0005-0000-0000-0000BA240000}"/>
    <cellStyle name="Vírgula 3 4 3 2 2 2 3 3 3" xfId="5897" xr:uid="{00000000-0005-0000-0000-0000BB240000}"/>
    <cellStyle name="Vírgula 3 4 3 2 2 2 3 3 3 2" xfId="12411" xr:uid="{00000000-0005-0000-0000-0000BC240000}"/>
    <cellStyle name="Vírgula 3 4 3 2 2 2 3 3 4" xfId="8127" xr:uid="{00000000-0005-0000-0000-0000BD240000}"/>
    <cellStyle name="Vírgula 3 4 3 2 2 2 3 4" xfId="2639" xr:uid="{00000000-0005-0000-0000-0000BE240000}"/>
    <cellStyle name="Vírgula 3 4 3 2 2 2 3 4 2" xfId="9155" xr:uid="{00000000-0005-0000-0000-0000BF240000}"/>
    <cellStyle name="Vírgula 3 4 3 2 2 2 3 5" xfId="4867" xr:uid="{00000000-0005-0000-0000-0000C0240000}"/>
    <cellStyle name="Vírgula 3 4 3 2 2 2 3 5 2" xfId="11381" xr:uid="{00000000-0005-0000-0000-0000C1240000}"/>
    <cellStyle name="Vírgula 3 4 3 2 2 2 3 6" xfId="7097" xr:uid="{00000000-0005-0000-0000-0000C2240000}"/>
    <cellStyle name="Vírgula 3 4 3 2 2 2 4" xfId="839" xr:uid="{00000000-0005-0000-0000-0000C3240000}"/>
    <cellStyle name="Vírgula 3 4 3 2 2 2 4 2" xfId="1867" xr:uid="{00000000-0005-0000-0000-0000C4240000}"/>
    <cellStyle name="Vírgula 3 4 3 2 2 2 4 2 2" xfId="3925" xr:uid="{00000000-0005-0000-0000-0000C5240000}"/>
    <cellStyle name="Vírgula 3 4 3 2 2 2 4 2 2 2" xfId="10441" xr:uid="{00000000-0005-0000-0000-0000C6240000}"/>
    <cellStyle name="Vírgula 3 4 3 2 2 2 4 2 3" xfId="6155" xr:uid="{00000000-0005-0000-0000-0000C7240000}"/>
    <cellStyle name="Vírgula 3 4 3 2 2 2 4 2 3 2" xfId="12669" xr:uid="{00000000-0005-0000-0000-0000C8240000}"/>
    <cellStyle name="Vírgula 3 4 3 2 2 2 4 2 4" xfId="8385" xr:uid="{00000000-0005-0000-0000-0000C9240000}"/>
    <cellStyle name="Vírgula 3 4 3 2 2 2 4 3" xfId="2897" xr:uid="{00000000-0005-0000-0000-0000CA240000}"/>
    <cellStyle name="Vírgula 3 4 3 2 2 2 4 3 2" xfId="9413" xr:uid="{00000000-0005-0000-0000-0000CB240000}"/>
    <cellStyle name="Vírgula 3 4 3 2 2 2 4 4" xfId="5127" xr:uid="{00000000-0005-0000-0000-0000CC240000}"/>
    <cellStyle name="Vírgula 3 4 3 2 2 2 4 4 2" xfId="11641" xr:uid="{00000000-0005-0000-0000-0000CD240000}"/>
    <cellStyle name="Vírgula 3 4 3 2 2 2 4 5" xfId="7357" xr:uid="{00000000-0005-0000-0000-0000CE240000}"/>
    <cellStyle name="Vírgula 3 4 3 2 2 2 5" xfId="1353" xr:uid="{00000000-0005-0000-0000-0000CF240000}"/>
    <cellStyle name="Vírgula 3 4 3 2 2 2 5 2" xfId="3411" xr:uid="{00000000-0005-0000-0000-0000D0240000}"/>
    <cellStyle name="Vírgula 3 4 3 2 2 2 5 2 2" xfId="9927" xr:uid="{00000000-0005-0000-0000-0000D1240000}"/>
    <cellStyle name="Vírgula 3 4 3 2 2 2 5 3" xfId="5641" xr:uid="{00000000-0005-0000-0000-0000D2240000}"/>
    <cellStyle name="Vírgula 3 4 3 2 2 2 5 3 2" xfId="12155" xr:uid="{00000000-0005-0000-0000-0000D3240000}"/>
    <cellStyle name="Vírgula 3 4 3 2 2 2 5 4" xfId="7871" xr:uid="{00000000-0005-0000-0000-0000D4240000}"/>
    <cellStyle name="Vírgula 3 4 3 2 2 2 6" xfId="2383" xr:uid="{00000000-0005-0000-0000-0000D5240000}"/>
    <cellStyle name="Vírgula 3 4 3 2 2 2 6 2" xfId="8899" xr:uid="{00000000-0005-0000-0000-0000D6240000}"/>
    <cellStyle name="Vírgula 3 4 3 2 2 2 7" xfId="4525" xr:uid="{00000000-0005-0000-0000-0000D7240000}"/>
    <cellStyle name="Vírgula 3 4 3 2 2 2 7 2" xfId="11039" xr:uid="{00000000-0005-0000-0000-0000D8240000}"/>
    <cellStyle name="Vírgula 3 4 3 2 2 2 8" xfId="6755" xr:uid="{00000000-0005-0000-0000-0000D9240000}"/>
    <cellStyle name="Vírgula 3 4 3 2 2 3" xfId="292" xr:uid="{00000000-0005-0000-0000-0000DA240000}"/>
    <cellStyle name="Vírgula 3 4 3 2 2 3 2" xfId="635" xr:uid="{00000000-0005-0000-0000-0000DB240000}"/>
    <cellStyle name="Vírgula 3 4 3 2 2 3 2 2" xfId="1159" xr:uid="{00000000-0005-0000-0000-0000DC240000}"/>
    <cellStyle name="Vírgula 3 4 3 2 2 3 2 2 2" xfId="2187" xr:uid="{00000000-0005-0000-0000-0000DD240000}"/>
    <cellStyle name="Vírgula 3 4 3 2 2 3 2 2 2 2" xfId="4245" xr:uid="{00000000-0005-0000-0000-0000DE240000}"/>
    <cellStyle name="Vírgula 3 4 3 2 2 3 2 2 2 2 2" xfId="10761" xr:uid="{00000000-0005-0000-0000-0000DF240000}"/>
    <cellStyle name="Vírgula 3 4 3 2 2 3 2 2 2 3" xfId="6475" xr:uid="{00000000-0005-0000-0000-0000E0240000}"/>
    <cellStyle name="Vírgula 3 4 3 2 2 3 2 2 2 3 2" xfId="12989" xr:uid="{00000000-0005-0000-0000-0000E1240000}"/>
    <cellStyle name="Vírgula 3 4 3 2 2 3 2 2 2 4" xfId="8705" xr:uid="{00000000-0005-0000-0000-0000E2240000}"/>
    <cellStyle name="Vírgula 3 4 3 2 2 3 2 2 3" xfId="3217" xr:uid="{00000000-0005-0000-0000-0000E3240000}"/>
    <cellStyle name="Vírgula 3 4 3 2 2 3 2 2 3 2" xfId="9733" xr:uid="{00000000-0005-0000-0000-0000E4240000}"/>
    <cellStyle name="Vírgula 3 4 3 2 2 3 2 2 4" xfId="5447" xr:uid="{00000000-0005-0000-0000-0000E5240000}"/>
    <cellStyle name="Vírgula 3 4 3 2 2 3 2 2 4 2" xfId="11961" xr:uid="{00000000-0005-0000-0000-0000E6240000}"/>
    <cellStyle name="Vírgula 3 4 3 2 2 3 2 2 5" xfId="7677" xr:uid="{00000000-0005-0000-0000-0000E7240000}"/>
    <cellStyle name="Vírgula 3 4 3 2 2 3 2 3" xfId="1673" xr:uid="{00000000-0005-0000-0000-0000E8240000}"/>
    <cellStyle name="Vírgula 3 4 3 2 2 3 2 3 2" xfId="3731" xr:uid="{00000000-0005-0000-0000-0000E9240000}"/>
    <cellStyle name="Vírgula 3 4 3 2 2 3 2 3 2 2" xfId="10247" xr:uid="{00000000-0005-0000-0000-0000EA240000}"/>
    <cellStyle name="Vírgula 3 4 3 2 2 3 2 3 3" xfId="5961" xr:uid="{00000000-0005-0000-0000-0000EB240000}"/>
    <cellStyle name="Vírgula 3 4 3 2 2 3 2 3 3 2" xfId="12475" xr:uid="{00000000-0005-0000-0000-0000EC240000}"/>
    <cellStyle name="Vírgula 3 4 3 2 2 3 2 3 4" xfId="8191" xr:uid="{00000000-0005-0000-0000-0000ED240000}"/>
    <cellStyle name="Vírgula 3 4 3 2 2 3 2 4" xfId="2703" xr:uid="{00000000-0005-0000-0000-0000EE240000}"/>
    <cellStyle name="Vírgula 3 4 3 2 2 3 2 4 2" xfId="9219" xr:uid="{00000000-0005-0000-0000-0000EF240000}"/>
    <cellStyle name="Vírgula 3 4 3 2 2 3 2 5" xfId="4931" xr:uid="{00000000-0005-0000-0000-0000F0240000}"/>
    <cellStyle name="Vírgula 3 4 3 2 2 3 2 5 2" xfId="11445" xr:uid="{00000000-0005-0000-0000-0000F1240000}"/>
    <cellStyle name="Vírgula 3 4 3 2 2 3 2 6" xfId="7161" xr:uid="{00000000-0005-0000-0000-0000F2240000}"/>
    <cellStyle name="Vírgula 3 4 3 2 2 3 3" xfId="903" xr:uid="{00000000-0005-0000-0000-0000F3240000}"/>
    <cellStyle name="Vírgula 3 4 3 2 2 3 3 2" xfId="1931" xr:uid="{00000000-0005-0000-0000-0000F4240000}"/>
    <cellStyle name="Vírgula 3 4 3 2 2 3 3 2 2" xfId="3989" xr:uid="{00000000-0005-0000-0000-0000F5240000}"/>
    <cellStyle name="Vírgula 3 4 3 2 2 3 3 2 2 2" xfId="10505" xr:uid="{00000000-0005-0000-0000-0000F6240000}"/>
    <cellStyle name="Vírgula 3 4 3 2 2 3 3 2 3" xfId="6219" xr:uid="{00000000-0005-0000-0000-0000F7240000}"/>
    <cellStyle name="Vírgula 3 4 3 2 2 3 3 2 3 2" xfId="12733" xr:uid="{00000000-0005-0000-0000-0000F8240000}"/>
    <cellStyle name="Vírgula 3 4 3 2 2 3 3 2 4" xfId="8449" xr:uid="{00000000-0005-0000-0000-0000F9240000}"/>
    <cellStyle name="Vírgula 3 4 3 2 2 3 3 3" xfId="2961" xr:uid="{00000000-0005-0000-0000-0000FA240000}"/>
    <cellStyle name="Vírgula 3 4 3 2 2 3 3 3 2" xfId="9477" xr:uid="{00000000-0005-0000-0000-0000FB240000}"/>
    <cellStyle name="Vírgula 3 4 3 2 2 3 3 4" xfId="5191" xr:uid="{00000000-0005-0000-0000-0000FC240000}"/>
    <cellStyle name="Vírgula 3 4 3 2 2 3 3 4 2" xfId="11705" xr:uid="{00000000-0005-0000-0000-0000FD240000}"/>
    <cellStyle name="Vírgula 3 4 3 2 2 3 3 5" xfId="7421" xr:uid="{00000000-0005-0000-0000-0000FE240000}"/>
    <cellStyle name="Vírgula 3 4 3 2 2 3 4" xfId="1417" xr:uid="{00000000-0005-0000-0000-0000FF240000}"/>
    <cellStyle name="Vírgula 3 4 3 2 2 3 4 2" xfId="3475" xr:uid="{00000000-0005-0000-0000-000000250000}"/>
    <cellStyle name="Vírgula 3 4 3 2 2 3 4 2 2" xfId="9991" xr:uid="{00000000-0005-0000-0000-000001250000}"/>
    <cellStyle name="Vírgula 3 4 3 2 2 3 4 3" xfId="5705" xr:uid="{00000000-0005-0000-0000-000002250000}"/>
    <cellStyle name="Vírgula 3 4 3 2 2 3 4 3 2" xfId="12219" xr:uid="{00000000-0005-0000-0000-000003250000}"/>
    <cellStyle name="Vírgula 3 4 3 2 2 3 4 4" xfId="7935" xr:uid="{00000000-0005-0000-0000-000004250000}"/>
    <cellStyle name="Vírgula 3 4 3 2 2 3 5" xfId="2447" xr:uid="{00000000-0005-0000-0000-000005250000}"/>
    <cellStyle name="Vírgula 3 4 3 2 2 3 5 2" xfId="8963" xr:uid="{00000000-0005-0000-0000-000006250000}"/>
    <cellStyle name="Vírgula 3 4 3 2 2 3 6" xfId="4589" xr:uid="{00000000-0005-0000-0000-000007250000}"/>
    <cellStyle name="Vírgula 3 4 3 2 2 3 6 2" xfId="11103" xr:uid="{00000000-0005-0000-0000-000008250000}"/>
    <cellStyle name="Vírgula 3 4 3 2 2 3 7" xfId="6819" xr:uid="{00000000-0005-0000-0000-000009250000}"/>
    <cellStyle name="Vírgula 3 4 3 2 2 4" xfId="507" xr:uid="{00000000-0005-0000-0000-00000A250000}"/>
    <cellStyle name="Vírgula 3 4 3 2 2 4 2" xfId="1031" xr:uid="{00000000-0005-0000-0000-00000B250000}"/>
    <cellStyle name="Vírgula 3 4 3 2 2 4 2 2" xfId="2059" xr:uid="{00000000-0005-0000-0000-00000C250000}"/>
    <cellStyle name="Vírgula 3 4 3 2 2 4 2 2 2" xfId="4117" xr:uid="{00000000-0005-0000-0000-00000D250000}"/>
    <cellStyle name="Vírgula 3 4 3 2 2 4 2 2 2 2" xfId="10633" xr:uid="{00000000-0005-0000-0000-00000E250000}"/>
    <cellStyle name="Vírgula 3 4 3 2 2 4 2 2 3" xfId="6347" xr:uid="{00000000-0005-0000-0000-00000F250000}"/>
    <cellStyle name="Vírgula 3 4 3 2 2 4 2 2 3 2" xfId="12861" xr:uid="{00000000-0005-0000-0000-000010250000}"/>
    <cellStyle name="Vírgula 3 4 3 2 2 4 2 2 4" xfId="8577" xr:uid="{00000000-0005-0000-0000-000011250000}"/>
    <cellStyle name="Vírgula 3 4 3 2 2 4 2 3" xfId="3089" xr:uid="{00000000-0005-0000-0000-000012250000}"/>
    <cellStyle name="Vírgula 3 4 3 2 2 4 2 3 2" xfId="9605" xr:uid="{00000000-0005-0000-0000-000013250000}"/>
    <cellStyle name="Vírgula 3 4 3 2 2 4 2 4" xfId="5319" xr:uid="{00000000-0005-0000-0000-000014250000}"/>
    <cellStyle name="Vírgula 3 4 3 2 2 4 2 4 2" xfId="11833" xr:uid="{00000000-0005-0000-0000-000015250000}"/>
    <cellStyle name="Vírgula 3 4 3 2 2 4 2 5" xfId="7549" xr:uid="{00000000-0005-0000-0000-000016250000}"/>
    <cellStyle name="Vírgula 3 4 3 2 2 4 3" xfId="1545" xr:uid="{00000000-0005-0000-0000-000017250000}"/>
    <cellStyle name="Vírgula 3 4 3 2 2 4 3 2" xfId="3603" xr:uid="{00000000-0005-0000-0000-000018250000}"/>
    <cellStyle name="Vírgula 3 4 3 2 2 4 3 2 2" xfId="10119" xr:uid="{00000000-0005-0000-0000-000019250000}"/>
    <cellStyle name="Vírgula 3 4 3 2 2 4 3 3" xfId="5833" xr:uid="{00000000-0005-0000-0000-00001A250000}"/>
    <cellStyle name="Vírgula 3 4 3 2 2 4 3 3 2" xfId="12347" xr:uid="{00000000-0005-0000-0000-00001B250000}"/>
    <cellStyle name="Vírgula 3 4 3 2 2 4 3 4" xfId="8063" xr:uid="{00000000-0005-0000-0000-00001C250000}"/>
    <cellStyle name="Vírgula 3 4 3 2 2 4 4" xfId="2575" xr:uid="{00000000-0005-0000-0000-00001D250000}"/>
    <cellStyle name="Vírgula 3 4 3 2 2 4 4 2" xfId="9091" xr:uid="{00000000-0005-0000-0000-00001E250000}"/>
    <cellStyle name="Vírgula 3 4 3 2 2 4 5" xfId="4803" xr:uid="{00000000-0005-0000-0000-00001F250000}"/>
    <cellStyle name="Vírgula 3 4 3 2 2 4 5 2" xfId="11317" xr:uid="{00000000-0005-0000-0000-000020250000}"/>
    <cellStyle name="Vírgula 3 4 3 2 2 4 6" xfId="7033" xr:uid="{00000000-0005-0000-0000-000021250000}"/>
    <cellStyle name="Vírgula 3 4 3 2 2 5" xfId="775" xr:uid="{00000000-0005-0000-0000-000022250000}"/>
    <cellStyle name="Vírgula 3 4 3 2 2 5 2" xfId="1803" xr:uid="{00000000-0005-0000-0000-000023250000}"/>
    <cellStyle name="Vírgula 3 4 3 2 2 5 2 2" xfId="3861" xr:uid="{00000000-0005-0000-0000-000024250000}"/>
    <cellStyle name="Vírgula 3 4 3 2 2 5 2 2 2" xfId="10377" xr:uid="{00000000-0005-0000-0000-000025250000}"/>
    <cellStyle name="Vírgula 3 4 3 2 2 5 2 3" xfId="6091" xr:uid="{00000000-0005-0000-0000-000026250000}"/>
    <cellStyle name="Vírgula 3 4 3 2 2 5 2 3 2" xfId="12605" xr:uid="{00000000-0005-0000-0000-000027250000}"/>
    <cellStyle name="Vírgula 3 4 3 2 2 5 2 4" xfId="8321" xr:uid="{00000000-0005-0000-0000-000028250000}"/>
    <cellStyle name="Vírgula 3 4 3 2 2 5 3" xfId="2833" xr:uid="{00000000-0005-0000-0000-000029250000}"/>
    <cellStyle name="Vírgula 3 4 3 2 2 5 3 2" xfId="9349" xr:uid="{00000000-0005-0000-0000-00002A250000}"/>
    <cellStyle name="Vírgula 3 4 3 2 2 5 4" xfId="5063" xr:uid="{00000000-0005-0000-0000-00002B250000}"/>
    <cellStyle name="Vírgula 3 4 3 2 2 5 4 2" xfId="11577" xr:uid="{00000000-0005-0000-0000-00002C250000}"/>
    <cellStyle name="Vírgula 3 4 3 2 2 5 5" xfId="7293" xr:uid="{00000000-0005-0000-0000-00002D250000}"/>
    <cellStyle name="Vírgula 3 4 3 2 2 6" xfId="1289" xr:uid="{00000000-0005-0000-0000-00002E250000}"/>
    <cellStyle name="Vírgula 3 4 3 2 2 6 2" xfId="3347" xr:uid="{00000000-0005-0000-0000-00002F250000}"/>
    <cellStyle name="Vírgula 3 4 3 2 2 6 2 2" xfId="9863" xr:uid="{00000000-0005-0000-0000-000030250000}"/>
    <cellStyle name="Vírgula 3 4 3 2 2 6 3" xfId="5577" xr:uid="{00000000-0005-0000-0000-000031250000}"/>
    <cellStyle name="Vírgula 3 4 3 2 2 6 3 2" xfId="12091" xr:uid="{00000000-0005-0000-0000-000032250000}"/>
    <cellStyle name="Vírgula 3 4 3 2 2 6 4" xfId="7807" xr:uid="{00000000-0005-0000-0000-000033250000}"/>
    <cellStyle name="Vírgula 3 4 3 2 2 7" xfId="2319" xr:uid="{00000000-0005-0000-0000-000034250000}"/>
    <cellStyle name="Vírgula 3 4 3 2 2 7 2" xfId="8835" xr:uid="{00000000-0005-0000-0000-000035250000}"/>
    <cellStyle name="Vírgula 3 4 3 2 2 8" xfId="4461" xr:uid="{00000000-0005-0000-0000-000036250000}"/>
    <cellStyle name="Vírgula 3 4 3 2 2 8 2" xfId="10975" xr:uid="{00000000-0005-0000-0000-000037250000}"/>
    <cellStyle name="Vírgula 3 4 3 2 2 9" xfId="6691" xr:uid="{00000000-0005-0000-0000-000038250000}"/>
    <cellStyle name="Vírgula 3 4 3 2 3" xfId="196" xr:uid="{00000000-0005-0000-0000-000039250000}"/>
    <cellStyle name="Vírgula 3 4 3 2 3 2" xfId="324" xr:uid="{00000000-0005-0000-0000-00003A250000}"/>
    <cellStyle name="Vírgula 3 4 3 2 3 2 2" xfId="667" xr:uid="{00000000-0005-0000-0000-00003B250000}"/>
    <cellStyle name="Vírgula 3 4 3 2 3 2 2 2" xfId="1191" xr:uid="{00000000-0005-0000-0000-00003C250000}"/>
    <cellStyle name="Vírgula 3 4 3 2 3 2 2 2 2" xfId="2219" xr:uid="{00000000-0005-0000-0000-00003D250000}"/>
    <cellStyle name="Vírgula 3 4 3 2 3 2 2 2 2 2" xfId="4277" xr:uid="{00000000-0005-0000-0000-00003E250000}"/>
    <cellStyle name="Vírgula 3 4 3 2 3 2 2 2 2 2 2" xfId="10793" xr:uid="{00000000-0005-0000-0000-00003F250000}"/>
    <cellStyle name="Vírgula 3 4 3 2 3 2 2 2 2 3" xfId="6507" xr:uid="{00000000-0005-0000-0000-000040250000}"/>
    <cellStyle name="Vírgula 3 4 3 2 3 2 2 2 2 3 2" xfId="13021" xr:uid="{00000000-0005-0000-0000-000041250000}"/>
    <cellStyle name="Vírgula 3 4 3 2 3 2 2 2 2 4" xfId="8737" xr:uid="{00000000-0005-0000-0000-000042250000}"/>
    <cellStyle name="Vírgula 3 4 3 2 3 2 2 2 3" xfId="3249" xr:uid="{00000000-0005-0000-0000-000043250000}"/>
    <cellStyle name="Vírgula 3 4 3 2 3 2 2 2 3 2" xfId="9765" xr:uid="{00000000-0005-0000-0000-000044250000}"/>
    <cellStyle name="Vírgula 3 4 3 2 3 2 2 2 4" xfId="5479" xr:uid="{00000000-0005-0000-0000-000045250000}"/>
    <cellStyle name="Vírgula 3 4 3 2 3 2 2 2 4 2" xfId="11993" xr:uid="{00000000-0005-0000-0000-000046250000}"/>
    <cellStyle name="Vírgula 3 4 3 2 3 2 2 2 5" xfId="7709" xr:uid="{00000000-0005-0000-0000-000047250000}"/>
    <cellStyle name="Vírgula 3 4 3 2 3 2 2 3" xfId="1705" xr:uid="{00000000-0005-0000-0000-000048250000}"/>
    <cellStyle name="Vírgula 3 4 3 2 3 2 2 3 2" xfId="3763" xr:uid="{00000000-0005-0000-0000-000049250000}"/>
    <cellStyle name="Vírgula 3 4 3 2 3 2 2 3 2 2" xfId="10279" xr:uid="{00000000-0005-0000-0000-00004A250000}"/>
    <cellStyle name="Vírgula 3 4 3 2 3 2 2 3 3" xfId="5993" xr:uid="{00000000-0005-0000-0000-00004B250000}"/>
    <cellStyle name="Vírgula 3 4 3 2 3 2 2 3 3 2" xfId="12507" xr:uid="{00000000-0005-0000-0000-00004C250000}"/>
    <cellStyle name="Vírgula 3 4 3 2 3 2 2 3 4" xfId="8223" xr:uid="{00000000-0005-0000-0000-00004D250000}"/>
    <cellStyle name="Vírgula 3 4 3 2 3 2 2 4" xfId="2735" xr:uid="{00000000-0005-0000-0000-00004E250000}"/>
    <cellStyle name="Vírgula 3 4 3 2 3 2 2 4 2" xfId="9251" xr:uid="{00000000-0005-0000-0000-00004F250000}"/>
    <cellStyle name="Vírgula 3 4 3 2 3 2 2 5" xfId="4963" xr:uid="{00000000-0005-0000-0000-000050250000}"/>
    <cellStyle name="Vírgula 3 4 3 2 3 2 2 5 2" xfId="11477" xr:uid="{00000000-0005-0000-0000-000051250000}"/>
    <cellStyle name="Vírgula 3 4 3 2 3 2 2 6" xfId="7193" xr:uid="{00000000-0005-0000-0000-000052250000}"/>
    <cellStyle name="Vírgula 3 4 3 2 3 2 3" xfId="935" xr:uid="{00000000-0005-0000-0000-000053250000}"/>
    <cellStyle name="Vírgula 3 4 3 2 3 2 3 2" xfId="1963" xr:uid="{00000000-0005-0000-0000-000054250000}"/>
    <cellStyle name="Vírgula 3 4 3 2 3 2 3 2 2" xfId="4021" xr:uid="{00000000-0005-0000-0000-000055250000}"/>
    <cellStyle name="Vírgula 3 4 3 2 3 2 3 2 2 2" xfId="10537" xr:uid="{00000000-0005-0000-0000-000056250000}"/>
    <cellStyle name="Vírgula 3 4 3 2 3 2 3 2 3" xfId="6251" xr:uid="{00000000-0005-0000-0000-000057250000}"/>
    <cellStyle name="Vírgula 3 4 3 2 3 2 3 2 3 2" xfId="12765" xr:uid="{00000000-0005-0000-0000-000058250000}"/>
    <cellStyle name="Vírgula 3 4 3 2 3 2 3 2 4" xfId="8481" xr:uid="{00000000-0005-0000-0000-000059250000}"/>
    <cellStyle name="Vírgula 3 4 3 2 3 2 3 3" xfId="2993" xr:uid="{00000000-0005-0000-0000-00005A250000}"/>
    <cellStyle name="Vírgula 3 4 3 2 3 2 3 3 2" xfId="9509" xr:uid="{00000000-0005-0000-0000-00005B250000}"/>
    <cellStyle name="Vírgula 3 4 3 2 3 2 3 4" xfId="5223" xr:uid="{00000000-0005-0000-0000-00005C250000}"/>
    <cellStyle name="Vírgula 3 4 3 2 3 2 3 4 2" xfId="11737" xr:uid="{00000000-0005-0000-0000-00005D250000}"/>
    <cellStyle name="Vírgula 3 4 3 2 3 2 3 5" xfId="7453" xr:uid="{00000000-0005-0000-0000-00005E250000}"/>
    <cellStyle name="Vírgula 3 4 3 2 3 2 4" xfId="1449" xr:uid="{00000000-0005-0000-0000-00005F250000}"/>
    <cellStyle name="Vírgula 3 4 3 2 3 2 4 2" xfId="3507" xr:uid="{00000000-0005-0000-0000-000060250000}"/>
    <cellStyle name="Vírgula 3 4 3 2 3 2 4 2 2" xfId="10023" xr:uid="{00000000-0005-0000-0000-000061250000}"/>
    <cellStyle name="Vírgula 3 4 3 2 3 2 4 3" xfId="5737" xr:uid="{00000000-0005-0000-0000-000062250000}"/>
    <cellStyle name="Vírgula 3 4 3 2 3 2 4 3 2" xfId="12251" xr:uid="{00000000-0005-0000-0000-000063250000}"/>
    <cellStyle name="Vírgula 3 4 3 2 3 2 4 4" xfId="7967" xr:uid="{00000000-0005-0000-0000-000064250000}"/>
    <cellStyle name="Vírgula 3 4 3 2 3 2 5" xfId="2479" xr:uid="{00000000-0005-0000-0000-000065250000}"/>
    <cellStyle name="Vírgula 3 4 3 2 3 2 5 2" xfId="8995" xr:uid="{00000000-0005-0000-0000-000066250000}"/>
    <cellStyle name="Vírgula 3 4 3 2 3 2 6" xfId="4621" xr:uid="{00000000-0005-0000-0000-000067250000}"/>
    <cellStyle name="Vírgula 3 4 3 2 3 2 6 2" xfId="11135" xr:uid="{00000000-0005-0000-0000-000068250000}"/>
    <cellStyle name="Vírgula 3 4 3 2 3 2 7" xfId="6851" xr:uid="{00000000-0005-0000-0000-000069250000}"/>
    <cellStyle name="Vírgula 3 4 3 2 3 3" xfId="539" xr:uid="{00000000-0005-0000-0000-00006A250000}"/>
    <cellStyle name="Vírgula 3 4 3 2 3 3 2" xfId="1063" xr:uid="{00000000-0005-0000-0000-00006B250000}"/>
    <cellStyle name="Vírgula 3 4 3 2 3 3 2 2" xfId="2091" xr:uid="{00000000-0005-0000-0000-00006C250000}"/>
    <cellStyle name="Vírgula 3 4 3 2 3 3 2 2 2" xfId="4149" xr:uid="{00000000-0005-0000-0000-00006D250000}"/>
    <cellStyle name="Vírgula 3 4 3 2 3 3 2 2 2 2" xfId="10665" xr:uid="{00000000-0005-0000-0000-00006E250000}"/>
    <cellStyle name="Vírgula 3 4 3 2 3 3 2 2 3" xfId="6379" xr:uid="{00000000-0005-0000-0000-00006F250000}"/>
    <cellStyle name="Vírgula 3 4 3 2 3 3 2 2 3 2" xfId="12893" xr:uid="{00000000-0005-0000-0000-000070250000}"/>
    <cellStyle name="Vírgula 3 4 3 2 3 3 2 2 4" xfId="8609" xr:uid="{00000000-0005-0000-0000-000071250000}"/>
    <cellStyle name="Vírgula 3 4 3 2 3 3 2 3" xfId="3121" xr:uid="{00000000-0005-0000-0000-000072250000}"/>
    <cellStyle name="Vírgula 3 4 3 2 3 3 2 3 2" xfId="9637" xr:uid="{00000000-0005-0000-0000-000073250000}"/>
    <cellStyle name="Vírgula 3 4 3 2 3 3 2 4" xfId="5351" xr:uid="{00000000-0005-0000-0000-000074250000}"/>
    <cellStyle name="Vírgula 3 4 3 2 3 3 2 4 2" xfId="11865" xr:uid="{00000000-0005-0000-0000-000075250000}"/>
    <cellStyle name="Vírgula 3 4 3 2 3 3 2 5" xfId="7581" xr:uid="{00000000-0005-0000-0000-000076250000}"/>
    <cellStyle name="Vírgula 3 4 3 2 3 3 3" xfId="1577" xr:uid="{00000000-0005-0000-0000-000077250000}"/>
    <cellStyle name="Vírgula 3 4 3 2 3 3 3 2" xfId="3635" xr:uid="{00000000-0005-0000-0000-000078250000}"/>
    <cellStyle name="Vírgula 3 4 3 2 3 3 3 2 2" xfId="10151" xr:uid="{00000000-0005-0000-0000-000079250000}"/>
    <cellStyle name="Vírgula 3 4 3 2 3 3 3 3" xfId="5865" xr:uid="{00000000-0005-0000-0000-00007A250000}"/>
    <cellStyle name="Vírgula 3 4 3 2 3 3 3 3 2" xfId="12379" xr:uid="{00000000-0005-0000-0000-00007B250000}"/>
    <cellStyle name="Vírgula 3 4 3 2 3 3 3 4" xfId="8095" xr:uid="{00000000-0005-0000-0000-00007C250000}"/>
    <cellStyle name="Vírgula 3 4 3 2 3 3 4" xfId="2607" xr:uid="{00000000-0005-0000-0000-00007D250000}"/>
    <cellStyle name="Vírgula 3 4 3 2 3 3 4 2" xfId="9123" xr:uid="{00000000-0005-0000-0000-00007E250000}"/>
    <cellStyle name="Vírgula 3 4 3 2 3 3 5" xfId="4835" xr:uid="{00000000-0005-0000-0000-00007F250000}"/>
    <cellStyle name="Vírgula 3 4 3 2 3 3 5 2" xfId="11349" xr:uid="{00000000-0005-0000-0000-000080250000}"/>
    <cellStyle name="Vírgula 3 4 3 2 3 3 6" xfId="7065" xr:uid="{00000000-0005-0000-0000-000081250000}"/>
    <cellStyle name="Vírgula 3 4 3 2 3 4" xfId="807" xr:uid="{00000000-0005-0000-0000-000082250000}"/>
    <cellStyle name="Vírgula 3 4 3 2 3 4 2" xfId="1835" xr:uid="{00000000-0005-0000-0000-000083250000}"/>
    <cellStyle name="Vírgula 3 4 3 2 3 4 2 2" xfId="3893" xr:uid="{00000000-0005-0000-0000-000084250000}"/>
    <cellStyle name="Vírgula 3 4 3 2 3 4 2 2 2" xfId="10409" xr:uid="{00000000-0005-0000-0000-000085250000}"/>
    <cellStyle name="Vírgula 3 4 3 2 3 4 2 3" xfId="6123" xr:uid="{00000000-0005-0000-0000-000086250000}"/>
    <cellStyle name="Vírgula 3 4 3 2 3 4 2 3 2" xfId="12637" xr:uid="{00000000-0005-0000-0000-000087250000}"/>
    <cellStyle name="Vírgula 3 4 3 2 3 4 2 4" xfId="8353" xr:uid="{00000000-0005-0000-0000-000088250000}"/>
    <cellStyle name="Vírgula 3 4 3 2 3 4 3" xfId="2865" xr:uid="{00000000-0005-0000-0000-000089250000}"/>
    <cellStyle name="Vírgula 3 4 3 2 3 4 3 2" xfId="9381" xr:uid="{00000000-0005-0000-0000-00008A250000}"/>
    <cellStyle name="Vírgula 3 4 3 2 3 4 4" xfId="5095" xr:uid="{00000000-0005-0000-0000-00008B250000}"/>
    <cellStyle name="Vírgula 3 4 3 2 3 4 4 2" xfId="11609" xr:uid="{00000000-0005-0000-0000-00008C250000}"/>
    <cellStyle name="Vírgula 3 4 3 2 3 4 5" xfId="7325" xr:uid="{00000000-0005-0000-0000-00008D250000}"/>
    <cellStyle name="Vírgula 3 4 3 2 3 5" xfId="1321" xr:uid="{00000000-0005-0000-0000-00008E250000}"/>
    <cellStyle name="Vírgula 3 4 3 2 3 5 2" xfId="3379" xr:uid="{00000000-0005-0000-0000-00008F250000}"/>
    <cellStyle name="Vírgula 3 4 3 2 3 5 2 2" xfId="9895" xr:uid="{00000000-0005-0000-0000-000090250000}"/>
    <cellStyle name="Vírgula 3 4 3 2 3 5 3" xfId="5609" xr:uid="{00000000-0005-0000-0000-000091250000}"/>
    <cellStyle name="Vírgula 3 4 3 2 3 5 3 2" xfId="12123" xr:uid="{00000000-0005-0000-0000-000092250000}"/>
    <cellStyle name="Vírgula 3 4 3 2 3 5 4" xfId="7839" xr:uid="{00000000-0005-0000-0000-000093250000}"/>
    <cellStyle name="Vírgula 3 4 3 2 3 6" xfId="2351" xr:uid="{00000000-0005-0000-0000-000094250000}"/>
    <cellStyle name="Vírgula 3 4 3 2 3 6 2" xfId="8867" xr:uid="{00000000-0005-0000-0000-000095250000}"/>
    <cellStyle name="Vírgula 3 4 3 2 3 7" xfId="4493" xr:uid="{00000000-0005-0000-0000-000096250000}"/>
    <cellStyle name="Vírgula 3 4 3 2 3 7 2" xfId="11007" xr:uid="{00000000-0005-0000-0000-000097250000}"/>
    <cellStyle name="Vírgula 3 4 3 2 3 8" xfId="6723" xr:uid="{00000000-0005-0000-0000-000098250000}"/>
    <cellStyle name="Vírgula 3 4 3 2 4" xfId="260" xr:uid="{00000000-0005-0000-0000-000099250000}"/>
    <cellStyle name="Vírgula 3 4 3 2 4 2" xfId="603" xr:uid="{00000000-0005-0000-0000-00009A250000}"/>
    <cellStyle name="Vírgula 3 4 3 2 4 2 2" xfId="1127" xr:uid="{00000000-0005-0000-0000-00009B250000}"/>
    <cellStyle name="Vírgula 3 4 3 2 4 2 2 2" xfId="2155" xr:uid="{00000000-0005-0000-0000-00009C250000}"/>
    <cellStyle name="Vírgula 3 4 3 2 4 2 2 2 2" xfId="4213" xr:uid="{00000000-0005-0000-0000-00009D250000}"/>
    <cellStyle name="Vírgula 3 4 3 2 4 2 2 2 2 2" xfId="10729" xr:uid="{00000000-0005-0000-0000-00009E250000}"/>
    <cellStyle name="Vírgula 3 4 3 2 4 2 2 2 3" xfId="6443" xr:uid="{00000000-0005-0000-0000-00009F250000}"/>
    <cellStyle name="Vírgula 3 4 3 2 4 2 2 2 3 2" xfId="12957" xr:uid="{00000000-0005-0000-0000-0000A0250000}"/>
    <cellStyle name="Vírgula 3 4 3 2 4 2 2 2 4" xfId="8673" xr:uid="{00000000-0005-0000-0000-0000A1250000}"/>
    <cellStyle name="Vírgula 3 4 3 2 4 2 2 3" xfId="3185" xr:uid="{00000000-0005-0000-0000-0000A2250000}"/>
    <cellStyle name="Vírgula 3 4 3 2 4 2 2 3 2" xfId="9701" xr:uid="{00000000-0005-0000-0000-0000A3250000}"/>
    <cellStyle name="Vírgula 3 4 3 2 4 2 2 4" xfId="5415" xr:uid="{00000000-0005-0000-0000-0000A4250000}"/>
    <cellStyle name="Vírgula 3 4 3 2 4 2 2 4 2" xfId="11929" xr:uid="{00000000-0005-0000-0000-0000A5250000}"/>
    <cellStyle name="Vírgula 3 4 3 2 4 2 2 5" xfId="7645" xr:uid="{00000000-0005-0000-0000-0000A6250000}"/>
    <cellStyle name="Vírgula 3 4 3 2 4 2 3" xfId="1641" xr:uid="{00000000-0005-0000-0000-0000A7250000}"/>
    <cellStyle name="Vírgula 3 4 3 2 4 2 3 2" xfId="3699" xr:uid="{00000000-0005-0000-0000-0000A8250000}"/>
    <cellStyle name="Vírgula 3 4 3 2 4 2 3 2 2" xfId="10215" xr:uid="{00000000-0005-0000-0000-0000A9250000}"/>
    <cellStyle name="Vírgula 3 4 3 2 4 2 3 3" xfId="5929" xr:uid="{00000000-0005-0000-0000-0000AA250000}"/>
    <cellStyle name="Vírgula 3 4 3 2 4 2 3 3 2" xfId="12443" xr:uid="{00000000-0005-0000-0000-0000AB250000}"/>
    <cellStyle name="Vírgula 3 4 3 2 4 2 3 4" xfId="8159" xr:uid="{00000000-0005-0000-0000-0000AC250000}"/>
    <cellStyle name="Vírgula 3 4 3 2 4 2 4" xfId="2671" xr:uid="{00000000-0005-0000-0000-0000AD250000}"/>
    <cellStyle name="Vírgula 3 4 3 2 4 2 4 2" xfId="9187" xr:uid="{00000000-0005-0000-0000-0000AE250000}"/>
    <cellStyle name="Vírgula 3 4 3 2 4 2 5" xfId="4899" xr:uid="{00000000-0005-0000-0000-0000AF250000}"/>
    <cellStyle name="Vírgula 3 4 3 2 4 2 5 2" xfId="11413" xr:uid="{00000000-0005-0000-0000-0000B0250000}"/>
    <cellStyle name="Vírgula 3 4 3 2 4 2 6" xfId="7129" xr:uid="{00000000-0005-0000-0000-0000B1250000}"/>
    <cellStyle name="Vírgula 3 4 3 2 4 3" xfId="871" xr:uid="{00000000-0005-0000-0000-0000B2250000}"/>
    <cellStyle name="Vírgula 3 4 3 2 4 3 2" xfId="1899" xr:uid="{00000000-0005-0000-0000-0000B3250000}"/>
    <cellStyle name="Vírgula 3 4 3 2 4 3 2 2" xfId="3957" xr:uid="{00000000-0005-0000-0000-0000B4250000}"/>
    <cellStyle name="Vírgula 3 4 3 2 4 3 2 2 2" xfId="10473" xr:uid="{00000000-0005-0000-0000-0000B5250000}"/>
    <cellStyle name="Vírgula 3 4 3 2 4 3 2 3" xfId="6187" xr:uid="{00000000-0005-0000-0000-0000B6250000}"/>
    <cellStyle name="Vírgula 3 4 3 2 4 3 2 3 2" xfId="12701" xr:uid="{00000000-0005-0000-0000-0000B7250000}"/>
    <cellStyle name="Vírgula 3 4 3 2 4 3 2 4" xfId="8417" xr:uid="{00000000-0005-0000-0000-0000B8250000}"/>
    <cellStyle name="Vírgula 3 4 3 2 4 3 3" xfId="2929" xr:uid="{00000000-0005-0000-0000-0000B9250000}"/>
    <cellStyle name="Vírgula 3 4 3 2 4 3 3 2" xfId="9445" xr:uid="{00000000-0005-0000-0000-0000BA250000}"/>
    <cellStyle name="Vírgula 3 4 3 2 4 3 4" xfId="5159" xr:uid="{00000000-0005-0000-0000-0000BB250000}"/>
    <cellStyle name="Vírgula 3 4 3 2 4 3 4 2" xfId="11673" xr:uid="{00000000-0005-0000-0000-0000BC250000}"/>
    <cellStyle name="Vírgula 3 4 3 2 4 3 5" xfId="7389" xr:uid="{00000000-0005-0000-0000-0000BD250000}"/>
    <cellStyle name="Vírgula 3 4 3 2 4 4" xfId="1385" xr:uid="{00000000-0005-0000-0000-0000BE250000}"/>
    <cellStyle name="Vírgula 3 4 3 2 4 4 2" xfId="3443" xr:uid="{00000000-0005-0000-0000-0000BF250000}"/>
    <cellStyle name="Vírgula 3 4 3 2 4 4 2 2" xfId="9959" xr:uid="{00000000-0005-0000-0000-0000C0250000}"/>
    <cellStyle name="Vírgula 3 4 3 2 4 4 3" xfId="5673" xr:uid="{00000000-0005-0000-0000-0000C1250000}"/>
    <cellStyle name="Vírgula 3 4 3 2 4 4 3 2" xfId="12187" xr:uid="{00000000-0005-0000-0000-0000C2250000}"/>
    <cellStyle name="Vírgula 3 4 3 2 4 4 4" xfId="7903" xr:uid="{00000000-0005-0000-0000-0000C3250000}"/>
    <cellStyle name="Vírgula 3 4 3 2 4 5" xfId="2415" xr:uid="{00000000-0005-0000-0000-0000C4250000}"/>
    <cellStyle name="Vírgula 3 4 3 2 4 5 2" xfId="8931" xr:uid="{00000000-0005-0000-0000-0000C5250000}"/>
    <cellStyle name="Vírgula 3 4 3 2 4 6" xfId="4557" xr:uid="{00000000-0005-0000-0000-0000C6250000}"/>
    <cellStyle name="Vírgula 3 4 3 2 4 6 2" xfId="11071" xr:uid="{00000000-0005-0000-0000-0000C7250000}"/>
    <cellStyle name="Vírgula 3 4 3 2 4 7" xfId="6787" xr:uid="{00000000-0005-0000-0000-0000C8250000}"/>
    <cellStyle name="Vírgula 3 4 3 2 5" xfId="433" xr:uid="{00000000-0005-0000-0000-0000C9250000}"/>
    <cellStyle name="Vírgula 3 4 3 2 5 2" xfId="999" xr:uid="{00000000-0005-0000-0000-0000CA250000}"/>
    <cellStyle name="Vírgula 3 4 3 2 5 2 2" xfId="2027" xr:uid="{00000000-0005-0000-0000-0000CB250000}"/>
    <cellStyle name="Vírgula 3 4 3 2 5 2 2 2" xfId="4085" xr:uid="{00000000-0005-0000-0000-0000CC250000}"/>
    <cellStyle name="Vírgula 3 4 3 2 5 2 2 2 2" xfId="10601" xr:uid="{00000000-0005-0000-0000-0000CD250000}"/>
    <cellStyle name="Vírgula 3 4 3 2 5 2 2 3" xfId="6315" xr:uid="{00000000-0005-0000-0000-0000CE250000}"/>
    <cellStyle name="Vírgula 3 4 3 2 5 2 2 3 2" xfId="12829" xr:uid="{00000000-0005-0000-0000-0000CF250000}"/>
    <cellStyle name="Vírgula 3 4 3 2 5 2 2 4" xfId="8545" xr:uid="{00000000-0005-0000-0000-0000D0250000}"/>
    <cellStyle name="Vírgula 3 4 3 2 5 2 3" xfId="3057" xr:uid="{00000000-0005-0000-0000-0000D1250000}"/>
    <cellStyle name="Vírgula 3 4 3 2 5 2 3 2" xfId="9573" xr:uid="{00000000-0005-0000-0000-0000D2250000}"/>
    <cellStyle name="Vírgula 3 4 3 2 5 2 4" xfId="5287" xr:uid="{00000000-0005-0000-0000-0000D3250000}"/>
    <cellStyle name="Vírgula 3 4 3 2 5 2 4 2" xfId="11801" xr:uid="{00000000-0005-0000-0000-0000D4250000}"/>
    <cellStyle name="Vírgula 3 4 3 2 5 2 5" xfId="7517" xr:uid="{00000000-0005-0000-0000-0000D5250000}"/>
    <cellStyle name="Vírgula 3 4 3 2 5 3" xfId="1513" xr:uid="{00000000-0005-0000-0000-0000D6250000}"/>
    <cellStyle name="Vírgula 3 4 3 2 5 3 2" xfId="3571" xr:uid="{00000000-0005-0000-0000-0000D7250000}"/>
    <cellStyle name="Vírgula 3 4 3 2 5 3 2 2" xfId="10087" xr:uid="{00000000-0005-0000-0000-0000D8250000}"/>
    <cellStyle name="Vírgula 3 4 3 2 5 3 3" xfId="5801" xr:uid="{00000000-0005-0000-0000-0000D9250000}"/>
    <cellStyle name="Vírgula 3 4 3 2 5 3 3 2" xfId="12315" xr:uid="{00000000-0005-0000-0000-0000DA250000}"/>
    <cellStyle name="Vírgula 3 4 3 2 5 3 4" xfId="8031" xr:uid="{00000000-0005-0000-0000-0000DB250000}"/>
    <cellStyle name="Vírgula 3 4 3 2 5 4" xfId="2543" xr:uid="{00000000-0005-0000-0000-0000DC250000}"/>
    <cellStyle name="Vírgula 3 4 3 2 5 4 2" xfId="9059" xr:uid="{00000000-0005-0000-0000-0000DD250000}"/>
    <cellStyle name="Vírgula 3 4 3 2 5 5" xfId="4729" xr:uid="{00000000-0005-0000-0000-0000DE250000}"/>
    <cellStyle name="Vírgula 3 4 3 2 5 5 2" xfId="11243" xr:uid="{00000000-0005-0000-0000-0000DF250000}"/>
    <cellStyle name="Vírgula 3 4 3 2 5 6" xfId="6959" xr:uid="{00000000-0005-0000-0000-0000E0250000}"/>
    <cellStyle name="Vírgula 3 4 3 2 6" xfId="743" xr:uid="{00000000-0005-0000-0000-0000E1250000}"/>
    <cellStyle name="Vírgula 3 4 3 2 6 2" xfId="1771" xr:uid="{00000000-0005-0000-0000-0000E2250000}"/>
    <cellStyle name="Vírgula 3 4 3 2 6 2 2" xfId="3829" xr:uid="{00000000-0005-0000-0000-0000E3250000}"/>
    <cellStyle name="Vírgula 3 4 3 2 6 2 2 2" xfId="10345" xr:uid="{00000000-0005-0000-0000-0000E4250000}"/>
    <cellStyle name="Vírgula 3 4 3 2 6 2 3" xfId="6059" xr:uid="{00000000-0005-0000-0000-0000E5250000}"/>
    <cellStyle name="Vírgula 3 4 3 2 6 2 3 2" xfId="12573" xr:uid="{00000000-0005-0000-0000-0000E6250000}"/>
    <cellStyle name="Vírgula 3 4 3 2 6 2 4" xfId="8289" xr:uid="{00000000-0005-0000-0000-0000E7250000}"/>
    <cellStyle name="Vírgula 3 4 3 2 6 3" xfId="2801" xr:uid="{00000000-0005-0000-0000-0000E8250000}"/>
    <cellStyle name="Vírgula 3 4 3 2 6 3 2" xfId="9317" xr:uid="{00000000-0005-0000-0000-0000E9250000}"/>
    <cellStyle name="Vírgula 3 4 3 2 6 4" xfId="5031" xr:uid="{00000000-0005-0000-0000-0000EA250000}"/>
    <cellStyle name="Vírgula 3 4 3 2 6 4 2" xfId="11545" xr:uid="{00000000-0005-0000-0000-0000EB250000}"/>
    <cellStyle name="Vírgula 3 4 3 2 6 5" xfId="7261" xr:uid="{00000000-0005-0000-0000-0000EC250000}"/>
    <cellStyle name="Vírgula 3 4 3 2 7" xfId="1257" xr:uid="{00000000-0005-0000-0000-0000ED250000}"/>
    <cellStyle name="Vírgula 3 4 3 2 7 2" xfId="3315" xr:uid="{00000000-0005-0000-0000-0000EE250000}"/>
    <cellStyle name="Vírgula 3 4 3 2 7 2 2" xfId="9831" xr:uid="{00000000-0005-0000-0000-0000EF250000}"/>
    <cellStyle name="Vírgula 3 4 3 2 7 3" xfId="5545" xr:uid="{00000000-0005-0000-0000-0000F0250000}"/>
    <cellStyle name="Vírgula 3 4 3 2 7 3 2" xfId="12059" xr:uid="{00000000-0005-0000-0000-0000F1250000}"/>
    <cellStyle name="Vírgula 3 4 3 2 7 4" xfId="7775" xr:uid="{00000000-0005-0000-0000-0000F2250000}"/>
    <cellStyle name="Vírgula 3 4 3 2 8" xfId="2287" xr:uid="{00000000-0005-0000-0000-0000F3250000}"/>
    <cellStyle name="Vírgula 3 4 3 2 8 2" xfId="8803" xr:uid="{00000000-0005-0000-0000-0000F4250000}"/>
    <cellStyle name="Vírgula 3 4 3 2 9" xfId="4387" xr:uid="{00000000-0005-0000-0000-0000F5250000}"/>
    <cellStyle name="Vírgula 3 4 3 2 9 2" xfId="10901" xr:uid="{00000000-0005-0000-0000-0000F6250000}"/>
    <cellStyle name="Vírgula 3 4 3 3" xfId="135" xr:uid="{00000000-0005-0000-0000-0000F7250000}"/>
    <cellStyle name="Vírgula 3 4 3 3 2" xfId="212" xr:uid="{00000000-0005-0000-0000-0000F8250000}"/>
    <cellStyle name="Vírgula 3 4 3 3 2 2" xfId="340" xr:uid="{00000000-0005-0000-0000-0000F9250000}"/>
    <cellStyle name="Vírgula 3 4 3 3 2 2 2" xfId="683" xr:uid="{00000000-0005-0000-0000-0000FA250000}"/>
    <cellStyle name="Vírgula 3 4 3 3 2 2 2 2" xfId="1207" xr:uid="{00000000-0005-0000-0000-0000FB250000}"/>
    <cellStyle name="Vírgula 3 4 3 3 2 2 2 2 2" xfId="2235" xr:uid="{00000000-0005-0000-0000-0000FC250000}"/>
    <cellStyle name="Vírgula 3 4 3 3 2 2 2 2 2 2" xfId="4293" xr:uid="{00000000-0005-0000-0000-0000FD250000}"/>
    <cellStyle name="Vírgula 3 4 3 3 2 2 2 2 2 2 2" xfId="10809" xr:uid="{00000000-0005-0000-0000-0000FE250000}"/>
    <cellStyle name="Vírgula 3 4 3 3 2 2 2 2 2 3" xfId="6523" xr:uid="{00000000-0005-0000-0000-0000FF250000}"/>
    <cellStyle name="Vírgula 3 4 3 3 2 2 2 2 2 3 2" xfId="13037" xr:uid="{00000000-0005-0000-0000-000000260000}"/>
    <cellStyle name="Vírgula 3 4 3 3 2 2 2 2 2 4" xfId="8753" xr:uid="{00000000-0005-0000-0000-000001260000}"/>
    <cellStyle name="Vírgula 3 4 3 3 2 2 2 2 3" xfId="3265" xr:uid="{00000000-0005-0000-0000-000002260000}"/>
    <cellStyle name="Vírgula 3 4 3 3 2 2 2 2 3 2" xfId="9781" xr:uid="{00000000-0005-0000-0000-000003260000}"/>
    <cellStyle name="Vírgula 3 4 3 3 2 2 2 2 4" xfId="5495" xr:uid="{00000000-0005-0000-0000-000004260000}"/>
    <cellStyle name="Vírgula 3 4 3 3 2 2 2 2 4 2" xfId="12009" xr:uid="{00000000-0005-0000-0000-000005260000}"/>
    <cellStyle name="Vírgula 3 4 3 3 2 2 2 2 5" xfId="7725" xr:uid="{00000000-0005-0000-0000-000006260000}"/>
    <cellStyle name="Vírgula 3 4 3 3 2 2 2 3" xfId="1721" xr:uid="{00000000-0005-0000-0000-000007260000}"/>
    <cellStyle name="Vírgula 3 4 3 3 2 2 2 3 2" xfId="3779" xr:uid="{00000000-0005-0000-0000-000008260000}"/>
    <cellStyle name="Vírgula 3 4 3 3 2 2 2 3 2 2" xfId="10295" xr:uid="{00000000-0005-0000-0000-000009260000}"/>
    <cellStyle name="Vírgula 3 4 3 3 2 2 2 3 3" xfId="6009" xr:uid="{00000000-0005-0000-0000-00000A260000}"/>
    <cellStyle name="Vírgula 3 4 3 3 2 2 2 3 3 2" xfId="12523" xr:uid="{00000000-0005-0000-0000-00000B260000}"/>
    <cellStyle name="Vírgula 3 4 3 3 2 2 2 3 4" xfId="8239" xr:uid="{00000000-0005-0000-0000-00000C260000}"/>
    <cellStyle name="Vírgula 3 4 3 3 2 2 2 4" xfId="2751" xr:uid="{00000000-0005-0000-0000-00000D260000}"/>
    <cellStyle name="Vírgula 3 4 3 3 2 2 2 4 2" xfId="9267" xr:uid="{00000000-0005-0000-0000-00000E260000}"/>
    <cellStyle name="Vírgula 3 4 3 3 2 2 2 5" xfId="4979" xr:uid="{00000000-0005-0000-0000-00000F260000}"/>
    <cellStyle name="Vírgula 3 4 3 3 2 2 2 5 2" xfId="11493" xr:uid="{00000000-0005-0000-0000-000010260000}"/>
    <cellStyle name="Vírgula 3 4 3 3 2 2 2 6" xfId="7209" xr:uid="{00000000-0005-0000-0000-000011260000}"/>
    <cellStyle name="Vírgula 3 4 3 3 2 2 3" xfId="951" xr:uid="{00000000-0005-0000-0000-000012260000}"/>
    <cellStyle name="Vírgula 3 4 3 3 2 2 3 2" xfId="1979" xr:uid="{00000000-0005-0000-0000-000013260000}"/>
    <cellStyle name="Vírgula 3 4 3 3 2 2 3 2 2" xfId="4037" xr:uid="{00000000-0005-0000-0000-000014260000}"/>
    <cellStyle name="Vírgula 3 4 3 3 2 2 3 2 2 2" xfId="10553" xr:uid="{00000000-0005-0000-0000-000015260000}"/>
    <cellStyle name="Vírgula 3 4 3 3 2 2 3 2 3" xfId="6267" xr:uid="{00000000-0005-0000-0000-000016260000}"/>
    <cellStyle name="Vírgula 3 4 3 3 2 2 3 2 3 2" xfId="12781" xr:uid="{00000000-0005-0000-0000-000017260000}"/>
    <cellStyle name="Vírgula 3 4 3 3 2 2 3 2 4" xfId="8497" xr:uid="{00000000-0005-0000-0000-000018260000}"/>
    <cellStyle name="Vírgula 3 4 3 3 2 2 3 3" xfId="3009" xr:uid="{00000000-0005-0000-0000-000019260000}"/>
    <cellStyle name="Vírgula 3 4 3 3 2 2 3 3 2" xfId="9525" xr:uid="{00000000-0005-0000-0000-00001A260000}"/>
    <cellStyle name="Vírgula 3 4 3 3 2 2 3 4" xfId="5239" xr:uid="{00000000-0005-0000-0000-00001B260000}"/>
    <cellStyle name="Vírgula 3 4 3 3 2 2 3 4 2" xfId="11753" xr:uid="{00000000-0005-0000-0000-00001C260000}"/>
    <cellStyle name="Vírgula 3 4 3 3 2 2 3 5" xfId="7469" xr:uid="{00000000-0005-0000-0000-00001D260000}"/>
    <cellStyle name="Vírgula 3 4 3 3 2 2 4" xfId="1465" xr:uid="{00000000-0005-0000-0000-00001E260000}"/>
    <cellStyle name="Vírgula 3 4 3 3 2 2 4 2" xfId="3523" xr:uid="{00000000-0005-0000-0000-00001F260000}"/>
    <cellStyle name="Vírgula 3 4 3 3 2 2 4 2 2" xfId="10039" xr:uid="{00000000-0005-0000-0000-000020260000}"/>
    <cellStyle name="Vírgula 3 4 3 3 2 2 4 3" xfId="5753" xr:uid="{00000000-0005-0000-0000-000021260000}"/>
    <cellStyle name="Vírgula 3 4 3 3 2 2 4 3 2" xfId="12267" xr:uid="{00000000-0005-0000-0000-000022260000}"/>
    <cellStyle name="Vírgula 3 4 3 3 2 2 4 4" xfId="7983" xr:uid="{00000000-0005-0000-0000-000023260000}"/>
    <cellStyle name="Vírgula 3 4 3 3 2 2 5" xfId="2495" xr:uid="{00000000-0005-0000-0000-000024260000}"/>
    <cellStyle name="Vírgula 3 4 3 3 2 2 5 2" xfId="9011" xr:uid="{00000000-0005-0000-0000-000025260000}"/>
    <cellStyle name="Vírgula 3 4 3 3 2 2 6" xfId="4637" xr:uid="{00000000-0005-0000-0000-000026260000}"/>
    <cellStyle name="Vírgula 3 4 3 3 2 2 6 2" xfId="11151" xr:uid="{00000000-0005-0000-0000-000027260000}"/>
    <cellStyle name="Vírgula 3 4 3 3 2 2 7" xfId="6867" xr:uid="{00000000-0005-0000-0000-000028260000}"/>
    <cellStyle name="Vírgula 3 4 3 3 2 3" xfId="555" xr:uid="{00000000-0005-0000-0000-000029260000}"/>
    <cellStyle name="Vírgula 3 4 3 3 2 3 2" xfId="1079" xr:uid="{00000000-0005-0000-0000-00002A260000}"/>
    <cellStyle name="Vírgula 3 4 3 3 2 3 2 2" xfId="2107" xr:uid="{00000000-0005-0000-0000-00002B260000}"/>
    <cellStyle name="Vírgula 3 4 3 3 2 3 2 2 2" xfId="4165" xr:uid="{00000000-0005-0000-0000-00002C260000}"/>
    <cellStyle name="Vírgula 3 4 3 3 2 3 2 2 2 2" xfId="10681" xr:uid="{00000000-0005-0000-0000-00002D260000}"/>
    <cellStyle name="Vírgula 3 4 3 3 2 3 2 2 3" xfId="6395" xr:uid="{00000000-0005-0000-0000-00002E260000}"/>
    <cellStyle name="Vírgula 3 4 3 3 2 3 2 2 3 2" xfId="12909" xr:uid="{00000000-0005-0000-0000-00002F260000}"/>
    <cellStyle name="Vírgula 3 4 3 3 2 3 2 2 4" xfId="8625" xr:uid="{00000000-0005-0000-0000-000030260000}"/>
    <cellStyle name="Vírgula 3 4 3 3 2 3 2 3" xfId="3137" xr:uid="{00000000-0005-0000-0000-000031260000}"/>
    <cellStyle name="Vírgula 3 4 3 3 2 3 2 3 2" xfId="9653" xr:uid="{00000000-0005-0000-0000-000032260000}"/>
    <cellStyle name="Vírgula 3 4 3 3 2 3 2 4" xfId="5367" xr:uid="{00000000-0005-0000-0000-000033260000}"/>
    <cellStyle name="Vírgula 3 4 3 3 2 3 2 4 2" xfId="11881" xr:uid="{00000000-0005-0000-0000-000034260000}"/>
    <cellStyle name="Vírgula 3 4 3 3 2 3 2 5" xfId="7597" xr:uid="{00000000-0005-0000-0000-000035260000}"/>
    <cellStyle name="Vírgula 3 4 3 3 2 3 3" xfId="1593" xr:uid="{00000000-0005-0000-0000-000036260000}"/>
    <cellStyle name="Vírgula 3 4 3 3 2 3 3 2" xfId="3651" xr:uid="{00000000-0005-0000-0000-000037260000}"/>
    <cellStyle name="Vírgula 3 4 3 3 2 3 3 2 2" xfId="10167" xr:uid="{00000000-0005-0000-0000-000038260000}"/>
    <cellStyle name="Vírgula 3 4 3 3 2 3 3 3" xfId="5881" xr:uid="{00000000-0005-0000-0000-000039260000}"/>
    <cellStyle name="Vírgula 3 4 3 3 2 3 3 3 2" xfId="12395" xr:uid="{00000000-0005-0000-0000-00003A260000}"/>
    <cellStyle name="Vírgula 3 4 3 3 2 3 3 4" xfId="8111" xr:uid="{00000000-0005-0000-0000-00003B260000}"/>
    <cellStyle name="Vírgula 3 4 3 3 2 3 4" xfId="2623" xr:uid="{00000000-0005-0000-0000-00003C260000}"/>
    <cellStyle name="Vírgula 3 4 3 3 2 3 4 2" xfId="9139" xr:uid="{00000000-0005-0000-0000-00003D260000}"/>
    <cellStyle name="Vírgula 3 4 3 3 2 3 5" xfId="4851" xr:uid="{00000000-0005-0000-0000-00003E260000}"/>
    <cellStyle name="Vírgula 3 4 3 3 2 3 5 2" xfId="11365" xr:uid="{00000000-0005-0000-0000-00003F260000}"/>
    <cellStyle name="Vírgula 3 4 3 3 2 3 6" xfId="7081" xr:uid="{00000000-0005-0000-0000-000040260000}"/>
    <cellStyle name="Vírgula 3 4 3 3 2 4" xfId="823" xr:uid="{00000000-0005-0000-0000-000041260000}"/>
    <cellStyle name="Vírgula 3 4 3 3 2 4 2" xfId="1851" xr:uid="{00000000-0005-0000-0000-000042260000}"/>
    <cellStyle name="Vírgula 3 4 3 3 2 4 2 2" xfId="3909" xr:uid="{00000000-0005-0000-0000-000043260000}"/>
    <cellStyle name="Vírgula 3 4 3 3 2 4 2 2 2" xfId="10425" xr:uid="{00000000-0005-0000-0000-000044260000}"/>
    <cellStyle name="Vírgula 3 4 3 3 2 4 2 3" xfId="6139" xr:uid="{00000000-0005-0000-0000-000045260000}"/>
    <cellStyle name="Vírgula 3 4 3 3 2 4 2 3 2" xfId="12653" xr:uid="{00000000-0005-0000-0000-000046260000}"/>
    <cellStyle name="Vírgula 3 4 3 3 2 4 2 4" xfId="8369" xr:uid="{00000000-0005-0000-0000-000047260000}"/>
    <cellStyle name="Vírgula 3 4 3 3 2 4 3" xfId="2881" xr:uid="{00000000-0005-0000-0000-000048260000}"/>
    <cellStyle name="Vírgula 3 4 3 3 2 4 3 2" xfId="9397" xr:uid="{00000000-0005-0000-0000-000049260000}"/>
    <cellStyle name="Vírgula 3 4 3 3 2 4 4" xfId="5111" xr:uid="{00000000-0005-0000-0000-00004A260000}"/>
    <cellStyle name="Vírgula 3 4 3 3 2 4 4 2" xfId="11625" xr:uid="{00000000-0005-0000-0000-00004B260000}"/>
    <cellStyle name="Vírgula 3 4 3 3 2 4 5" xfId="7341" xr:uid="{00000000-0005-0000-0000-00004C260000}"/>
    <cellStyle name="Vírgula 3 4 3 3 2 5" xfId="1337" xr:uid="{00000000-0005-0000-0000-00004D260000}"/>
    <cellStyle name="Vírgula 3 4 3 3 2 5 2" xfId="3395" xr:uid="{00000000-0005-0000-0000-00004E260000}"/>
    <cellStyle name="Vírgula 3 4 3 3 2 5 2 2" xfId="9911" xr:uid="{00000000-0005-0000-0000-00004F260000}"/>
    <cellStyle name="Vírgula 3 4 3 3 2 5 3" xfId="5625" xr:uid="{00000000-0005-0000-0000-000050260000}"/>
    <cellStyle name="Vírgula 3 4 3 3 2 5 3 2" xfId="12139" xr:uid="{00000000-0005-0000-0000-000051260000}"/>
    <cellStyle name="Vírgula 3 4 3 3 2 5 4" xfId="7855" xr:uid="{00000000-0005-0000-0000-000052260000}"/>
    <cellStyle name="Vírgula 3 4 3 3 2 6" xfId="2367" xr:uid="{00000000-0005-0000-0000-000053260000}"/>
    <cellStyle name="Vírgula 3 4 3 3 2 6 2" xfId="8883" xr:uid="{00000000-0005-0000-0000-000054260000}"/>
    <cellStyle name="Vírgula 3 4 3 3 2 7" xfId="4509" xr:uid="{00000000-0005-0000-0000-000055260000}"/>
    <cellStyle name="Vírgula 3 4 3 3 2 7 2" xfId="11023" xr:uid="{00000000-0005-0000-0000-000056260000}"/>
    <cellStyle name="Vírgula 3 4 3 3 2 8" xfId="6739" xr:uid="{00000000-0005-0000-0000-000057260000}"/>
    <cellStyle name="Vírgula 3 4 3 3 3" xfId="276" xr:uid="{00000000-0005-0000-0000-000058260000}"/>
    <cellStyle name="Vírgula 3 4 3 3 3 2" xfId="619" xr:uid="{00000000-0005-0000-0000-000059260000}"/>
    <cellStyle name="Vírgula 3 4 3 3 3 2 2" xfId="1143" xr:uid="{00000000-0005-0000-0000-00005A260000}"/>
    <cellStyle name="Vírgula 3 4 3 3 3 2 2 2" xfId="2171" xr:uid="{00000000-0005-0000-0000-00005B260000}"/>
    <cellStyle name="Vírgula 3 4 3 3 3 2 2 2 2" xfId="4229" xr:uid="{00000000-0005-0000-0000-00005C260000}"/>
    <cellStyle name="Vírgula 3 4 3 3 3 2 2 2 2 2" xfId="10745" xr:uid="{00000000-0005-0000-0000-00005D260000}"/>
    <cellStyle name="Vírgula 3 4 3 3 3 2 2 2 3" xfId="6459" xr:uid="{00000000-0005-0000-0000-00005E260000}"/>
    <cellStyle name="Vírgula 3 4 3 3 3 2 2 2 3 2" xfId="12973" xr:uid="{00000000-0005-0000-0000-00005F260000}"/>
    <cellStyle name="Vírgula 3 4 3 3 3 2 2 2 4" xfId="8689" xr:uid="{00000000-0005-0000-0000-000060260000}"/>
    <cellStyle name="Vírgula 3 4 3 3 3 2 2 3" xfId="3201" xr:uid="{00000000-0005-0000-0000-000061260000}"/>
    <cellStyle name="Vírgula 3 4 3 3 3 2 2 3 2" xfId="9717" xr:uid="{00000000-0005-0000-0000-000062260000}"/>
    <cellStyle name="Vírgula 3 4 3 3 3 2 2 4" xfId="5431" xr:uid="{00000000-0005-0000-0000-000063260000}"/>
    <cellStyle name="Vírgula 3 4 3 3 3 2 2 4 2" xfId="11945" xr:uid="{00000000-0005-0000-0000-000064260000}"/>
    <cellStyle name="Vírgula 3 4 3 3 3 2 2 5" xfId="7661" xr:uid="{00000000-0005-0000-0000-000065260000}"/>
    <cellStyle name="Vírgula 3 4 3 3 3 2 3" xfId="1657" xr:uid="{00000000-0005-0000-0000-000066260000}"/>
    <cellStyle name="Vírgula 3 4 3 3 3 2 3 2" xfId="3715" xr:uid="{00000000-0005-0000-0000-000067260000}"/>
    <cellStyle name="Vírgula 3 4 3 3 3 2 3 2 2" xfId="10231" xr:uid="{00000000-0005-0000-0000-000068260000}"/>
    <cellStyle name="Vírgula 3 4 3 3 3 2 3 3" xfId="5945" xr:uid="{00000000-0005-0000-0000-000069260000}"/>
    <cellStyle name="Vírgula 3 4 3 3 3 2 3 3 2" xfId="12459" xr:uid="{00000000-0005-0000-0000-00006A260000}"/>
    <cellStyle name="Vírgula 3 4 3 3 3 2 3 4" xfId="8175" xr:uid="{00000000-0005-0000-0000-00006B260000}"/>
    <cellStyle name="Vírgula 3 4 3 3 3 2 4" xfId="2687" xr:uid="{00000000-0005-0000-0000-00006C260000}"/>
    <cellStyle name="Vírgula 3 4 3 3 3 2 4 2" xfId="9203" xr:uid="{00000000-0005-0000-0000-00006D260000}"/>
    <cellStyle name="Vírgula 3 4 3 3 3 2 5" xfId="4915" xr:uid="{00000000-0005-0000-0000-00006E260000}"/>
    <cellStyle name="Vírgula 3 4 3 3 3 2 5 2" xfId="11429" xr:uid="{00000000-0005-0000-0000-00006F260000}"/>
    <cellStyle name="Vírgula 3 4 3 3 3 2 6" xfId="7145" xr:uid="{00000000-0005-0000-0000-000070260000}"/>
    <cellStyle name="Vírgula 3 4 3 3 3 3" xfId="887" xr:uid="{00000000-0005-0000-0000-000071260000}"/>
    <cellStyle name="Vírgula 3 4 3 3 3 3 2" xfId="1915" xr:uid="{00000000-0005-0000-0000-000072260000}"/>
    <cellStyle name="Vírgula 3 4 3 3 3 3 2 2" xfId="3973" xr:uid="{00000000-0005-0000-0000-000073260000}"/>
    <cellStyle name="Vírgula 3 4 3 3 3 3 2 2 2" xfId="10489" xr:uid="{00000000-0005-0000-0000-000074260000}"/>
    <cellStyle name="Vírgula 3 4 3 3 3 3 2 3" xfId="6203" xr:uid="{00000000-0005-0000-0000-000075260000}"/>
    <cellStyle name="Vírgula 3 4 3 3 3 3 2 3 2" xfId="12717" xr:uid="{00000000-0005-0000-0000-000076260000}"/>
    <cellStyle name="Vírgula 3 4 3 3 3 3 2 4" xfId="8433" xr:uid="{00000000-0005-0000-0000-000077260000}"/>
    <cellStyle name="Vírgula 3 4 3 3 3 3 3" xfId="2945" xr:uid="{00000000-0005-0000-0000-000078260000}"/>
    <cellStyle name="Vírgula 3 4 3 3 3 3 3 2" xfId="9461" xr:uid="{00000000-0005-0000-0000-000079260000}"/>
    <cellStyle name="Vírgula 3 4 3 3 3 3 4" xfId="5175" xr:uid="{00000000-0005-0000-0000-00007A260000}"/>
    <cellStyle name="Vírgula 3 4 3 3 3 3 4 2" xfId="11689" xr:uid="{00000000-0005-0000-0000-00007B260000}"/>
    <cellStyle name="Vírgula 3 4 3 3 3 3 5" xfId="7405" xr:uid="{00000000-0005-0000-0000-00007C260000}"/>
    <cellStyle name="Vírgula 3 4 3 3 3 4" xfId="1401" xr:uid="{00000000-0005-0000-0000-00007D260000}"/>
    <cellStyle name="Vírgula 3 4 3 3 3 4 2" xfId="3459" xr:uid="{00000000-0005-0000-0000-00007E260000}"/>
    <cellStyle name="Vírgula 3 4 3 3 3 4 2 2" xfId="9975" xr:uid="{00000000-0005-0000-0000-00007F260000}"/>
    <cellStyle name="Vírgula 3 4 3 3 3 4 3" xfId="5689" xr:uid="{00000000-0005-0000-0000-000080260000}"/>
    <cellStyle name="Vírgula 3 4 3 3 3 4 3 2" xfId="12203" xr:uid="{00000000-0005-0000-0000-000081260000}"/>
    <cellStyle name="Vírgula 3 4 3 3 3 4 4" xfId="7919" xr:uid="{00000000-0005-0000-0000-000082260000}"/>
    <cellStyle name="Vírgula 3 4 3 3 3 5" xfId="2431" xr:uid="{00000000-0005-0000-0000-000083260000}"/>
    <cellStyle name="Vírgula 3 4 3 3 3 5 2" xfId="8947" xr:uid="{00000000-0005-0000-0000-000084260000}"/>
    <cellStyle name="Vírgula 3 4 3 3 3 6" xfId="4573" xr:uid="{00000000-0005-0000-0000-000085260000}"/>
    <cellStyle name="Vírgula 3 4 3 3 3 6 2" xfId="11087" xr:uid="{00000000-0005-0000-0000-000086260000}"/>
    <cellStyle name="Vírgula 3 4 3 3 3 7" xfId="6803" xr:uid="{00000000-0005-0000-0000-000087260000}"/>
    <cellStyle name="Vírgula 3 4 3 3 4" xfId="478" xr:uid="{00000000-0005-0000-0000-000088260000}"/>
    <cellStyle name="Vírgula 3 4 3 3 4 2" xfId="1015" xr:uid="{00000000-0005-0000-0000-000089260000}"/>
    <cellStyle name="Vírgula 3 4 3 3 4 2 2" xfId="2043" xr:uid="{00000000-0005-0000-0000-00008A260000}"/>
    <cellStyle name="Vírgula 3 4 3 3 4 2 2 2" xfId="4101" xr:uid="{00000000-0005-0000-0000-00008B260000}"/>
    <cellStyle name="Vírgula 3 4 3 3 4 2 2 2 2" xfId="10617" xr:uid="{00000000-0005-0000-0000-00008C260000}"/>
    <cellStyle name="Vírgula 3 4 3 3 4 2 2 3" xfId="6331" xr:uid="{00000000-0005-0000-0000-00008D260000}"/>
    <cellStyle name="Vírgula 3 4 3 3 4 2 2 3 2" xfId="12845" xr:uid="{00000000-0005-0000-0000-00008E260000}"/>
    <cellStyle name="Vírgula 3 4 3 3 4 2 2 4" xfId="8561" xr:uid="{00000000-0005-0000-0000-00008F260000}"/>
    <cellStyle name="Vírgula 3 4 3 3 4 2 3" xfId="3073" xr:uid="{00000000-0005-0000-0000-000090260000}"/>
    <cellStyle name="Vírgula 3 4 3 3 4 2 3 2" xfId="9589" xr:uid="{00000000-0005-0000-0000-000091260000}"/>
    <cellStyle name="Vírgula 3 4 3 3 4 2 4" xfId="5303" xr:uid="{00000000-0005-0000-0000-000092260000}"/>
    <cellStyle name="Vírgula 3 4 3 3 4 2 4 2" xfId="11817" xr:uid="{00000000-0005-0000-0000-000093260000}"/>
    <cellStyle name="Vírgula 3 4 3 3 4 2 5" xfId="7533" xr:uid="{00000000-0005-0000-0000-000094260000}"/>
    <cellStyle name="Vírgula 3 4 3 3 4 3" xfId="1529" xr:uid="{00000000-0005-0000-0000-000095260000}"/>
    <cellStyle name="Vírgula 3 4 3 3 4 3 2" xfId="3587" xr:uid="{00000000-0005-0000-0000-000096260000}"/>
    <cellStyle name="Vírgula 3 4 3 3 4 3 2 2" xfId="10103" xr:uid="{00000000-0005-0000-0000-000097260000}"/>
    <cellStyle name="Vírgula 3 4 3 3 4 3 3" xfId="5817" xr:uid="{00000000-0005-0000-0000-000098260000}"/>
    <cellStyle name="Vírgula 3 4 3 3 4 3 3 2" xfId="12331" xr:uid="{00000000-0005-0000-0000-000099260000}"/>
    <cellStyle name="Vírgula 3 4 3 3 4 3 4" xfId="8047" xr:uid="{00000000-0005-0000-0000-00009A260000}"/>
    <cellStyle name="Vírgula 3 4 3 3 4 4" xfId="2559" xr:uid="{00000000-0005-0000-0000-00009B260000}"/>
    <cellStyle name="Vírgula 3 4 3 3 4 4 2" xfId="9075" xr:uid="{00000000-0005-0000-0000-00009C260000}"/>
    <cellStyle name="Vírgula 3 4 3 3 4 5" xfId="4774" xr:uid="{00000000-0005-0000-0000-00009D260000}"/>
    <cellStyle name="Vírgula 3 4 3 3 4 5 2" xfId="11288" xr:uid="{00000000-0005-0000-0000-00009E260000}"/>
    <cellStyle name="Vírgula 3 4 3 3 4 6" xfId="7004" xr:uid="{00000000-0005-0000-0000-00009F260000}"/>
    <cellStyle name="Vírgula 3 4 3 3 5" xfId="759" xr:uid="{00000000-0005-0000-0000-0000A0260000}"/>
    <cellStyle name="Vírgula 3 4 3 3 5 2" xfId="1787" xr:uid="{00000000-0005-0000-0000-0000A1260000}"/>
    <cellStyle name="Vírgula 3 4 3 3 5 2 2" xfId="3845" xr:uid="{00000000-0005-0000-0000-0000A2260000}"/>
    <cellStyle name="Vírgula 3 4 3 3 5 2 2 2" xfId="10361" xr:uid="{00000000-0005-0000-0000-0000A3260000}"/>
    <cellStyle name="Vírgula 3 4 3 3 5 2 3" xfId="6075" xr:uid="{00000000-0005-0000-0000-0000A4260000}"/>
    <cellStyle name="Vírgula 3 4 3 3 5 2 3 2" xfId="12589" xr:uid="{00000000-0005-0000-0000-0000A5260000}"/>
    <cellStyle name="Vírgula 3 4 3 3 5 2 4" xfId="8305" xr:uid="{00000000-0005-0000-0000-0000A6260000}"/>
    <cellStyle name="Vírgula 3 4 3 3 5 3" xfId="2817" xr:uid="{00000000-0005-0000-0000-0000A7260000}"/>
    <cellStyle name="Vírgula 3 4 3 3 5 3 2" xfId="9333" xr:uid="{00000000-0005-0000-0000-0000A8260000}"/>
    <cellStyle name="Vírgula 3 4 3 3 5 4" xfId="5047" xr:uid="{00000000-0005-0000-0000-0000A9260000}"/>
    <cellStyle name="Vírgula 3 4 3 3 5 4 2" xfId="11561" xr:uid="{00000000-0005-0000-0000-0000AA260000}"/>
    <cellStyle name="Vírgula 3 4 3 3 5 5" xfId="7277" xr:uid="{00000000-0005-0000-0000-0000AB260000}"/>
    <cellStyle name="Vírgula 3 4 3 3 6" xfId="1273" xr:uid="{00000000-0005-0000-0000-0000AC260000}"/>
    <cellStyle name="Vírgula 3 4 3 3 6 2" xfId="3331" xr:uid="{00000000-0005-0000-0000-0000AD260000}"/>
    <cellStyle name="Vírgula 3 4 3 3 6 2 2" xfId="9847" xr:uid="{00000000-0005-0000-0000-0000AE260000}"/>
    <cellStyle name="Vírgula 3 4 3 3 6 3" xfId="5561" xr:uid="{00000000-0005-0000-0000-0000AF260000}"/>
    <cellStyle name="Vírgula 3 4 3 3 6 3 2" xfId="12075" xr:uid="{00000000-0005-0000-0000-0000B0260000}"/>
    <cellStyle name="Vírgula 3 4 3 3 6 4" xfId="7791" xr:uid="{00000000-0005-0000-0000-0000B1260000}"/>
    <cellStyle name="Vírgula 3 4 3 3 7" xfId="2303" xr:uid="{00000000-0005-0000-0000-0000B2260000}"/>
    <cellStyle name="Vírgula 3 4 3 3 7 2" xfId="8819" xr:uid="{00000000-0005-0000-0000-0000B3260000}"/>
    <cellStyle name="Vírgula 3 4 3 3 8" xfId="4432" xr:uid="{00000000-0005-0000-0000-0000B4260000}"/>
    <cellStyle name="Vírgula 3 4 3 3 8 2" xfId="10946" xr:uid="{00000000-0005-0000-0000-0000B5260000}"/>
    <cellStyle name="Vírgula 3 4 3 3 9" xfId="6662" xr:uid="{00000000-0005-0000-0000-0000B6260000}"/>
    <cellStyle name="Vírgula 3 4 3 4" xfId="180" xr:uid="{00000000-0005-0000-0000-0000B7260000}"/>
    <cellStyle name="Vírgula 3 4 3 4 2" xfId="308" xr:uid="{00000000-0005-0000-0000-0000B8260000}"/>
    <cellStyle name="Vírgula 3 4 3 4 2 2" xfId="651" xr:uid="{00000000-0005-0000-0000-0000B9260000}"/>
    <cellStyle name="Vírgula 3 4 3 4 2 2 2" xfId="1175" xr:uid="{00000000-0005-0000-0000-0000BA260000}"/>
    <cellStyle name="Vírgula 3 4 3 4 2 2 2 2" xfId="2203" xr:uid="{00000000-0005-0000-0000-0000BB260000}"/>
    <cellStyle name="Vírgula 3 4 3 4 2 2 2 2 2" xfId="4261" xr:uid="{00000000-0005-0000-0000-0000BC260000}"/>
    <cellStyle name="Vírgula 3 4 3 4 2 2 2 2 2 2" xfId="10777" xr:uid="{00000000-0005-0000-0000-0000BD260000}"/>
    <cellStyle name="Vírgula 3 4 3 4 2 2 2 2 3" xfId="6491" xr:uid="{00000000-0005-0000-0000-0000BE260000}"/>
    <cellStyle name="Vírgula 3 4 3 4 2 2 2 2 3 2" xfId="13005" xr:uid="{00000000-0005-0000-0000-0000BF260000}"/>
    <cellStyle name="Vírgula 3 4 3 4 2 2 2 2 4" xfId="8721" xr:uid="{00000000-0005-0000-0000-0000C0260000}"/>
    <cellStyle name="Vírgula 3 4 3 4 2 2 2 3" xfId="3233" xr:uid="{00000000-0005-0000-0000-0000C1260000}"/>
    <cellStyle name="Vírgula 3 4 3 4 2 2 2 3 2" xfId="9749" xr:uid="{00000000-0005-0000-0000-0000C2260000}"/>
    <cellStyle name="Vírgula 3 4 3 4 2 2 2 4" xfId="5463" xr:uid="{00000000-0005-0000-0000-0000C3260000}"/>
    <cellStyle name="Vírgula 3 4 3 4 2 2 2 4 2" xfId="11977" xr:uid="{00000000-0005-0000-0000-0000C4260000}"/>
    <cellStyle name="Vírgula 3 4 3 4 2 2 2 5" xfId="7693" xr:uid="{00000000-0005-0000-0000-0000C5260000}"/>
    <cellStyle name="Vírgula 3 4 3 4 2 2 3" xfId="1689" xr:uid="{00000000-0005-0000-0000-0000C6260000}"/>
    <cellStyle name="Vírgula 3 4 3 4 2 2 3 2" xfId="3747" xr:uid="{00000000-0005-0000-0000-0000C7260000}"/>
    <cellStyle name="Vírgula 3 4 3 4 2 2 3 2 2" xfId="10263" xr:uid="{00000000-0005-0000-0000-0000C8260000}"/>
    <cellStyle name="Vírgula 3 4 3 4 2 2 3 3" xfId="5977" xr:uid="{00000000-0005-0000-0000-0000C9260000}"/>
    <cellStyle name="Vírgula 3 4 3 4 2 2 3 3 2" xfId="12491" xr:uid="{00000000-0005-0000-0000-0000CA260000}"/>
    <cellStyle name="Vírgula 3 4 3 4 2 2 3 4" xfId="8207" xr:uid="{00000000-0005-0000-0000-0000CB260000}"/>
    <cellStyle name="Vírgula 3 4 3 4 2 2 4" xfId="2719" xr:uid="{00000000-0005-0000-0000-0000CC260000}"/>
    <cellStyle name="Vírgula 3 4 3 4 2 2 4 2" xfId="9235" xr:uid="{00000000-0005-0000-0000-0000CD260000}"/>
    <cellStyle name="Vírgula 3 4 3 4 2 2 5" xfId="4947" xr:uid="{00000000-0005-0000-0000-0000CE260000}"/>
    <cellStyle name="Vírgula 3 4 3 4 2 2 5 2" xfId="11461" xr:uid="{00000000-0005-0000-0000-0000CF260000}"/>
    <cellStyle name="Vírgula 3 4 3 4 2 2 6" xfId="7177" xr:uid="{00000000-0005-0000-0000-0000D0260000}"/>
    <cellStyle name="Vírgula 3 4 3 4 2 3" xfId="919" xr:uid="{00000000-0005-0000-0000-0000D1260000}"/>
    <cellStyle name="Vírgula 3 4 3 4 2 3 2" xfId="1947" xr:uid="{00000000-0005-0000-0000-0000D2260000}"/>
    <cellStyle name="Vírgula 3 4 3 4 2 3 2 2" xfId="4005" xr:uid="{00000000-0005-0000-0000-0000D3260000}"/>
    <cellStyle name="Vírgula 3 4 3 4 2 3 2 2 2" xfId="10521" xr:uid="{00000000-0005-0000-0000-0000D4260000}"/>
    <cellStyle name="Vírgula 3 4 3 4 2 3 2 3" xfId="6235" xr:uid="{00000000-0005-0000-0000-0000D5260000}"/>
    <cellStyle name="Vírgula 3 4 3 4 2 3 2 3 2" xfId="12749" xr:uid="{00000000-0005-0000-0000-0000D6260000}"/>
    <cellStyle name="Vírgula 3 4 3 4 2 3 2 4" xfId="8465" xr:uid="{00000000-0005-0000-0000-0000D7260000}"/>
    <cellStyle name="Vírgula 3 4 3 4 2 3 3" xfId="2977" xr:uid="{00000000-0005-0000-0000-0000D8260000}"/>
    <cellStyle name="Vírgula 3 4 3 4 2 3 3 2" xfId="9493" xr:uid="{00000000-0005-0000-0000-0000D9260000}"/>
    <cellStyle name="Vírgula 3 4 3 4 2 3 4" xfId="5207" xr:uid="{00000000-0005-0000-0000-0000DA260000}"/>
    <cellStyle name="Vírgula 3 4 3 4 2 3 4 2" xfId="11721" xr:uid="{00000000-0005-0000-0000-0000DB260000}"/>
    <cellStyle name="Vírgula 3 4 3 4 2 3 5" xfId="7437" xr:uid="{00000000-0005-0000-0000-0000DC260000}"/>
    <cellStyle name="Vírgula 3 4 3 4 2 4" xfId="1433" xr:uid="{00000000-0005-0000-0000-0000DD260000}"/>
    <cellStyle name="Vírgula 3 4 3 4 2 4 2" xfId="3491" xr:uid="{00000000-0005-0000-0000-0000DE260000}"/>
    <cellStyle name="Vírgula 3 4 3 4 2 4 2 2" xfId="10007" xr:uid="{00000000-0005-0000-0000-0000DF260000}"/>
    <cellStyle name="Vírgula 3 4 3 4 2 4 3" xfId="5721" xr:uid="{00000000-0005-0000-0000-0000E0260000}"/>
    <cellStyle name="Vírgula 3 4 3 4 2 4 3 2" xfId="12235" xr:uid="{00000000-0005-0000-0000-0000E1260000}"/>
    <cellStyle name="Vírgula 3 4 3 4 2 4 4" xfId="7951" xr:uid="{00000000-0005-0000-0000-0000E2260000}"/>
    <cellStyle name="Vírgula 3 4 3 4 2 5" xfId="2463" xr:uid="{00000000-0005-0000-0000-0000E3260000}"/>
    <cellStyle name="Vírgula 3 4 3 4 2 5 2" xfId="8979" xr:uid="{00000000-0005-0000-0000-0000E4260000}"/>
    <cellStyle name="Vírgula 3 4 3 4 2 6" xfId="4605" xr:uid="{00000000-0005-0000-0000-0000E5260000}"/>
    <cellStyle name="Vírgula 3 4 3 4 2 6 2" xfId="11119" xr:uid="{00000000-0005-0000-0000-0000E6260000}"/>
    <cellStyle name="Vírgula 3 4 3 4 2 7" xfId="6835" xr:uid="{00000000-0005-0000-0000-0000E7260000}"/>
    <cellStyle name="Vírgula 3 4 3 4 3" xfId="523" xr:uid="{00000000-0005-0000-0000-0000E8260000}"/>
    <cellStyle name="Vírgula 3 4 3 4 3 2" xfId="1047" xr:uid="{00000000-0005-0000-0000-0000E9260000}"/>
    <cellStyle name="Vírgula 3 4 3 4 3 2 2" xfId="2075" xr:uid="{00000000-0005-0000-0000-0000EA260000}"/>
    <cellStyle name="Vírgula 3 4 3 4 3 2 2 2" xfId="4133" xr:uid="{00000000-0005-0000-0000-0000EB260000}"/>
    <cellStyle name="Vírgula 3 4 3 4 3 2 2 2 2" xfId="10649" xr:uid="{00000000-0005-0000-0000-0000EC260000}"/>
    <cellStyle name="Vírgula 3 4 3 4 3 2 2 3" xfId="6363" xr:uid="{00000000-0005-0000-0000-0000ED260000}"/>
    <cellStyle name="Vírgula 3 4 3 4 3 2 2 3 2" xfId="12877" xr:uid="{00000000-0005-0000-0000-0000EE260000}"/>
    <cellStyle name="Vírgula 3 4 3 4 3 2 2 4" xfId="8593" xr:uid="{00000000-0005-0000-0000-0000EF260000}"/>
    <cellStyle name="Vírgula 3 4 3 4 3 2 3" xfId="3105" xr:uid="{00000000-0005-0000-0000-0000F0260000}"/>
    <cellStyle name="Vírgula 3 4 3 4 3 2 3 2" xfId="9621" xr:uid="{00000000-0005-0000-0000-0000F1260000}"/>
    <cellStyle name="Vírgula 3 4 3 4 3 2 4" xfId="5335" xr:uid="{00000000-0005-0000-0000-0000F2260000}"/>
    <cellStyle name="Vírgula 3 4 3 4 3 2 4 2" xfId="11849" xr:uid="{00000000-0005-0000-0000-0000F3260000}"/>
    <cellStyle name="Vírgula 3 4 3 4 3 2 5" xfId="7565" xr:uid="{00000000-0005-0000-0000-0000F4260000}"/>
    <cellStyle name="Vírgula 3 4 3 4 3 3" xfId="1561" xr:uid="{00000000-0005-0000-0000-0000F5260000}"/>
    <cellStyle name="Vírgula 3 4 3 4 3 3 2" xfId="3619" xr:uid="{00000000-0005-0000-0000-0000F6260000}"/>
    <cellStyle name="Vírgula 3 4 3 4 3 3 2 2" xfId="10135" xr:uid="{00000000-0005-0000-0000-0000F7260000}"/>
    <cellStyle name="Vírgula 3 4 3 4 3 3 3" xfId="5849" xr:uid="{00000000-0005-0000-0000-0000F8260000}"/>
    <cellStyle name="Vírgula 3 4 3 4 3 3 3 2" xfId="12363" xr:uid="{00000000-0005-0000-0000-0000F9260000}"/>
    <cellStyle name="Vírgula 3 4 3 4 3 3 4" xfId="8079" xr:uid="{00000000-0005-0000-0000-0000FA260000}"/>
    <cellStyle name="Vírgula 3 4 3 4 3 4" xfId="2591" xr:uid="{00000000-0005-0000-0000-0000FB260000}"/>
    <cellStyle name="Vírgula 3 4 3 4 3 4 2" xfId="9107" xr:uid="{00000000-0005-0000-0000-0000FC260000}"/>
    <cellStyle name="Vírgula 3 4 3 4 3 5" xfId="4819" xr:uid="{00000000-0005-0000-0000-0000FD260000}"/>
    <cellStyle name="Vírgula 3 4 3 4 3 5 2" xfId="11333" xr:uid="{00000000-0005-0000-0000-0000FE260000}"/>
    <cellStyle name="Vírgula 3 4 3 4 3 6" xfId="7049" xr:uid="{00000000-0005-0000-0000-0000FF260000}"/>
    <cellStyle name="Vírgula 3 4 3 4 4" xfId="791" xr:uid="{00000000-0005-0000-0000-000000270000}"/>
    <cellStyle name="Vírgula 3 4 3 4 4 2" xfId="1819" xr:uid="{00000000-0005-0000-0000-000001270000}"/>
    <cellStyle name="Vírgula 3 4 3 4 4 2 2" xfId="3877" xr:uid="{00000000-0005-0000-0000-000002270000}"/>
    <cellStyle name="Vírgula 3 4 3 4 4 2 2 2" xfId="10393" xr:uid="{00000000-0005-0000-0000-000003270000}"/>
    <cellStyle name="Vírgula 3 4 3 4 4 2 3" xfId="6107" xr:uid="{00000000-0005-0000-0000-000004270000}"/>
    <cellStyle name="Vírgula 3 4 3 4 4 2 3 2" xfId="12621" xr:uid="{00000000-0005-0000-0000-000005270000}"/>
    <cellStyle name="Vírgula 3 4 3 4 4 2 4" xfId="8337" xr:uid="{00000000-0005-0000-0000-000006270000}"/>
    <cellStyle name="Vírgula 3 4 3 4 4 3" xfId="2849" xr:uid="{00000000-0005-0000-0000-000007270000}"/>
    <cellStyle name="Vírgula 3 4 3 4 4 3 2" xfId="9365" xr:uid="{00000000-0005-0000-0000-000008270000}"/>
    <cellStyle name="Vírgula 3 4 3 4 4 4" xfId="5079" xr:uid="{00000000-0005-0000-0000-000009270000}"/>
    <cellStyle name="Vírgula 3 4 3 4 4 4 2" xfId="11593" xr:uid="{00000000-0005-0000-0000-00000A270000}"/>
    <cellStyle name="Vírgula 3 4 3 4 4 5" xfId="7309" xr:uid="{00000000-0005-0000-0000-00000B270000}"/>
    <cellStyle name="Vírgula 3 4 3 4 5" xfId="1305" xr:uid="{00000000-0005-0000-0000-00000C270000}"/>
    <cellStyle name="Vírgula 3 4 3 4 5 2" xfId="3363" xr:uid="{00000000-0005-0000-0000-00000D270000}"/>
    <cellStyle name="Vírgula 3 4 3 4 5 2 2" xfId="9879" xr:uid="{00000000-0005-0000-0000-00000E270000}"/>
    <cellStyle name="Vírgula 3 4 3 4 5 3" xfId="5593" xr:uid="{00000000-0005-0000-0000-00000F270000}"/>
    <cellStyle name="Vírgula 3 4 3 4 5 3 2" xfId="12107" xr:uid="{00000000-0005-0000-0000-000010270000}"/>
    <cellStyle name="Vírgula 3 4 3 4 5 4" xfId="7823" xr:uid="{00000000-0005-0000-0000-000011270000}"/>
    <cellStyle name="Vírgula 3 4 3 4 6" xfId="2335" xr:uid="{00000000-0005-0000-0000-000012270000}"/>
    <cellStyle name="Vírgula 3 4 3 4 6 2" xfId="8851" xr:uid="{00000000-0005-0000-0000-000013270000}"/>
    <cellStyle name="Vírgula 3 4 3 4 7" xfId="4477" xr:uid="{00000000-0005-0000-0000-000014270000}"/>
    <cellStyle name="Vírgula 3 4 3 4 7 2" xfId="10991" xr:uid="{00000000-0005-0000-0000-000015270000}"/>
    <cellStyle name="Vírgula 3 4 3 4 8" xfId="6707" xr:uid="{00000000-0005-0000-0000-000016270000}"/>
    <cellStyle name="Vírgula 3 4 3 5" xfId="244" xr:uid="{00000000-0005-0000-0000-000017270000}"/>
    <cellStyle name="Vírgula 3 4 3 5 2" xfId="587" xr:uid="{00000000-0005-0000-0000-000018270000}"/>
    <cellStyle name="Vírgula 3 4 3 5 2 2" xfId="1111" xr:uid="{00000000-0005-0000-0000-000019270000}"/>
    <cellStyle name="Vírgula 3 4 3 5 2 2 2" xfId="2139" xr:uid="{00000000-0005-0000-0000-00001A270000}"/>
    <cellStyle name="Vírgula 3 4 3 5 2 2 2 2" xfId="4197" xr:uid="{00000000-0005-0000-0000-00001B270000}"/>
    <cellStyle name="Vírgula 3 4 3 5 2 2 2 2 2" xfId="10713" xr:uid="{00000000-0005-0000-0000-00001C270000}"/>
    <cellStyle name="Vírgula 3 4 3 5 2 2 2 3" xfId="6427" xr:uid="{00000000-0005-0000-0000-00001D270000}"/>
    <cellStyle name="Vírgula 3 4 3 5 2 2 2 3 2" xfId="12941" xr:uid="{00000000-0005-0000-0000-00001E270000}"/>
    <cellStyle name="Vírgula 3 4 3 5 2 2 2 4" xfId="8657" xr:uid="{00000000-0005-0000-0000-00001F270000}"/>
    <cellStyle name="Vírgula 3 4 3 5 2 2 3" xfId="3169" xr:uid="{00000000-0005-0000-0000-000020270000}"/>
    <cellStyle name="Vírgula 3 4 3 5 2 2 3 2" xfId="9685" xr:uid="{00000000-0005-0000-0000-000021270000}"/>
    <cellStyle name="Vírgula 3 4 3 5 2 2 4" xfId="5399" xr:uid="{00000000-0005-0000-0000-000022270000}"/>
    <cellStyle name="Vírgula 3 4 3 5 2 2 4 2" xfId="11913" xr:uid="{00000000-0005-0000-0000-000023270000}"/>
    <cellStyle name="Vírgula 3 4 3 5 2 2 5" xfId="7629" xr:uid="{00000000-0005-0000-0000-000024270000}"/>
    <cellStyle name="Vírgula 3 4 3 5 2 3" xfId="1625" xr:uid="{00000000-0005-0000-0000-000025270000}"/>
    <cellStyle name="Vírgula 3 4 3 5 2 3 2" xfId="3683" xr:uid="{00000000-0005-0000-0000-000026270000}"/>
    <cellStyle name="Vírgula 3 4 3 5 2 3 2 2" xfId="10199" xr:uid="{00000000-0005-0000-0000-000027270000}"/>
    <cellStyle name="Vírgula 3 4 3 5 2 3 3" xfId="5913" xr:uid="{00000000-0005-0000-0000-000028270000}"/>
    <cellStyle name="Vírgula 3 4 3 5 2 3 3 2" xfId="12427" xr:uid="{00000000-0005-0000-0000-000029270000}"/>
    <cellStyle name="Vírgula 3 4 3 5 2 3 4" xfId="8143" xr:uid="{00000000-0005-0000-0000-00002A270000}"/>
    <cellStyle name="Vírgula 3 4 3 5 2 4" xfId="2655" xr:uid="{00000000-0005-0000-0000-00002B270000}"/>
    <cellStyle name="Vírgula 3 4 3 5 2 4 2" xfId="9171" xr:uid="{00000000-0005-0000-0000-00002C270000}"/>
    <cellStyle name="Vírgula 3 4 3 5 2 5" xfId="4883" xr:uid="{00000000-0005-0000-0000-00002D270000}"/>
    <cellStyle name="Vírgula 3 4 3 5 2 5 2" xfId="11397" xr:uid="{00000000-0005-0000-0000-00002E270000}"/>
    <cellStyle name="Vírgula 3 4 3 5 2 6" xfId="7113" xr:uid="{00000000-0005-0000-0000-00002F270000}"/>
    <cellStyle name="Vírgula 3 4 3 5 3" xfId="855" xr:uid="{00000000-0005-0000-0000-000030270000}"/>
    <cellStyle name="Vírgula 3 4 3 5 3 2" xfId="1883" xr:uid="{00000000-0005-0000-0000-000031270000}"/>
    <cellStyle name="Vírgula 3 4 3 5 3 2 2" xfId="3941" xr:uid="{00000000-0005-0000-0000-000032270000}"/>
    <cellStyle name="Vírgula 3 4 3 5 3 2 2 2" xfId="10457" xr:uid="{00000000-0005-0000-0000-000033270000}"/>
    <cellStyle name="Vírgula 3 4 3 5 3 2 3" xfId="6171" xr:uid="{00000000-0005-0000-0000-000034270000}"/>
    <cellStyle name="Vírgula 3 4 3 5 3 2 3 2" xfId="12685" xr:uid="{00000000-0005-0000-0000-000035270000}"/>
    <cellStyle name="Vírgula 3 4 3 5 3 2 4" xfId="8401" xr:uid="{00000000-0005-0000-0000-000036270000}"/>
    <cellStyle name="Vírgula 3 4 3 5 3 3" xfId="2913" xr:uid="{00000000-0005-0000-0000-000037270000}"/>
    <cellStyle name="Vírgula 3 4 3 5 3 3 2" xfId="9429" xr:uid="{00000000-0005-0000-0000-000038270000}"/>
    <cellStyle name="Vírgula 3 4 3 5 3 4" xfId="5143" xr:uid="{00000000-0005-0000-0000-000039270000}"/>
    <cellStyle name="Vírgula 3 4 3 5 3 4 2" xfId="11657" xr:uid="{00000000-0005-0000-0000-00003A270000}"/>
    <cellStyle name="Vírgula 3 4 3 5 3 5" xfId="7373" xr:uid="{00000000-0005-0000-0000-00003B270000}"/>
    <cellStyle name="Vírgula 3 4 3 5 4" xfId="1369" xr:uid="{00000000-0005-0000-0000-00003C270000}"/>
    <cellStyle name="Vírgula 3 4 3 5 4 2" xfId="3427" xr:uid="{00000000-0005-0000-0000-00003D270000}"/>
    <cellStyle name="Vírgula 3 4 3 5 4 2 2" xfId="9943" xr:uid="{00000000-0005-0000-0000-00003E270000}"/>
    <cellStyle name="Vírgula 3 4 3 5 4 3" xfId="5657" xr:uid="{00000000-0005-0000-0000-00003F270000}"/>
    <cellStyle name="Vírgula 3 4 3 5 4 3 2" xfId="12171" xr:uid="{00000000-0005-0000-0000-000040270000}"/>
    <cellStyle name="Vírgula 3 4 3 5 4 4" xfId="7887" xr:uid="{00000000-0005-0000-0000-000041270000}"/>
    <cellStyle name="Vírgula 3 4 3 5 5" xfId="2399" xr:uid="{00000000-0005-0000-0000-000042270000}"/>
    <cellStyle name="Vírgula 3 4 3 5 5 2" xfId="8915" xr:uid="{00000000-0005-0000-0000-000043270000}"/>
    <cellStyle name="Vírgula 3 4 3 5 6" xfId="4541" xr:uid="{00000000-0005-0000-0000-000044270000}"/>
    <cellStyle name="Vírgula 3 4 3 5 6 2" xfId="11055" xr:uid="{00000000-0005-0000-0000-000045270000}"/>
    <cellStyle name="Vírgula 3 4 3 5 7" xfId="6771" xr:uid="{00000000-0005-0000-0000-000046270000}"/>
    <cellStyle name="Vírgula 3 4 3 6" xfId="404" xr:uid="{00000000-0005-0000-0000-000047270000}"/>
    <cellStyle name="Vírgula 3 4 3 6 2" xfId="983" xr:uid="{00000000-0005-0000-0000-000048270000}"/>
    <cellStyle name="Vírgula 3 4 3 6 2 2" xfId="2011" xr:uid="{00000000-0005-0000-0000-000049270000}"/>
    <cellStyle name="Vírgula 3 4 3 6 2 2 2" xfId="4069" xr:uid="{00000000-0005-0000-0000-00004A270000}"/>
    <cellStyle name="Vírgula 3 4 3 6 2 2 2 2" xfId="10585" xr:uid="{00000000-0005-0000-0000-00004B270000}"/>
    <cellStyle name="Vírgula 3 4 3 6 2 2 3" xfId="6299" xr:uid="{00000000-0005-0000-0000-00004C270000}"/>
    <cellStyle name="Vírgula 3 4 3 6 2 2 3 2" xfId="12813" xr:uid="{00000000-0005-0000-0000-00004D270000}"/>
    <cellStyle name="Vírgula 3 4 3 6 2 2 4" xfId="8529" xr:uid="{00000000-0005-0000-0000-00004E270000}"/>
    <cellStyle name="Vírgula 3 4 3 6 2 3" xfId="3041" xr:uid="{00000000-0005-0000-0000-00004F270000}"/>
    <cellStyle name="Vírgula 3 4 3 6 2 3 2" xfId="9557" xr:uid="{00000000-0005-0000-0000-000050270000}"/>
    <cellStyle name="Vírgula 3 4 3 6 2 4" xfId="5271" xr:uid="{00000000-0005-0000-0000-000051270000}"/>
    <cellStyle name="Vírgula 3 4 3 6 2 4 2" xfId="11785" xr:uid="{00000000-0005-0000-0000-000052270000}"/>
    <cellStyle name="Vírgula 3 4 3 6 2 5" xfId="7501" xr:uid="{00000000-0005-0000-0000-000053270000}"/>
    <cellStyle name="Vírgula 3 4 3 6 3" xfId="1497" xr:uid="{00000000-0005-0000-0000-000054270000}"/>
    <cellStyle name="Vírgula 3 4 3 6 3 2" xfId="3555" xr:uid="{00000000-0005-0000-0000-000055270000}"/>
    <cellStyle name="Vírgula 3 4 3 6 3 2 2" xfId="10071" xr:uid="{00000000-0005-0000-0000-000056270000}"/>
    <cellStyle name="Vírgula 3 4 3 6 3 3" xfId="5785" xr:uid="{00000000-0005-0000-0000-000057270000}"/>
    <cellStyle name="Vírgula 3 4 3 6 3 3 2" xfId="12299" xr:uid="{00000000-0005-0000-0000-000058270000}"/>
    <cellStyle name="Vírgula 3 4 3 6 3 4" xfId="8015" xr:uid="{00000000-0005-0000-0000-000059270000}"/>
    <cellStyle name="Vírgula 3 4 3 6 4" xfId="2527" xr:uid="{00000000-0005-0000-0000-00005A270000}"/>
    <cellStyle name="Vírgula 3 4 3 6 4 2" xfId="9043" xr:uid="{00000000-0005-0000-0000-00005B270000}"/>
    <cellStyle name="Vírgula 3 4 3 6 5" xfId="4700" xr:uid="{00000000-0005-0000-0000-00005C270000}"/>
    <cellStyle name="Vírgula 3 4 3 6 5 2" xfId="11214" xr:uid="{00000000-0005-0000-0000-00005D270000}"/>
    <cellStyle name="Vírgula 3 4 3 6 6" xfId="6930" xr:uid="{00000000-0005-0000-0000-00005E270000}"/>
    <cellStyle name="Vírgula 3 4 3 7" xfId="727" xr:uid="{00000000-0005-0000-0000-00005F270000}"/>
    <cellStyle name="Vírgula 3 4 3 7 2" xfId="1755" xr:uid="{00000000-0005-0000-0000-000060270000}"/>
    <cellStyle name="Vírgula 3 4 3 7 2 2" xfId="3813" xr:uid="{00000000-0005-0000-0000-000061270000}"/>
    <cellStyle name="Vírgula 3 4 3 7 2 2 2" xfId="10329" xr:uid="{00000000-0005-0000-0000-000062270000}"/>
    <cellStyle name="Vírgula 3 4 3 7 2 3" xfId="6043" xr:uid="{00000000-0005-0000-0000-000063270000}"/>
    <cellStyle name="Vírgula 3 4 3 7 2 3 2" xfId="12557" xr:uid="{00000000-0005-0000-0000-000064270000}"/>
    <cellStyle name="Vírgula 3 4 3 7 2 4" xfId="8273" xr:uid="{00000000-0005-0000-0000-000065270000}"/>
    <cellStyle name="Vírgula 3 4 3 7 3" xfId="2785" xr:uid="{00000000-0005-0000-0000-000066270000}"/>
    <cellStyle name="Vírgula 3 4 3 7 3 2" xfId="9301" xr:uid="{00000000-0005-0000-0000-000067270000}"/>
    <cellStyle name="Vírgula 3 4 3 7 4" xfId="5015" xr:uid="{00000000-0005-0000-0000-000068270000}"/>
    <cellStyle name="Vírgula 3 4 3 7 4 2" xfId="11529" xr:uid="{00000000-0005-0000-0000-000069270000}"/>
    <cellStyle name="Vírgula 3 4 3 7 5" xfId="7245" xr:uid="{00000000-0005-0000-0000-00006A270000}"/>
    <cellStyle name="Vírgula 3 4 3 8" xfId="1241" xr:uid="{00000000-0005-0000-0000-00006B270000}"/>
    <cellStyle name="Vírgula 3 4 3 8 2" xfId="3299" xr:uid="{00000000-0005-0000-0000-00006C270000}"/>
    <cellStyle name="Vírgula 3 4 3 8 2 2" xfId="9815" xr:uid="{00000000-0005-0000-0000-00006D270000}"/>
    <cellStyle name="Vírgula 3 4 3 8 3" xfId="5529" xr:uid="{00000000-0005-0000-0000-00006E270000}"/>
    <cellStyle name="Vírgula 3 4 3 8 3 2" xfId="12043" xr:uid="{00000000-0005-0000-0000-00006F270000}"/>
    <cellStyle name="Vírgula 3 4 3 8 4" xfId="7759" xr:uid="{00000000-0005-0000-0000-000070270000}"/>
    <cellStyle name="Vírgula 3 4 3 9" xfId="2271" xr:uid="{00000000-0005-0000-0000-000071270000}"/>
    <cellStyle name="Vírgula 3 4 3 9 2" xfId="8787" xr:uid="{00000000-0005-0000-0000-000072270000}"/>
    <cellStyle name="Vírgula 3 4 4" xfId="67" xr:uid="{00000000-0005-0000-0000-000073270000}"/>
    <cellStyle name="Vírgula 3 4 4 10" xfId="6594" xr:uid="{00000000-0005-0000-0000-000074270000}"/>
    <cellStyle name="Vírgula 3 4 4 2" xfId="141" xr:uid="{00000000-0005-0000-0000-000075270000}"/>
    <cellStyle name="Vírgula 3 4 4 2 2" xfId="218" xr:uid="{00000000-0005-0000-0000-000076270000}"/>
    <cellStyle name="Vírgula 3 4 4 2 2 2" xfId="346" xr:uid="{00000000-0005-0000-0000-000077270000}"/>
    <cellStyle name="Vírgula 3 4 4 2 2 2 2" xfId="689" xr:uid="{00000000-0005-0000-0000-000078270000}"/>
    <cellStyle name="Vírgula 3 4 4 2 2 2 2 2" xfId="1213" xr:uid="{00000000-0005-0000-0000-000079270000}"/>
    <cellStyle name="Vírgula 3 4 4 2 2 2 2 2 2" xfId="2241" xr:uid="{00000000-0005-0000-0000-00007A270000}"/>
    <cellStyle name="Vírgula 3 4 4 2 2 2 2 2 2 2" xfId="4299" xr:uid="{00000000-0005-0000-0000-00007B270000}"/>
    <cellStyle name="Vírgula 3 4 4 2 2 2 2 2 2 2 2" xfId="10815" xr:uid="{00000000-0005-0000-0000-00007C270000}"/>
    <cellStyle name="Vírgula 3 4 4 2 2 2 2 2 2 3" xfId="6529" xr:uid="{00000000-0005-0000-0000-00007D270000}"/>
    <cellStyle name="Vírgula 3 4 4 2 2 2 2 2 2 3 2" xfId="13043" xr:uid="{00000000-0005-0000-0000-00007E270000}"/>
    <cellStyle name="Vírgula 3 4 4 2 2 2 2 2 2 4" xfId="8759" xr:uid="{00000000-0005-0000-0000-00007F270000}"/>
    <cellStyle name="Vírgula 3 4 4 2 2 2 2 2 3" xfId="3271" xr:uid="{00000000-0005-0000-0000-000080270000}"/>
    <cellStyle name="Vírgula 3 4 4 2 2 2 2 2 3 2" xfId="9787" xr:uid="{00000000-0005-0000-0000-000081270000}"/>
    <cellStyle name="Vírgula 3 4 4 2 2 2 2 2 4" xfId="5501" xr:uid="{00000000-0005-0000-0000-000082270000}"/>
    <cellStyle name="Vírgula 3 4 4 2 2 2 2 2 4 2" xfId="12015" xr:uid="{00000000-0005-0000-0000-000083270000}"/>
    <cellStyle name="Vírgula 3 4 4 2 2 2 2 2 5" xfId="7731" xr:uid="{00000000-0005-0000-0000-000084270000}"/>
    <cellStyle name="Vírgula 3 4 4 2 2 2 2 3" xfId="1727" xr:uid="{00000000-0005-0000-0000-000085270000}"/>
    <cellStyle name="Vírgula 3 4 4 2 2 2 2 3 2" xfId="3785" xr:uid="{00000000-0005-0000-0000-000086270000}"/>
    <cellStyle name="Vírgula 3 4 4 2 2 2 2 3 2 2" xfId="10301" xr:uid="{00000000-0005-0000-0000-000087270000}"/>
    <cellStyle name="Vírgula 3 4 4 2 2 2 2 3 3" xfId="6015" xr:uid="{00000000-0005-0000-0000-000088270000}"/>
    <cellStyle name="Vírgula 3 4 4 2 2 2 2 3 3 2" xfId="12529" xr:uid="{00000000-0005-0000-0000-000089270000}"/>
    <cellStyle name="Vírgula 3 4 4 2 2 2 2 3 4" xfId="8245" xr:uid="{00000000-0005-0000-0000-00008A270000}"/>
    <cellStyle name="Vírgula 3 4 4 2 2 2 2 4" xfId="2757" xr:uid="{00000000-0005-0000-0000-00008B270000}"/>
    <cellStyle name="Vírgula 3 4 4 2 2 2 2 4 2" xfId="9273" xr:uid="{00000000-0005-0000-0000-00008C270000}"/>
    <cellStyle name="Vírgula 3 4 4 2 2 2 2 5" xfId="4985" xr:uid="{00000000-0005-0000-0000-00008D270000}"/>
    <cellStyle name="Vírgula 3 4 4 2 2 2 2 5 2" xfId="11499" xr:uid="{00000000-0005-0000-0000-00008E270000}"/>
    <cellStyle name="Vírgula 3 4 4 2 2 2 2 6" xfId="7215" xr:uid="{00000000-0005-0000-0000-00008F270000}"/>
    <cellStyle name="Vírgula 3 4 4 2 2 2 3" xfId="957" xr:uid="{00000000-0005-0000-0000-000090270000}"/>
    <cellStyle name="Vírgula 3 4 4 2 2 2 3 2" xfId="1985" xr:uid="{00000000-0005-0000-0000-000091270000}"/>
    <cellStyle name="Vírgula 3 4 4 2 2 2 3 2 2" xfId="4043" xr:uid="{00000000-0005-0000-0000-000092270000}"/>
    <cellStyle name="Vírgula 3 4 4 2 2 2 3 2 2 2" xfId="10559" xr:uid="{00000000-0005-0000-0000-000093270000}"/>
    <cellStyle name="Vírgula 3 4 4 2 2 2 3 2 3" xfId="6273" xr:uid="{00000000-0005-0000-0000-000094270000}"/>
    <cellStyle name="Vírgula 3 4 4 2 2 2 3 2 3 2" xfId="12787" xr:uid="{00000000-0005-0000-0000-000095270000}"/>
    <cellStyle name="Vírgula 3 4 4 2 2 2 3 2 4" xfId="8503" xr:uid="{00000000-0005-0000-0000-000096270000}"/>
    <cellStyle name="Vírgula 3 4 4 2 2 2 3 3" xfId="3015" xr:uid="{00000000-0005-0000-0000-000097270000}"/>
    <cellStyle name="Vírgula 3 4 4 2 2 2 3 3 2" xfId="9531" xr:uid="{00000000-0005-0000-0000-000098270000}"/>
    <cellStyle name="Vírgula 3 4 4 2 2 2 3 4" xfId="5245" xr:uid="{00000000-0005-0000-0000-000099270000}"/>
    <cellStyle name="Vírgula 3 4 4 2 2 2 3 4 2" xfId="11759" xr:uid="{00000000-0005-0000-0000-00009A270000}"/>
    <cellStyle name="Vírgula 3 4 4 2 2 2 3 5" xfId="7475" xr:uid="{00000000-0005-0000-0000-00009B270000}"/>
    <cellStyle name="Vírgula 3 4 4 2 2 2 4" xfId="1471" xr:uid="{00000000-0005-0000-0000-00009C270000}"/>
    <cellStyle name="Vírgula 3 4 4 2 2 2 4 2" xfId="3529" xr:uid="{00000000-0005-0000-0000-00009D270000}"/>
    <cellStyle name="Vírgula 3 4 4 2 2 2 4 2 2" xfId="10045" xr:uid="{00000000-0005-0000-0000-00009E270000}"/>
    <cellStyle name="Vírgula 3 4 4 2 2 2 4 3" xfId="5759" xr:uid="{00000000-0005-0000-0000-00009F270000}"/>
    <cellStyle name="Vírgula 3 4 4 2 2 2 4 3 2" xfId="12273" xr:uid="{00000000-0005-0000-0000-0000A0270000}"/>
    <cellStyle name="Vírgula 3 4 4 2 2 2 4 4" xfId="7989" xr:uid="{00000000-0005-0000-0000-0000A1270000}"/>
    <cellStyle name="Vírgula 3 4 4 2 2 2 5" xfId="2501" xr:uid="{00000000-0005-0000-0000-0000A2270000}"/>
    <cellStyle name="Vírgula 3 4 4 2 2 2 5 2" xfId="9017" xr:uid="{00000000-0005-0000-0000-0000A3270000}"/>
    <cellStyle name="Vírgula 3 4 4 2 2 2 6" xfId="4643" xr:uid="{00000000-0005-0000-0000-0000A4270000}"/>
    <cellStyle name="Vírgula 3 4 4 2 2 2 6 2" xfId="11157" xr:uid="{00000000-0005-0000-0000-0000A5270000}"/>
    <cellStyle name="Vírgula 3 4 4 2 2 2 7" xfId="6873" xr:uid="{00000000-0005-0000-0000-0000A6270000}"/>
    <cellStyle name="Vírgula 3 4 4 2 2 3" xfId="561" xr:uid="{00000000-0005-0000-0000-0000A7270000}"/>
    <cellStyle name="Vírgula 3 4 4 2 2 3 2" xfId="1085" xr:uid="{00000000-0005-0000-0000-0000A8270000}"/>
    <cellStyle name="Vírgula 3 4 4 2 2 3 2 2" xfId="2113" xr:uid="{00000000-0005-0000-0000-0000A9270000}"/>
    <cellStyle name="Vírgula 3 4 4 2 2 3 2 2 2" xfId="4171" xr:uid="{00000000-0005-0000-0000-0000AA270000}"/>
    <cellStyle name="Vírgula 3 4 4 2 2 3 2 2 2 2" xfId="10687" xr:uid="{00000000-0005-0000-0000-0000AB270000}"/>
    <cellStyle name="Vírgula 3 4 4 2 2 3 2 2 3" xfId="6401" xr:uid="{00000000-0005-0000-0000-0000AC270000}"/>
    <cellStyle name="Vírgula 3 4 4 2 2 3 2 2 3 2" xfId="12915" xr:uid="{00000000-0005-0000-0000-0000AD270000}"/>
    <cellStyle name="Vírgula 3 4 4 2 2 3 2 2 4" xfId="8631" xr:uid="{00000000-0005-0000-0000-0000AE270000}"/>
    <cellStyle name="Vírgula 3 4 4 2 2 3 2 3" xfId="3143" xr:uid="{00000000-0005-0000-0000-0000AF270000}"/>
    <cellStyle name="Vírgula 3 4 4 2 2 3 2 3 2" xfId="9659" xr:uid="{00000000-0005-0000-0000-0000B0270000}"/>
    <cellStyle name="Vírgula 3 4 4 2 2 3 2 4" xfId="5373" xr:uid="{00000000-0005-0000-0000-0000B1270000}"/>
    <cellStyle name="Vírgula 3 4 4 2 2 3 2 4 2" xfId="11887" xr:uid="{00000000-0005-0000-0000-0000B2270000}"/>
    <cellStyle name="Vírgula 3 4 4 2 2 3 2 5" xfId="7603" xr:uid="{00000000-0005-0000-0000-0000B3270000}"/>
    <cellStyle name="Vírgula 3 4 4 2 2 3 3" xfId="1599" xr:uid="{00000000-0005-0000-0000-0000B4270000}"/>
    <cellStyle name="Vírgula 3 4 4 2 2 3 3 2" xfId="3657" xr:uid="{00000000-0005-0000-0000-0000B5270000}"/>
    <cellStyle name="Vírgula 3 4 4 2 2 3 3 2 2" xfId="10173" xr:uid="{00000000-0005-0000-0000-0000B6270000}"/>
    <cellStyle name="Vírgula 3 4 4 2 2 3 3 3" xfId="5887" xr:uid="{00000000-0005-0000-0000-0000B7270000}"/>
    <cellStyle name="Vírgula 3 4 4 2 2 3 3 3 2" xfId="12401" xr:uid="{00000000-0005-0000-0000-0000B8270000}"/>
    <cellStyle name="Vírgula 3 4 4 2 2 3 3 4" xfId="8117" xr:uid="{00000000-0005-0000-0000-0000B9270000}"/>
    <cellStyle name="Vírgula 3 4 4 2 2 3 4" xfId="2629" xr:uid="{00000000-0005-0000-0000-0000BA270000}"/>
    <cellStyle name="Vírgula 3 4 4 2 2 3 4 2" xfId="9145" xr:uid="{00000000-0005-0000-0000-0000BB270000}"/>
    <cellStyle name="Vírgula 3 4 4 2 2 3 5" xfId="4857" xr:uid="{00000000-0005-0000-0000-0000BC270000}"/>
    <cellStyle name="Vírgula 3 4 4 2 2 3 5 2" xfId="11371" xr:uid="{00000000-0005-0000-0000-0000BD270000}"/>
    <cellStyle name="Vírgula 3 4 4 2 2 3 6" xfId="7087" xr:uid="{00000000-0005-0000-0000-0000BE270000}"/>
    <cellStyle name="Vírgula 3 4 4 2 2 4" xfId="829" xr:uid="{00000000-0005-0000-0000-0000BF270000}"/>
    <cellStyle name="Vírgula 3 4 4 2 2 4 2" xfId="1857" xr:uid="{00000000-0005-0000-0000-0000C0270000}"/>
    <cellStyle name="Vírgula 3 4 4 2 2 4 2 2" xfId="3915" xr:uid="{00000000-0005-0000-0000-0000C1270000}"/>
    <cellStyle name="Vírgula 3 4 4 2 2 4 2 2 2" xfId="10431" xr:uid="{00000000-0005-0000-0000-0000C2270000}"/>
    <cellStyle name="Vírgula 3 4 4 2 2 4 2 3" xfId="6145" xr:uid="{00000000-0005-0000-0000-0000C3270000}"/>
    <cellStyle name="Vírgula 3 4 4 2 2 4 2 3 2" xfId="12659" xr:uid="{00000000-0005-0000-0000-0000C4270000}"/>
    <cellStyle name="Vírgula 3 4 4 2 2 4 2 4" xfId="8375" xr:uid="{00000000-0005-0000-0000-0000C5270000}"/>
    <cellStyle name="Vírgula 3 4 4 2 2 4 3" xfId="2887" xr:uid="{00000000-0005-0000-0000-0000C6270000}"/>
    <cellStyle name="Vírgula 3 4 4 2 2 4 3 2" xfId="9403" xr:uid="{00000000-0005-0000-0000-0000C7270000}"/>
    <cellStyle name="Vírgula 3 4 4 2 2 4 4" xfId="5117" xr:uid="{00000000-0005-0000-0000-0000C8270000}"/>
    <cellStyle name="Vírgula 3 4 4 2 2 4 4 2" xfId="11631" xr:uid="{00000000-0005-0000-0000-0000C9270000}"/>
    <cellStyle name="Vírgula 3 4 4 2 2 4 5" xfId="7347" xr:uid="{00000000-0005-0000-0000-0000CA270000}"/>
    <cellStyle name="Vírgula 3 4 4 2 2 5" xfId="1343" xr:uid="{00000000-0005-0000-0000-0000CB270000}"/>
    <cellStyle name="Vírgula 3 4 4 2 2 5 2" xfId="3401" xr:uid="{00000000-0005-0000-0000-0000CC270000}"/>
    <cellStyle name="Vírgula 3 4 4 2 2 5 2 2" xfId="9917" xr:uid="{00000000-0005-0000-0000-0000CD270000}"/>
    <cellStyle name="Vírgula 3 4 4 2 2 5 3" xfId="5631" xr:uid="{00000000-0005-0000-0000-0000CE270000}"/>
    <cellStyle name="Vírgula 3 4 4 2 2 5 3 2" xfId="12145" xr:uid="{00000000-0005-0000-0000-0000CF270000}"/>
    <cellStyle name="Vírgula 3 4 4 2 2 5 4" xfId="7861" xr:uid="{00000000-0005-0000-0000-0000D0270000}"/>
    <cellStyle name="Vírgula 3 4 4 2 2 6" xfId="2373" xr:uid="{00000000-0005-0000-0000-0000D1270000}"/>
    <cellStyle name="Vírgula 3 4 4 2 2 6 2" xfId="8889" xr:uid="{00000000-0005-0000-0000-0000D2270000}"/>
    <cellStyle name="Vírgula 3 4 4 2 2 7" xfId="4515" xr:uid="{00000000-0005-0000-0000-0000D3270000}"/>
    <cellStyle name="Vírgula 3 4 4 2 2 7 2" xfId="11029" xr:uid="{00000000-0005-0000-0000-0000D4270000}"/>
    <cellStyle name="Vírgula 3 4 4 2 2 8" xfId="6745" xr:uid="{00000000-0005-0000-0000-0000D5270000}"/>
    <cellStyle name="Vírgula 3 4 4 2 3" xfId="282" xr:uid="{00000000-0005-0000-0000-0000D6270000}"/>
    <cellStyle name="Vírgula 3 4 4 2 3 2" xfId="625" xr:uid="{00000000-0005-0000-0000-0000D7270000}"/>
    <cellStyle name="Vírgula 3 4 4 2 3 2 2" xfId="1149" xr:uid="{00000000-0005-0000-0000-0000D8270000}"/>
    <cellStyle name="Vírgula 3 4 4 2 3 2 2 2" xfId="2177" xr:uid="{00000000-0005-0000-0000-0000D9270000}"/>
    <cellStyle name="Vírgula 3 4 4 2 3 2 2 2 2" xfId="4235" xr:uid="{00000000-0005-0000-0000-0000DA270000}"/>
    <cellStyle name="Vírgula 3 4 4 2 3 2 2 2 2 2" xfId="10751" xr:uid="{00000000-0005-0000-0000-0000DB270000}"/>
    <cellStyle name="Vírgula 3 4 4 2 3 2 2 2 3" xfId="6465" xr:uid="{00000000-0005-0000-0000-0000DC270000}"/>
    <cellStyle name="Vírgula 3 4 4 2 3 2 2 2 3 2" xfId="12979" xr:uid="{00000000-0005-0000-0000-0000DD270000}"/>
    <cellStyle name="Vírgula 3 4 4 2 3 2 2 2 4" xfId="8695" xr:uid="{00000000-0005-0000-0000-0000DE270000}"/>
    <cellStyle name="Vírgula 3 4 4 2 3 2 2 3" xfId="3207" xr:uid="{00000000-0005-0000-0000-0000DF270000}"/>
    <cellStyle name="Vírgula 3 4 4 2 3 2 2 3 2" xfId="9723" xr:uid="{00000000-0005-0000-0000-0000E0270000}"/>
    <cellStyle name="Vírgula 3 4 4 2 3 2 2 4" xfId="5437" xr:uid="{00000000-0005-0000-0000-0000E1270000}"/>
    <cellStyle name="Vírgula 3 4 4 2 3 2 2 4 2" xfId="11951" xr:uid="{00000000-0005-0000-0000-0000E2270000}"/>
    <cellStyle name="Vírgula 3 4 4 2 3 2 2 5" xfId="7667" xr:uid="{00000000-0005-0000-0000-0000E3270000}"/>
    <cellStyle name="Vírgula 3 4 4 2 3 2 3" xfId="1663" xr:uid="{00000000-0005-0000-0000-0000E4270000}"/>
    <cellStyle name="Vírgula 3 4 4 2 3 2 3 2" xfId="3721" xr:uid="{00000000-0005-0000-0000-0000E5270000}"/>
    <cellStyle name="Vírgula 3 4 4 2 3 2 3 2 2" xfId="10237" xr:uid="{00000000-0005-0000-0000-0000E6270000}"/>
    <cellStyle name="Vírgula 3 4 4 2 3 2 3 3" xfId="5951" xr:uid="{00000000-0005-0000-0000-0000E7270000}"/>
    <cellStyle name="Vírgula 3 4 4 2 3 2 3 3 2" xfId="12465" xr:uid="{00000000-0005-0000-0000-0000E8270000}"/>
    <cellStyle name="Vírgula 3 4 4 2 3 2 3 4" xfId="8181" xr:uid="{00000000-0005-0000-0000-0000E9270000}"/>
    <cellStyle name="Vírgula 3 4 4 2 3 2 4" xfId="2693" xr:uid="{00000000-0005-0000-0000-0000EA270000}"/>
    <cellStyle name="Vírgula 3 4 4 2 3 2 4 2" xfId="9209" xr:uid="{00000000-0005-0000-0000-0000EB270000}"/>
    <cellStyle name="Vírgula 3 4 4 2 3 2 5" xfId="4921" xr:uid="{00000000-0005-0000-0000-0000EC270000}"/>
    <cellStyle name="Vírgula 3 4 4 2 3 2 5 2" xfId="11435" xr:uid="{00000000-0005-0000-0000-0000ED270000}"/>
    <cellStyle name="Vírgula 3 4 4 2 3 2 6" xfId="7151" xr:uid="{00000000-0005-0000-0000-0000EE270000}"/>
    <cellStyle name="Vírgula 3 4 4 2 3 3" xfId="893" xr:uid="{00000000-0005-0000-0000-0000EF270000}"/>
    <cellStyle name="Vírgula 3 4 4 2 3 3 2" xfId="1921" xr:uid="{00000000-0005-0000-0000-0000F0270000}"/>
    <cellStyle name="Vírgula 3 4 4 2 3 3 2 2" xfId="3979" xr:uid="{00000000-0005-0000-0000-0000F1270000}"/>
    <cellStyle name="Vírgula 3 4 4 2 3 3 2 2 2" xfId="10495" xr:uid="{00000000-0005-0000-0000-0000F2270000}"/>
    <cellStyle name="Vírgula 3 4 4 2 3 3 2 3" xfId="6209" xr:uid="{00000000-0005-0000-0000-0000F3270000}"/>
    <cellStyle name="Vírgula 3 4 4 2 3 3 2 3 2" xfId="12723" xr:uid="{00000000-0005-0000-0000-0000F4270000}"/>
    <cellStyle name="Vírgula 3 4 4 2 3 3 2 4" xfId="8439" xr:uid="{00000000-0005-0000-0000-0000F5270000}"/>
    <cellStyle name="Vírgula 3 4 4 2 3 3 3" xfId="2951" xr:uid="{00000000-0005-0000-0000-0000F6270000}"/>
    <cellStyle name="Vírgula 3 4 4 2 3 3 3 2" xfId="9467" xr:uid="{00000000-0005-0000-0000-0000F7270000}"/>
    <cellStyle name="Vírgula 3 4 4 2 3 3 4" xfId="5181" xr:uid="{00000000-0005-0000-0000-0000F8270000}"/>
    <cellStyle name="Vírgula 3 4 4 2 3 3 4 2" xfId="11695" xr:uid="{00000000-0005-0000-0000-0000F9270000}"/>
    <cellStyle name="Vírgula 3 4 4 2 3 3 5" xfId="7411" xr:uid="{00000000-0005-0000-0000-0000FA270000}"/>
    <cellStyle name="Vírgula 3 4 4 2 3 4" xfId="1407" xr:uid="{00000000-0005-0000-0000-0000FB270000}"/>
    <cellStyle name="Vírgula 3 4 4 2 3 4 2" xfId="3465" xr:uid="{00000000-0005-0000-0000-0000FC270000}"/>
    <cellStyle name="Vírgula 3 4 4 2 3 4 2 2" xfId="9981" xr:uid="{00000000-0005-0000-0000-0000FD270000}"/>
    <cellStyle name="Vírgula 3 4 4 2 3 4 3" xfId="5695" xr:uid="{00000000-0005-0000-0000-0000FE270000}"/>
    <cellStyle name="Vírgula 3 4 4 2 3 4 3 2" xfId="12209" xr:uid="{00000000-0005-0000-0000-0000FF270000}"/>
    <cellStyle name="Vírgula 3 4 4 2 3 4 4" xfId="7925" xr:uid="{00000000-0005-0000-0000-000000280000}"/>
    <cellStyle name="Vírgula 3 4 4 2 3 5" xfId="2437" xr:uid="{00000000-0005-0000-0000-000001280000}"/>
    <cellStyle name="Vírgula 3 4 4 2 3 5 2" xfId="8953" xr:uid="{00000000-0005-0000-0000-000002280000}"/>
    <cellStyle name="Vírgula 3 4 4 2 3 6" xfId="4579" xr:uid="{00000000-0005-0000-0000-000003280000}"/>
    <cellStyle name="Vírgula 3 4 4 2 3 6 2" xfId="11093" xr:uid="{00000000-0005-0000-0000-000004280000}"/>
    <cellStyle name="Vírgula 3 4 4 2 3 7" xfId="6809" xr:uid="{00000000-0005-0000-0000-000005280000}"/>
    <cellStyle name="Vírgula 3 4 4 2 4" xfId="484" xr:uid="{00000000-0005-0000-0000-000006280000}"/>
    <cellStyle name="Vírgula 3 4 4 2 4 2" xfId="1021" xr:uid="{00000000-0005-0000-0000-000007280000}"/>
    <cellStyle name="Vírgula 3 4 4 2 4 2 2" xfId="2049" xr:uid="{00000000-0005-0000-0000-000008280000}"/>
    <cellStyle name="Vírgula 3 4 4 2 4 2 2 2" xfId="4107" xr:uid="{00000000-0005-0000-0000-000009280000}"/>
    <cellStyle name="Vírgula 3 4 4 2 4 2 2 2 2" xfId="10623" xr:uid="{00000000-0005-0000-0000-00000A280000}"/>
    <cellStyle name="Vírgula 3 4 4 2 4 2 2 3" xfId="6337" xr:uid="{00000000-0005-0000-0000-00000B280000}"/>
    <cellStyle name="Vírgula 3 4 4 2 4 2 2 3 2" xfId="12851" xr:uid="{00000000-0005-0000-0000-00000C280000}"/>
    <cellStyle name="Vírgula 3 4 4 2 4 2 2 4" xfId="8567" xr:uid="{00000000-0005-0000-0000-00000D280000}"/>
    <cellStyle name="Vírgula 3 4 4 2 4 2 3" xfId="3079" xr:uid="{00000000-0005-0000-0000-00000E280000}"/>
    <cellStyle name="Vírgula 3 4 4 2 4 2 3 2" xfId="9595" xr:uid="{00000000-0005-0000-0000-00000F280000}"/>
    <cellStyle name="Vírgula 3 4 4 2 4 2 4" xfId="5309" xr:uid="{00000000-0005-0000-0000-000010280000}"/>
    <cellStyle name="Vírgula 3 4 4 2 4 2 4 2" xfId="11823" xr:uid="{00000000-0005-0000-0000-000011280000}"/>
    <cellStyle name="Vírgula 3 4 4 2 4 2 5" xfId="7539" xr:uid="{00000000-0005-0000-0000-000012280000}"/>
    <cellStyle name="Vírgula 3 4 4 2 4 3" xfId="1535" xr:uid="{00000000-0005-0000-0000-000013280000}"/>
    <cellStyle name="Vírgula 3 4 4 2 4 3 2" xfId="3593" xr:uid="{00000000-0005-0000-0000-000014280000}"/>
    <cellStyle name="Vírgula 3 4 4 2 4 3 2 2" xfId="10109" xr:uid="{00000000-0005-0000-0000-000015280000}"/>
    <cellStyle name="Vírgula 3 4 4 2 4 3 3" xfId="5823" xr:uid="{00000000-0005-0000-0000-000016280000}"/>
    <cellStyle name="Vírgula 3 4 4 2 4 3 3 2" xfId="12337" xr:uid="{00000000-0005-0000-0000-000017280000}"/>
    <cellStyle name="Vírgula 3 4 4 2 4 3 4" xfId="8053" xr:uid="{00000000-0005-0000-0000-000018280000}"/>
    <cellStyle name="Vírgula 3 4 4 2 4 4" xfId="2565" xr:uid="{00000000-0005-0000-0000-000019280000}"/>
    <cellStyle name="Vírgula 3 4 4 2 4 4 2" xfId="9081" xr:uid="{00000000-0005-0000-0000-00001A280000}"/>
    <cellStyle name="Vírgula 3 4 4 2 4 5" xfId="4780" xr:uid="{00000000-0005-0000-0000-00001B280000}"/>
    <cellStyle name="Vírgula 3 4 4 2 4 5 2" xfId="11294" xr:uid="{00000000-0005-0000-0000-00001C280000}"/>
    <cellStyle name="Vírgula 3 4 4 2 4 6" xfId="7010" xr:uid="{00000000-0005-0000-0000-00001D280000}"/>
    <cellStyle name="Vírgula 3 4 4 2 5" xfId="765" xr:uid="{00000000-0005-0000-0000-00001E280000}"/>
    <cellStyle name="Vírgula 3 4 4 2 5 2" xfId="1793" xr:uid="{00000000-0005-0000-0000-00001F280000}"/>
    <cellStyle name="Vírgula 3 4 4 2 5 2 2" xfId="3851" xr:uid="{00000000-0005-0000-0000-000020280000}"/>
    <cellStyle name="Vírgula 3 4 4 2 5 2 2 2" xfId="10367" xr:uid="{00000000-0005-0000-0000-000021280000}"/>
    <cellStyle name="Vírgula 3 4 4 2 5 2 3" xfId="6081" xr:uid="{00000000-0005-0000-0000-000022280000}"/>
    <cellStyle name="Vírgula 3 4 4 2 5 2 3 2" xfId="12595" xr:uid="{00000000-0005-0000-0000-000023280000}"/>
    <cellStyle name="Vírgula 3 4 4 2 5 2 4" xfId="8311" xr:uid="{00000000-0005-0000-0000-000024280000}"/>
    <cellStyle name="Vírgula 3 4 4 2 5 3" xfId="2823" xr:uid="{00000000-0005-0000-0000-000025280000}"/>
    <cellStyle name="Vírgula 3 4 4 2 5 3 2" xfId="9339" xr:uid="{00000000-0005-0000-0000-000026280000}"/>
    <cellStyle name="Vírgula 3 4 4 2 5 4" xfId="5053" xr:uid="{00000000-0005-0000-0000-000027280000}"/>
    <cellStyle name="Vírgula 3 4 4 2 5 4 2" xfId="11567" xr:uid="{00000000-0005-0000-0000-000028280000}"/>
    <cellStyle name="Vírgula 3 4 4 2 5 5" xfId="7283" xr:uid="{00000000-0005-0000-0000-000029280000}"/>
    <cellStyle name="Vírgula 3 4 4 2 6" xfId="1279" xr:uid="{00000000-0005-0000-0000-00002A280000}"/>
    <cellStyle name="Vírgula 3 4 4 2 6 2" xfId="3337" xr:uid="{00000000-0005-0000-0000-00002B280000}"/>
    <cellStyle name="Vírgula 3 4 4 2 6 2 2" xfId="9853" xr:uid="{00000000-0005-0000-0000-00002C280000}"/>
    <cellStyle name="Vírgula 3 4 4 2 6 3" xfId="5567" xr:uid="{00000000-0005-0000-0000-00002D280000}"/>
    <cellStyle name="Vírgula 3 4 4 2 6 3 2" xfId="12081" xr:uid="{00000000-0005-0000-0000-00002E280000}"/>
    <cellStyle name="Vírgula 3 4 4 2 6 4" xfId="7797" xr:uid="{00000000-0005-0000-0000-00002F280000}"/>
    <cellStyle name="Vírgula 3 4 4 2 7" xfId="2309" xr:uid="{00000000-0005-0000-0000-000030280000}"/>
    <cellStyle name="Vírgula 3 4 4 2 7 2" xfId="8825" xr:uid="{00000000-0005-0000-0000-000031280000}"/>
    <cellStyle name="Vírgula 3 4 4 2 8" xfId="4438" xr:uid="{00000000-0005-0000-0000-000032280000}"/>
    <cellStyle name="Vírgula 3 4 4 2 8 2" xfId="10952" xr:uid="{00000000-0005-0000-0000-000033280000}"/>
    <cellStyle name="Vírgula 3 4 4 2 9" xfId="6668" xr:uid="{00000000-0005-0000-0000-000034280000}"/>
    <cellStyle name="Vírgula 3 4 4 3" xfId="186" xr:uid="{00000000-0005-0000-0000-000035280000}"/>
    <cellStyle name="Vírgula 3 4 4 3 2" xfId="314" xr:uid="{00000000-0005-0000-0000-000036280000}"/>
    <cellStyle name="Vírgula 3 4 4 3 2 2" xfId="657" xr:uid="{00000000-0005-0000-0000-000037280000}"/>
    <cellStyle name="Vírgula 3 4 4 3 2 2 2" xfId="1181" xr:uid="{00000000-0005-0000-0000-000038280000}"/>
    <cellStyle name="Vírgula 3 4 4 3 2 2 2 2" xfId="2209" xr:uid="{00000000-0005-0000-0000-000039280000}"/>
    <cellStyle name="Vírgula 3 4 4 3 2 2 2 2 2" xfId="4267" xr:uid="{00000000-0005-0000-0000-00003A280000}"/>
    <cellStyle name="Vírgula 3 4 4 3 2 2 2 2 2 2" xfId="10783" xr:uid="{00000000-0005-0000-0000-00003B280000}"/>
    <cellStyle name="Vírgula 3 4 4 3 2 2 2 2 3" xfId="6497" xr:uid="{00000000-0005-0000-0000-00003C280000}"/>
    <cellStyle name="Vírgula 3 4 4 3 2 2 2 2 3 2" xfId="13011" xr:uid="{00000000-0005-0000-0000-00003D280000}"/>
    <cellStyle name="Vírgula 3 4 4 3 2 2 2 2 4" xfId="8727" xr:uid="{00000000-0005-0000-0000-00003E280000}"/>
    <cellStyle name="Vírgula 3 4 4 3 2 2 2 3" xfId="3239" xr:uid="{00000000-0005-0000-0000-00003F280000}"/>
    <cellStyle name="Vírgula 3 4 4 3 2 2 2 3 2" xfId="9755" xr:uid="{00000000-0005-0000-0000-000040280000}"/>
    <cellStyle name="Vírgula 3 4 4 3 2 2 2 4" xfId="5469" xr:uid="{00000000-0005-0000-0000-000041280000}"/>
    <cellStyle name="Vírgula 3 4 4 3 2 2 2 4 2" xfId="11983" xr:uid="{00000000-0005-0000-0000-000042280000}"/>
    <cellStyle name="Vírgula 3 4 4 3 2 2 2 5" xfId="7699" xr:uid="{00000000-0005-0000-0000-000043280000}"/>
    <cellStyle name="Vírgula 3 4 4 3 2 2 3" xfId="1695" xr:uid="{00000000-0005-0000-0000-000044280000}"/>
    <cellStyle name="Vírgula 3 4 4 3 2 2 3 2" xfId="3753" xr:uid="{00000000-0005-0000-0000-000045280000}"/>
    <cellStyle name="Vírgula 3 4 4 3 2 2 3 2 2" xfId="10269" xr:uid="{00000000-0005-0000-0000-000046280000}"/>
    <cellStyle name="Vírgula 3 4 4 3 2 2 3 3" xfId="5983" xr:uid="{00000000-0005-0000-0000-000047280000}"/>
    <cellStyle name="Vírgula 3 4 4 3 2 2 3 3 2" xfId="12497" xr:uid="{00000000-0005-0000-0000-000048280000}"/>
    <cellStyle name="Vírgula 3 4 4 3 2 2 3 4" xfId="8213" xr:uid="{00000000-0005-0000-0000-000049280000}"/>
    <cellStyle name="Vírgula 3 4 4 3 2 2 4" xfId="2725" xr:uid="{00000000-0005-0000-0000-00004A280000}"/>
    <cellStyle name="Vírgula 3 4 4 3 2 2 4 2" xfId="9241" xr:uid="{00000000-0005-0000-0000-00004B280000}"/>
    <cellStyle name="Vírgula 3 4 4 3 2 2 5" xfId="4953" xr:uid="{00000000-0005-0000-0000-00004C280000}"/>
    <cellStyle name="Vírgula 3 4 4 3 2 2 5 2" xfId="11467" xr:uid="{00000000-0005-0000-0000-00004D280000}"/>
    <cellStyle name="Vírgula 3 4 4 3 2 2 6" xfId="7183" xr:uid="{00000000-0005-0000-0000-00004E280000}"/>
    <cellStyle name="Vírgula 3 4 4 3 2 3" xfId="925" xr:uid="{00000000-0005-0000-0000-00004F280000}"/>
    <cellStyle name="Vírgula 3 4 4 3 2 3 2" xfId="1953" xr:uid="{00000000-0005-0000-0000-000050280000}"/>
    <cellStyle name="Vírgula 3 4 4 3 2 3 2 2" xfId="4011" xr:uid="{00000000-0005-0000-0000-000051280000}"/>
    <cellStyle name="Vírgula 3 4 4 3 2 3 2 2 2" xfId="10527" xr:uid="{00000000-0005-0000-0000-000052280000}"/>
    <cellStyle name="Vírgula 3 4 4 3 2 3 2 3" xfId="6241" xr:uid="{00000000-0005-0000-0000-000053280000}"/>
    <cellStyle name="Vírgula 3 4 4 3 2 3 2 3 2" xfId="12755" xr:uid="{00000000-0005-0000-0000-000054280000}"/>
    <cellStyle name="Vírgula 3 4 4 3 2 3 2 4" xfId="8471" xr:uid="{00000000-0005-0000-0000-000055280000}"/>
    <cellStyle name="Vírgula 3 4 4 3 2 3 3" xfId="2983" xr:uid="{00000000-0005-0000-0000-000056280000}"/>
    <cellStyle name="Vírgula 3 4 4 3 2 3 3 2" xfId="9499" xr:uid="{00000000-0005-0000-0000-000057280000}"/>
    <cellStyle name="Vírgula 3 4 4 3 2 3 4" xfId="5213" xr:uid="{00000000-0005-0000-0000-000058280000}"/>
    <cellStyle name="Vírgula 3 4 4 3 2 3 4 2" xfId="11727" xr:uid="{00000000-0005-0000-0000-000059280000}"/>
    <cellStyle name="Vírgula 3 4 4 3 2 3 5" xfId="7443" xr:uid="{00000000-0005-0000-0000-00005A280000}"/>
    <cellStyle name="Vírgula 3 4 4 3 2 4" xfId="1439" xr:uid="{00000000-0005-0000-0000-00005B280000}"/>
    <cellStyle name="Vírgula 3 4 4 3 2 4 2" xfId="3497" xr:uid="{00000000-0005-0000-0000-00005C280000}"/>
    <cellStyle name="Vírgula 3 4 4 3 2 4 2 2" xfId="10013" xr:uid="{00000000-0005-0000-0000-00005D280000}"/>
    <cellStyle name="Vírgula 3 4 4 3 2 4 3" xfId="5727" xr:uid="{00000000-0005-0000-0000-00005E280000}"/>
    <cellStyle name="Vírgula 3 4 4 3 2 4 3 2" xfId="12241" xr:uid="{00000000-0005-0000-0000-00005F280000}"/>
    <cellStyle name="Vírgula 3 4 4 3 2 4 4" xfId="7957" xr:uid="{00000000-0005-0000-0000-000060280000}"/>
    <cellStyle name="Vírgula 3 4 4 3 2 5" xfId="2469" xr:uid="{00000000-0005-0000-0000-000061280000}"/>
    <cellStyle name="Vírgula 3 4 4 3 2 5 2" xfId="8985" xr:uid="{00000000-0005-0000-0000-000062280000}"/>
    <cellStyle name="Vírgula 3 4 4 3 2 6" xfId="4611" xr:uid="{00000000-0005-0000-0000-000063280000}"/>
    <cellStyle name="Vírgula 3 4 4 3 2 6 2" xfId="11125" xr:uid="{00000000-0005-0000-0000-000064280000}"/>
    <cellStyle name="Vírgula 3 4 4 3 2 7" xfId="6841" xr:uid="{00000000-0005-0000-0000-000065280000}"/>
    <cellStyle name="Vírgula 3 4 4 3 3" xfId="529" xr:uid="{00000000-0005-0000-0000-000066280000}"/>
    <cellStyle name="Vírgula 3 4 4 3 3 2" xfId="1053" xr:uid="{00000000-0005-0000-0000-000067280000}"/>
    <cellStyle name="Vírgula 3 4 4 3 3 2 2" xfId="2081" xr:uid="{00000000-0005-0000-0000-000068280000}"/>
    <cellStyle name="Vírgula 3 4 4 3 3 2 2 2" xfId="4139" xr:uid="{00000000-0005-0000-0000-000069280000}"/>
    <cellStyle name="Vírgula 3 4 4 3 3 2 2 2 2" xfId="10655" xr:uid="{00000000-0005-0000-0000-00006A280000}"/>
    <cellStyle name="Vírgula 3 4 4 3 3 2 2 3" xfId="6369" xr:uid="{00000000-0005-0000-0000-00006B280000}"/>
    <cellStyle name="Vírgula 3 4 4 3 3 2 2 3 2" xfId="12883" xr:uid="{00000000-0005-0000-0000-00006C280000}"/>
    <cellStyle name="Vírgula 3 4 4 3 3 2 2 4" xfId="8599" xr:uid="{00000000-0005-0000-0000-00006D280000}"/>
    <cellStyle name="Vírgula 3 4 4 3 3 2 3" xfId="3111" xr:uid="{00000000-0005-0000-0000-00006E280000}"/>
    <cellStyle name="Vírgula 3 4 4 3 3 2 3 2" xfId="9627" xr:uid="{00000000-0005-0000-0000-00006F280000}"/>
    <cellStyle name="Vírgula 3 4 4 3 3 2 4" xfId="5341" xr:uid="{00000000-0005-0000-0000-000070280000}"/>
    <cellStyle name="Vírgula 3 4 4 3 3 2 4 2" xfId="11855" xr:uid="{00000000-0005-0000-0000-000071280000}"/>
    <cellStyle name="Vírgula 3 4 4 3 3 2 5" xfId="7571" xr:uid="{00000000-0005-0000-0000-000072280000}"/>
    <cellStyle name="Vírgula 3 4 4 3 3 3" xfId="1567" xr:uid="{00000000-0005-0000-0000-000073280000}"/>
    <cellStyle name="Vírgula 3 4 4 3 3 3 2" xfId="3625" xr:uid="{00000000-0005-0000-0000-000074280000}"/>
    <cellStyle name="Vírgula 3 4 4 3 3 3 2 2" xfId="10141" xr:uid="{00000000-0005-0000-0000-000075280000}"/>
    <cellStyle name="Vírgula 3 4 4 3 3 3 3" xfId="5855" xr:uid="{00000000-0005-0000-0000-000076280000}"/>
    <cellStyle name="Vírgula 3 4 4 3 3 3 3 2" xfId="12369" xr:uid="{00000000-0005-0000-0000-000077280000}"/>
    <cellStyle name="Vírgula 3 4 4 3 3 3 4" xfId="8085" xr:uid="{00000000-0005-0000-0000-000078280000}"/>
    <cellStyle name="Vírgula 3 4 4 3 3 4" xfId="2597" xr:uid="{00000000-0005-0000-0000-000079280000}"/>
    <cellStyle name="Vírgula 3 4 4 3 3 4 2" xfId="9113" xr:uid="{00000000-0005-0000-0000-00007A280000}"/>
    <cellStyle name="Vírgula 3 4 4 3 3 5" xfId="4825" xr:uid="{00000000-0005-0000-0000-00007B280000}"/>
    <cellStyle name="Vírgula 3 4 4 3 3 5 2" xfId="11339" xr:uid="{00000000-0005-0000-0000-00007C280000}"/>
    <cellStyle name="Vírgula 3 4 4 3 3 6" xfId="7055" xr:uid="{00000000-0005-0000-0000-00007D280000}"/>
    <cellStyle name="Vírgula 3 4 4 3 4" xfId="797" xr:uid="{00000000-0005-0000-0000-00007E280000}"/>
    <cellStyle name="Vírgula 3 4 4 3 4 2" xfId="1825" xr:uid="{00000000-0005-0000-0000-00007F280000}"/>
    <cellStyle name="Vírgula 3 4 4 3 4 2 2" xfId="3883" xr:uid="{00000000-0005-0000-0000-000080280000}"/>
    <cellStyle name="Vírgula 3 4 4 3 4 2 2 2" xfId="10399" xr:uid="{00000000-0005-0000-0000-000081280000}"/>
    <cellStyle name="Vírgula 3 4 4 3 4 2 3" xfId="6113" xr:uid="{00000000-0005-0000-0000-000082280000}"/>
    <cellStyle name="Vírgula 3 4 4 3 4 2 3 2" xfId="12627" xr:uid="{00000000-0005-0000-0000-000083280000}"/>
    <cellStyle name="Vírgula 3 4 4 3 4 2 4" xfId="8343" xr:uid="{00000000-0005-0000-0000-000084280000}"/>
    <cellStyle name="Vírgula 3 4 4 3 4 3" xfId="2855" xr:uid="{00000000-0005-0000-0000-000085280000}"/>
    <cellStyle name="Vírgula 3 4 4 3 4 3 2" xfId="9371" xr:uid="{00000000-0005-0000-0000-000086280000}"/>
    <cellStyle name="Vírgula 3 4 4 3 4 4" xfId="5085" xr:uid="{00000000-0005-0000-0000-000087280000}"/>
    <cellStyle name="Vírgula 3 4 4 3 4 4 2" xfId="11599" xr:uid="{00000000-0005-0000-0000-000088280000}"/>
    <cellStyle name="Vírgula 3 4 4 3 4 5" xfId="7315" xr:uid="{00000000-0005-0000-0000-000089280000}"/>
    <cellStyle name="Vírgula 3 4 4 3 5" xfId="1311" xr:uid="{00000000-0005-0000-0000-00008A280000}"/>
    <cellStyle name="Vírgula 3 4 4 3 5 2" xfId="3369" xr:uid="{00000000-0005-0000-0000-00008B280000}"/>
    <cellStyle name="Vírgula 3 4 4 3 5 2 2" xfId="9885" xr:uid="{00000000-0005-0000-0000-00008C280000}"/>
    <cellStyle name="Vírgula 3 4 4 3 5 3" xfId="5599" xr:uid="{00000000-0005-0000-0000-00008D280000}"/>
    <cellStyle name="Vírgula 3 4 4 3 5 3 2" xfId="12113" xr:uid="{00000000-0005-0000-0000-00008E280000}"/>
    <cellStyle name="Vírgula 3 4 4 3 5 4" xfId="7829" xr:uid="{00000000-0005-0000-0000-00008F280000}"/>
    <cellStyle name="Vírgula 3 4 4 3 6" xfId="2341" xr:uid="{00000000-0005-0000-0000-000090280000}"/>
    <cellStyle name="Vírgula 3 4 4 3 6 2" xfId="8857" xr:uid="{00000000-0005-0000-0000-000091280000}"/>
    <cellStyle name="Vírgula 3 4 4 3 7" xfId="4483" xr:uid="{00000000-0005-0000-0000-000092280000}"/>
    <cellStyle name="Vírgula 3 4 4 3 7 2" xfId="10997" xr:uid="{00000000-0005-0000-0000-000093280000}"/>
    <cellStyle name="Vírgula 3 4 4 3 8" xfId="6713" xr:uid="{00000000-0005-0000-0000-000094280000}"/>
    <cellStyle name="Vírgula 3 4 4 4" xfId="250" xr:uid="{00000000-0005-0000-0000-000095280000}"/>
    <cellStyle name="Vírgula 3 4 4 4 2" xfId="593" xr:uid="{00000000-0005-0000-0000-000096280000}"/>
    <cellStyle name="Vírgula 3 4 4 4 2 2" xfId="1117" xr:uid="{00000000-0005-0000-0000-000097280000}"/>
    <cellStyle name="Vírgula 3 4 4 4 2 2 2" xfId="2145" xr:uid="{00000000-0005-0000-0000-000098280000}"/>
    <cellStyle name="Vírgula 3 4 4 4 2 2 2 2" xfId="4203" xr:uid="{00000000-0005-0000-0000-000099280000}"/>
    <cellStyle name="Vírgula 3 4 4 4 2 2 2 2 2" xfId="10719" xr:uid="{00000000-0005-0000-0000-00009A280000}"/>
    <cellStyle name="Vírgula 3 4 4 4 2 2 2 3" xfId="6433" xr:uid="{00000000-0005-0000-0000-00009B280000}"/>
    <cellStyle name="Vírgula 3 4 4 4 2 2 2 3 2" xfId="12947" xr:uid="{00000000-0005-0000-0000-00009C280000}"/>
    <cellStyle name="Vírgula 3 4 4 4 2 2 2 4" xfId="8663" xr:uid="{00000000-0005-0000-0000-00009D280000}"/>
    <cellStyle name="Vírgula 3 4 4 4 2 2 3" xfId="3175" xr:uid="{00000000-0005-0000-0000-00009E280000}"/>
    <cellStyle name="Vírgula 3 4 4 4 2 2 3 2" xfId="9691" xr:uid="{00000000-0005-0000-0000-00009F280000}"/>
    <cellStyle name="Vírgula 3 4 4 4 2 2 4" xfId="5405" xr:uid="{00000000-0005-0000-0000-0000A0280000}"/>
    <cellStyle name="Vírgula 3 4 4 4 2 2 4 2" xfId="11919" xr:uid="{00000000-0005-0000-0000-0000A1280000}"/>
    <cellStyle name="Vírgula 3 4 4 4 2 2 5" xfId="7635" xr:uid="{00000000-0005-0000-0000-0000A2280000}"/>
    <cellStyle name="Vírgula 3 4 4 4 2 3" xfId="1631" xr:uid="{00000000-0005-0000-0000-0000A3280000}"/>
    <cellStyle name="Vírgula 3 4 4 4 2 3 2" xfId="3689" xr:uid="{00000000-0005-0000-0000-0000A4280000}"/>
    <cellStyle name="Vírgula 3 4 4 4 2 3 2 2" xfId="10205" xr:uid="{00000000-0005-0000-0000-0000A5280000}"/>
    <cellStyle name="Vírgula 3 4 4 4 2 3 3" xfId="5919" xr:uid="{00000000-0005-0000-0000-0000A6280000}"/>
    <cellStyle name="Vírgula 3 4 4 4 2 3 3 2" xfId="12433" xr:uid="{00000000-0005-0000-0000-0000A7280000}"/>
    <cellStyle name="Vírgula 3 4 4 4 2 3 4" xfId="8149" xr:uid="{00000000-0005-0000-0000-0000A8280000}"/>
    <cellStyle name="Vírgula 3 4 4 4 2 4" xfId="2661" xr:uid="{00000000-0005-0000-0000-0000A9280000}"/>
    <cellStyle name="Vírgula 3 4 4 4 2 4 2" xfId="9177" xr:uid="{00000000-0005-0000-0000-0000AA280000}"/>
    <cellStyle name="Vírgula 3 4 4 4 2 5" xfId="4889" xr:uid="{00000000-0005-0000-0000-0000AB280000}"/>
    <cellStyle name="Vírgula 3 4 4 4 2 5 2" xfId="11403" xr:uid="{00000000-0005-0000-0000-0000AC280000}"/>
    <cellStyle name="Vírgula 3 4 4 4 2 6" xfId="7119" xr:uid="{00000000-0005-0000-0000-0000AD280000}"/>
    <cellStyle name="Vírgula 3 4 4 4 3" xfId="861" xr:uid="{00000000-0005-0000-0000-0000AE280000}"/>
    <cellStyle name="Vírgula 3 4 4 4 3 2" xfId="1889" xr:uid="{00000000-0005-0000-0000-0000AF280000}"/>
    <cellStyle name="Vírgula 3 4 4 4 3 2 2" xfId="3947" xr:uid="{00000000-0005-0000-0000-0000B0280000}"/>
    <cellStyle name="Vírgula 3 4 4 4 3 2 2 2" xfId="10463" xr:uid="{00000000-0005-0000-0000-0000B1280000}"/>
    <cellStyle name="Vírgula 3 4 4 4 3 2 3" xfId="6177" xr:uid="{00000000-0005-0000-0000-0000B2280000}"/>
    <cellStyle name="Vírgula 3 4 4 4 3 2 3 2" xfId="12691" xr:uid="{00000000-0005-0000-0000-0000B3280000}"/>
    <cellStyle name="Vírgula 3 4 4 4 3 2 4" xfId="8407" xr:uid="{00000000-0005-0000-0000-0000B4280000}"/>
    <cellStyle name="Vírgula 3 4 4 4 3 3" xfId="2919" xr:uid="{00000000-0005-0000-0000-0000B5280000}"/>
    <cellStyle name="Vírgula 3 4 4 4 3 3 2" xfId="9435" xr:uid="{00000000-0005-0000-0000-0000B6280000}"/>
    <cellStyle name="Vírgula 3 4 4 4 3 4" xfId="5149" xr:uid="{00000000-0005-0000-0000-0000B7280000}"/>
    <cellStyle name="Vírgula 3 4 4 4 3 4 2" xfId="11663" xr:uid="{00000000-0005-0000-0000-0000B8280000}"/>
    <cellStyle name="Vírgula 3 4 4 4 3 5" xfId="7379" xr:uid="{00000000-0005-0000-0000-0000B9280000}"/>
    <cellStyle name="Vírgula 3 4 4 4 4" xfId="1375" xr:uid="{00000000-0005-0000-0000-0000BA280000}"/>
    <cellStyle name="Vírgula 3 4 4 4 4 2" xfId="3433" xr:uid="{00000000-0005-0000-0000-0000BB280000}"/>
    <cellStyle name="Vírgula 3 4 4 4 4 2 2" xfId="9949" xr:uid="{00000000-0005-0000-0000-0000BC280000}"/>
    <cellStyle name="Vírgula 3 4 4 4 4 3" xfId="5663" xr:uid="{00000000-0005-0000-0000-0000BD280000}"/>
    <cellStyle name="Vírgula 3 4 4 4 4 3 2" xfId="12177" xr:uid="{00000000-0005-0000-0000-0000BE280000}"/>
    <cellStyle name="Vírgula 3 4 4 4 4 4" xfId="7893" xr:uid="{00000000-0005-0000-0000-0000BF280000}"/>
    <cellStyle name="Vírgula 3 4 4 4 5" xfId="2405" xr:uid="{00000000-0005-0000-0000-0000C0280000}"/>
    <cellStyle name="Vírgula 3 4 4 4 5 2" xfId="8921" xr:uid="{00000000-0005-0000-0000-0000C1280000}"/>
    <cellStyle name="Vírgula 3 4 4 4 6" xfId="4547" xr:uid="{00000000-0005-0000-0000-0000C2280000}"/>
    <cellStyle name="Vírgula 3 4 4 4 6 2" xfId="11061" xr:uid="{00000000-0005-0000-0000-0000C3280000}"/>
    <cellStyle name="Vírgula 3 4 4 4 7" xfId="6777" xr:uid="{00000000-0005-0000-0000-0000C4280000}"/>
    <cellStyle name="Vírgula 3 4 4 5" xfId="410" xr:uid="{00000000-0005-0000-0000-0000C5280000}"/>
    <cellStyle name="Vírgula 3 4 4 5 2" xfId="989" xr:uid="{00000000-0005-0000-0000-0000C6280000}"/>
    <cellStyle name="Vírgula 3 4 4 5 2 2" xfId="2017" xr:uid="{00000000-0005-0000-0000-0000C7280000}"/>
    <cellStyle name="Vírgula 3 4 4 5 2 2 2" xfId="4075" xr:uid="{00000000-0005-0000-0000-0000C8280000}"/>
    <cellStyle name="Vírgula 3 4 4 5 2 2 2 2" xfId="10591" xr:uid="{00000000-0005-0000-0000-0000C9280000}"/>
    <cellStyle name="Vírgula 3 4 4 5 2 2 3" xfId="6305" xr:uid="{00000000-0005-0000-0000-0000CA280000}"/>
    <cellStyle name="Vírgula 3 4 4 5 2 2 3 2" xfId="12819" xr:uid="{00000000-0005-0000-0000-0000CB280000}"/>
    <cellStyle name="Vírgula 3 4 4 5 2 2 4" xfId="8535" xr:uid="{00000000-0005-0000-0000-0000CC280000}"/>
    <cellStyle name="Vírgula 3 4 4 5 2 3" xfId="3047" xr:uid="{00000000-0005-0000-0000-0000CD280000}"/>
    <cellStyle name="Vírgula 3 4 4 5 2 3 2" xfId="9563" xr:uid="{00000000-0005-0000-0000-0000CE280000}"/>
    <cellStyle name="Vírgula 3 4 4 5 2 4" xfId="5277" xr:uid="{00000000-0005-0000-0000-0000CF280000}"/>
    <cellStyle name="Vírgula 3 4 4 5 2 4 2" xfId="11791" xr:uid="{00000000-0005-0000-0000-0000D0280000}"/>
    <cellStyle name="Vírgula 3 4 4 5 2 5" xfId="7507" xr:uid="{00000000-0005-0000-0000-0000D1280000}"/>
    <cellStyle name="Vírgula 3 4 4 5 3" xfId="1503" xr:uid="{00000000-0005-0000-0000-0000D2280000}"/>
    <cellStyle name="Vírgula 3 4 4 5 3 2" xfId="3561" xr:uid="{00000000-0005-0000-0000-0000D3280000}"/>
    <cellStyle name="Vírgula 3 4 4 5 3 2 2" xfId="10077" xr:uid="{00000000-0005-0000-0000-0000D4280000}"/>
    <cellStyle name="Vírgula 3 4 4 5 3 3" xfId="5791" xr:uid="{00000000-0005-0000-0000-0000D5280000}"/>
    <cellStyle name="Vírgula 3 4 4 5 3 3 2" xfId="12305" xr:uid="{00000000-0005-0000-0000-0000D6280000}"/>
    <cellStyle name="Vírgula 3 4 4 5 3 4" xfId="8021" xr:uid="{00000000-0005-0000-0000-0000D7280000}"/>
    <cellStyle name="Vírgula 3 4 4 5 4" xfId="2533" xr:uid="{00000000-0005-0000-0000-0000D8280000}"/>
    <cellStyle name="Vírgula 3 4 4 5 4 2" xfId="9049" xr:uid="{00000000-0005-0000-0000-0000D9280000}"/>
    <cellStyle name="Vírgula 3 4 4 5 5" xfId="4706" xr:uid="{00000000-0005-0000-0000-0000DA280000}"/>
    <cellStyle name="Vírgula 3 4 4 5 5 2" xfId="11220" xr:uid="{00000000-0005-0000-0000-0000DB280000}"/>
    <cellStyle name="Vírgula 3 4 4 5 6" xfId="6936" xr:uid="{00000000-0005-0000-0000-0000DC280000}"/>
    <cellStyle name="Vírgula 3 4 4 6" xfId="733" xr:uid="{00000000-0005-0000-0000-0000DD280000}"/>
    <cellStyle name="Vírgula 3 4 4 6 2" xfId="1761" xr:uid="{00000000-0005-0000-0000-0000DE280000}"/>
    <cellStyle name="Vírgula 3 4 4 6 2 2" xfId="3819" xr:uid="{00000000-0005-0000-0000-0000DF280000}"/>
    <cellStyle name="Vírgula 3 4 4 6 2 2 2" xfId="10335" xr:uid="{00000000-0005-0000-0000-0000E0280000}"/>
    <cellStyle name="Vírgula 3 4 4 6 2 3" xfId="6049" xr:uid="{00000000-0005-0000-0000-0000E1280000}"/>
    <cellStyle name="Vírgula 3 4 4 6 2 3 2" xfId="12563" xr:uid="{00000000-0005-0000-0000-0000E2280000}"/>
    <cellStyle name="Vírgula 3 4 4 6 2 4" xfId="8279" xr:uid="{00000000-0005-0000-0000-0000E3280000}"/>
    <cellStyle name="Vírgula 3 4 4 6 3" xfId="2791" xr:uid="{00000000-0005-0000-0000-0000E4280000}"/>
    <cellStyle name="Vírgula 3 4 4 6 3 2" xfId="9307" xr:uid="{00000000-0005-0000-0000-0000E5280000}"/>
    <cellStyle name="Vírgula 3 4 4 6 4" xfId="5021" xr:uid="{00000000-0005-0000-0000-0000E6280000}"/>
    <cellStyle name="Vírgula 3 4 4 6 4 2" xfId="11535" xr:uid="{00000000-0005-0000-0000-0000E7280000}"/>
    <cellStyle name="Vírgula 3 4 4 6 5" xfId="7251" xr:uid="{00000000-0005-0000-0000-0000E8280000}"/>
    <cellStyle name="Vírgula 3 4 4 7" xfId="1247" xr:uid="{00000000-0005-0000-0000-0000E9280000}"/>
    <cellStyle name="Vírgula 3 4 4 7 2" xfId="3305" xr:uid="{00000000-0005-0000-0000-0000EA280000}"/>
    <cellStyle name="Vírgula 3 4 4 7 2 2" xfId="9821" xr:uid="{00000000-0005-0000-0000-0000EB280000}"/>
    <cellStyle name="Vírgula 3 4 4 7 3" xfId="5535" xr:uid="{00000000-0005-0000-0000-0000EC280000}"/>
    <cellStyle name="Vírgula 3 4 4 7 3 2" xfId="12049" xr:uid="{00000000-0005-0000-0000-0000ED280000}"/>
    <cellStyle name="Vírgula 3 4 4 7 4" xfId="7765" xr:uid="{00000000-0005-0000-0000-0000EE280000}"/>
    <cellStyle name="Vírgula 3 4 4 8" xfId="2277" xr:uid="{00000000-0005-0000-0000-0000EF280000}"/>
    <cellStyle name="Vírgula 3 4 4 8 2" xfId="8793" xr:uid="{00000000-0005-0000-0000-0000F0280000}"/>
    <cellStyle name="Vírgula 3 4 4 9" xfId="4364" xr:uid="{00000000-0005-0000-0000-0000F1280000}"/>
    <cellStyle name="Vírgula 3 4 4 9 2" xfId="10878" xr:uid="{00000000-0005-0000-0000-0000F2280000}"/>
    <cellStyle name="Vírgula 3 4 5" xfId="104" xr:uid="{00000000-0005-0000-0000-0000F3280000}"/>
    <cellStyle name="Vírgula 3 4 5 2" xfId="202" xr:uid="{00000000-0005-0000-0000-0000F4280000}"/>
    <cellStyle name="Vírgula 3 4 5 2 2" xfId="330" xr:uid="{00000000-0005-0000-0000-0000F5280000}"/>
    <cellStyle name="Vírgula 3 4 5 2 2 2" xfId="673" xr:uid="{00000000-0005-0000-0000-0000F6280000}"/>
    <cellStyle name="Vírgula 3 4 5 2 2 2 2" xfId="1197" xr:uid="{00000000-0005-0000-0000-0000F7280000}"/>
    <cellStyle name="Vírgula 3 4 5 2 2 2 2 2" xfId="2225" xr:uid="{00000000-0005-0000-0000-0000F8280000}"/>
    <cellStyle name="Vírgula 3 4 5 2 2 2 2 2 2" xfId="4283" xr:uid="{00000000-0005-0000-0000-0000F9280000}"/>
    <cellStyle name="Vírgula 3 4 5 2 2 2 2 2 2 2" xfId="10799" xr:uid="{00000000-0005-0000-0000-0000FA280000}"/>
    <cellStyle name="Vírgula 3 4 5 2 2 2 2 2 3" xfId="6513" xr:uid="{00000000-0005-0000-0000-0000FB280000}"/>
    <cellStyle name="Vírgula 3 4 5 2 2 2 2 2 3 2" xfId="13027" xr:uid="{00000000-0005-0000-0000-0000FC280000}"/>
    <cellStyle name="Vírgula 3 4 5 2 2 2 2 2 4" xfId="8743" xr:uid="{00000000-0005-0000-0000-0000FD280000}"/>
    <cellStyle name="Vírgula 3 4 5 2 2 2 2 3" xfId="3255" xr:uid="{00000000-0005-0000-0000-0000FE280000}"/>
    <cellStyle name="Vírgula 3 4 5 2 2 2 2 3 2" xfId="9771" xr:uid="{00000000-0005-0000-0000-0000FF280000}"/>
    <cellStyle name="Vírgula 3 4 5 2 2 2 2 4" xfId="5485" xr:uid="{00000000-0005-0000-0000-000000290000}"/>
    <cellStyle name="Vírgula 3 4 5 2 2 2 2 4 2" xfId="11999" xr:uid="{00000000-0005-0000-0000-000001290000}"/>
    <cellStyle name="Vírgula 3 4 5 2 2 2 2 5" xfId="7715" xr:uid="{00000000-0005-0000-0000-000002290000}"/>
    <cellStyle name="Vírgula 3 4 5 2 2 2 3" xfId="1711" xr:uid="{00000000-0005-0000-0000-000003290000}"/>
    <cellStyle name="Vírgula 3 4 5 2 2 2 3 2" xfId="3769" xr:uid="{00000000-0005-0000-0000-000004290000}"/>
    <cellStyle name="Vírgula 3 4 5 2 2 2 3 2 2" xfId="10285" xr:uid="{00000000-0005-0000-0000-000005290000}"/>
    <cellStyle name="Vírgula 3 4 5 2 2 2 3 3" xfId="5999" xr:uid="{00000000-0005-0000-0000-000006290000}"/>
    <cellStyle name="Vírgula 3 4 5 2 2 2 3 3 2" xfId="12513" xr:uid="{00000000-0005-0000-0000-000007290000}"/>
    <cellStyle name="Vírgula 3 4 5 2 2 2 3 4" xfId="8229" xr:uid="{00000000-0005-0000-0000-000008290000}"/>
    <cellStyle name="Vírgula 3 4 5 2 2 2 4" xfId="2741" xr:uid="{00000000-0005-0000-0000-000009290000}"/>
    <cellStyle name="Vírgula 3 4 5 2 2 2 4 2" xfId="9257" xr:uid="{00000000-0005-0000-0000-00000A290000}"/>
    <cellStyle name="Vírgula 3 4 5 2 2 2 5" xfId="4969" xr:uid="{00000000-0005-0000-0000-00000B290000}"/>
    <cellStyle name="Vírgula 3 4 5 2 2 2 5 2" xfId="11483" xr:uid="{00000000-0005-0000-0000-00000C290000}"/>
    <cellStyle name="Vírgula 3 4 5 2 2 2 6" xfId="7199" xr:uid="{00000000-0005-0000-0000-00000D290000}"/>
    <cellStyle name="Vírgula 3 4 5 2 2 3" xfId="941" xr:uid="{00000000-0005-0000-0000-00000E290000}"/>
    <cellStyle name="Vírgula 3 4 5 2 2 3 2" xfId="1969" xr:uid="{00000000-0005-0000-0000-00000F290000}"/>
    <cellStyle name="Vírgula 3 4 5 2 2 3 2 2" xfId="4027" xr:uid="{00000000-0005-0000-0000-000010290000}"/>
    <cellStyle name="Vírgula 3 4 5 2 2 3 2 2 2" xfId="10543" xr:uid="{00000000-0005-0000-0000-000011290000}"/>
    <cellStyle name="Vírgula 3 4 5 2 2 3 2 3" xfId="6257" xr:uid="{00000000-0005-0000-0000-000012290000}"/>
    <cellStyle name="Vírgula 3 4 5 2 2 3 2 3 2" xfId="12771" xr:uid="{00000000-0005-0000-0000-000013290000}"/>
    <cellStyle name="Vírgula 3 4 5 2 2 3 2 4" xfId="8487" xr:uid="{00000000-0005-0000-0000-000014290000}"/>
    <cellStyle name="Vírgula 3 4 5 2 2 3 3" xfId="2999" xr:uid="{00000000-0005-0000-0000-000015290000}"/>
    <cellStyle name="Vírgula 3 4 5 2 2 3 3 2" xfId="9515" xr:uid="{00000000-0005-0000-0000-000016290000}"/>
    <cellStyle name="Vírgula 3 4 5 2 2 3 4" xfId="5229" xr:uid="{00000000-0005-0000-0000-000017290000}"/>
    <cellStyle name="Vírgula 3 4 5 2 2 3 4 2" xfId="11743" xr:uid="{00000000-0005-0000-0000-000018290000}"/>
    <cellStyle name="Vírgula 3 4 5 2 2 3 5" xfId="7459" xr:uid="{00000000-0005-0000-0000-000019290000}"/>
    <cellStyle name="Vírgula 3 4 5 2 2 4" xfId="1455" xr:uid="{00000000-0005-0000-0000-00001A290000}"/>
    <cellStyle name="Vírgula 3 4 5 2 2 4 2" xfId="3513" xr:uid="{00000000-0005-0000-0000-00001B290000}"/>
    <cellStyle name="Vírgula 3 4 5 2 2 4 2 2" xfId="10029" xr:uid="{00000000-0005-0000-0000-00001C290000}"/>
    <cellStyle name="Vírgula 3 4 5 2 2 4 3" xfId="5743" xr:uid="{00000000-0005-0000-0000-00001D290000}"/>
    <cellStyle name="Vírgula 3 4 5 2 2 4 3 2" xfId="12257" xr:uid="{00000000-0005-0000-0000-00001E290000}"/>
    <cellStyle name="Vírgula 3 4 5 2 2 4 4" xfId="7973" xr:uid="{00000000-0005-0000-0000-00001F290000}"/>
    <cellStyle name="Vírgula 3 4 5 2 2 5" xfId="2485" xr:uid="{00000000-0005-0000-0000-000020290000}"/>
    <cellStyle name="Vírgula 3 4 5 2 2 5 2" xfId="9001" xr:uid="{00000000-0005-0000-0000-000021290000}"/>
    <cellStyle name="Vírgula 3 4 5 2 2 6" xfId="4627" xr:uid="{00000000-0005-0000-0000-000022290000}"/>
    <cellStyle name="Vírgula 3 4 5 2 2 6 2" xfId="11141" xr:uid="{00000000-0005-0000-0000-000023290000}"/>
    <cellStyle name="Vírgula 3 4 5 2 2 7" xfId="6857" xr:uid="{00000000-0005-0000-0000-000024290000}"/>
    <cellStyle name="Vírgula 3 4 5 2 3" xfId="545" xr:uid="{00000000-0005-0000-0000-000025290000}"/>
    <cellStyle name="Vírgula 3 4 5 2 3 2" xfId="1069" xr:uid="{00000000-0005-0000-0000-000026290000}"/>
    <cellStyle name="Vírgula 3 4 5 2 3 2 2" xfId="2097" xr:uid="{00000000-0005-0000-0000-000027290000}"/>
    <cellStyle name="Vírgula 3 4 5 2 3 2 2 2" xfId="4155" xr:uid="{00000000-0005-0000-0000-000028290000}"/>
    <cellStyle name="Vírgula 3 4 5 2 3 2 2 2 2" xfId="10671" xr:uid="{00000000-0005-0000-0000-000029290000}"/>
    <cellStyle name="Vírgula 3 4 5 2 3 2 2 3" xfId="6385" xr:uid="{00000000-0005-0000-0000-00002A290000}"/>
    <cellStyle name="Vírgula 3 4 5 2 3 2 2 3 2" xfId="12899" xr:uid="{00000000-0005-0000-0000-00002B290000}"/>
    <cellStyle name="Vírgula 3 4 5 2 3 2 2 4" xfId="8615" xr:uid="{00000000-0005-0000-0000-00002C290000}"/>
    <cellStyle name="Vírgula 3 4 5 2 3 2 3" xfId="3127" xr:uid="{00000000-0005-0000-0000-00002D290000}"/>
    <cellStyle name="Vírgula 3 4 5 2 3 2 3 2" xfId="9643" xr:uid="{00000000-0005-0000-0000-00002E290000}"/>
    <cellStyle name="Vírgula 3 4 5 2 3 2 4" xfId="5357" xr:uid="{00000000-0005-0000-0000-00002F290000}"/>
    <cellStyle name="Vírgula 3 4 5 2 3 2 4 2" xfId="11871" xr:uid="{00000000-0005-0000-0000-000030290000}"/>
    <cellStyle name="Vírgula 3 4 5 2 3 2 5" xfId="7587" xr:uid="{00000000-0005-0000-0000-000031290000}"/>
    <cellStyle name="Vírgula 3 4 5 2 3 3" xfId="1583" xr:uid="{00000000-0005-0000-0000-000032290000}"/>
    <cellStyle name="Vírgula 3 4 5 2 3 3 2" xfId="3641" xr:uid="{00000000-0005-0000-0000-000033290000}"/>
    <cellStyle name="Vírgula 3 4 5 2 3 3 2 2" xfId="10157" xr:uid="{00000000-0005-0000-0000-000034290000}"/>
    <cellStyle name="Vírgula 3 4 5 2 3 3 3" xfId="5871" xr:uid="{00000000-0005-0000-0000-000035290000}"/>
    <cellStyle name="Vírgula 3 4 5 2 3 3 3 2" xfId="12385" xr:uid="{00000000-0005-0000-0000-000036290000}"/>
    <cellStyle name="Vírgula 3 4 5 2 3 3 4" xfId="8101" xr:uid="{00000000-0005-0000-0000-000037290000}"/>
    <cellStyle name="Vírgula 3 4 5 2 3 4" xfId="2613" xr:uid="{00000000-0005-0000-0000-000038290000}"/>
    <cellStyle name="Vírgula 3 4 5 2 3 4 2" xfId="9129" xr:uid="{00000000-0005-0000-0000-000039290000}"/>
    <cellStyle name="Vírgula 3 4 5 2 3 5" xfId="4841" xr:uid="{00000000-0005-0000-0000-00003A290000}"/>
    <cellStyle name="Vírgula 3 4 5 2 3 5 2" xfId="11355" xr:uid="{00000000-0005-0000-0000-00003B290000}"/>
    <cellStyle name="Vírgula 3 4 5 2 3 6" xfId="7071" xr:uid="{00000000-0005-0000-0000-00003C290000}"/>
    <cellStyle name="Vírgula 3 4 5 2 4" xfId="813" xr:uid="{00000000-0005-0000-0000-00003D290000}"/>
    <cellStyle name="Vírgula 3 4 5 2 4 2" xfId="1841" xr:uid="{00000000-0005-0000-0000-00003E290000}"/>
    <cellStyle name="Vírgula 3 4 5 2 4 2 2" xfId="3899" xr:uid="{00000000-0005-0000-0000-00003F290000}"/>
    <cellStyle name="Vírgula 3 4 5 2 4 2 2 2" xfId="10415" xr:uid="{00000000-0005-0000-0000-000040290000}"/>
    <cellStyle name="Vírgula 3 4 5 2 4 2 3" xfId="6129" xr:uid="{00000000-0005-0000-0000-000041290000}"/>
    <cellStyle name="Vírgula 3 4 5 2 4 2 3 2" xfId="12643" xr:uid="{00000000-0005-0000-0000-000042290000}"/>
    <cellStyle name="Vírgula 3 4 5 2 4 2 4" xfId="8359" xr:uid="{00000000-0005-0000-0000-000043290000}"/>
    <cellStyle name="Vírgula 3 4 5 2 4 3" xfId="2871" xr:uid="{00000000-0005-0000-0000-000044290000}"/>
    <cellStyle name="Vírgula 3 4 5 2 4 3 2" xfId="9387" xr:uid="{00000000-0005-0000-0000-000045290000}"/>
    <cellStyle name="Vírgula 3 4 5 2 4 4" xfId="5101" xr:uid="{00000000-0005-0000-0000-000046290000}"/>
    <cellStyle name="Vírgula 3 4 5 2 4 4 2" xfId="11615" xr:uid="{00000000-0005-0000-0000-000047290000}"/>
    <cellStyle name="Vírgula 3 4 5 2 4 5" xfId="7331" xr:uid="{00000000-0005-0000-0000-000048290000}"/>
    <cellStyle name="Vírgula 3 4 5 2 5" xfId="1327" xr:uid="{00000000-0005-0000-0000-000049290000}"/>
    <cellStyle name="Vírgula 3 4 5 2 5 2" xfId="3385" xr:uid="{00000000-0005-0000-0000-00004A290000}"/>
    <cellStyle name="Vírgula 3 4 5 2 5 2 2" xfId="9901" xr:uid="{00000000-0005-0000-0000-00004B290000}"/>
    <cellStyle name="Vírgula 3 4 5 2 5 3" xfId="5615" xr:uid="{00000000-0005-0000-0000-00004C290000}"/>
    <cellStyle name="Vírgula 3 4 5 2 5 3 2" xfId="12129" xr:uid="{00000000-0005-0000-0000-00004D290000}"/>
    <cellStyle name="Vírgula 3 4 5 2 5 4" xfId="7845" xr:uid="{00000000-0005-0000-0000-00004E290000}"/>
    <cellStyle name="Vírgula 3 4 5 2 6" xfId="2357" xr:uid="{00000000-0005-0000-0000-00004F290000}"/>
    <cellStyle name="Vírgula 3 4 5 2 6 2" xfId="8873" xr:uid="{00000000-0005-0000-0000-000050290000}"/>
    <cellStyle name="Vírgula 3 4 5 2 7" xfId="4499" xr:uid="{00000000-0005-0000-0000-000051290000}"/>
    <cellStyle name="Vírgula 3 4 5 2 7 2" xfId="11013" xr:uid="{00000000-0005-0000-0000-000052290000}"/>
    <cellStyle name="Vírgula 3 4 5 2 8" xfId="6729" xr:uid="{00000000-0005-0000-0000-000053290000}"/>
    <cellStyle name="Vírgula 3 4 5 3" xfId="266" xr:uid="{00000000-0005-0000-0000-000054290000}"/>
    <cellStyle name="Vírgula 3 4 5 3 2" xfId="609" xr:uid="{00000000-0005-0000-0000-000055290000}"/>
    <cellStyle name="Vírgula 3 4 5 3 2 2" xfId="1133" xr:uid="{00000000-0005-0000-0000-000056290000}"/>
    <cellStyle name="Vírgula 3 4 5 3 2 2 2" xfId="2161" xr:uid="{00000000-0005-0000-0000-000057290000}"/>
    <cellStyle name="Vírgula 3 4 5 3 2 2 2 2" xfId="4219" xr:uid="{00000000-0005-0000-0000-000058290000}"/>
    <cellStyle name="Vírgula 3 4 5 3 2 2 2 2 2" xfId="10735" xr:uid="{00000000-0005-0000-0000-000059290000}"/>
    <cellStyle name="Vírgula 3 4 5 3 2 2 2 3" xfId="6449" xr:uid="{00000000-0005-0000-0000-00005A290000}"/>
    <cellStyle name="Vírgula 3 4 5 3 2 2 2 3 2" xfId="12963" xr:uid="{00000000-0005-0000-0000-00005B290000}"/>
    <cellStyle name="Vírgula 3 4 5 3 2 2 2 4" xfId="8679" xr:uid="{00000000-0005-0000-0000-00005C290000}"/>
    <cellStyle name="Vírgula 3 4 5 3 2 2 3" xfId="3191" xr:uid="{00000000-0005-0000-0000-00005D290000}"/>
    <cellStyle name="Vírgula 3 4 5 3 2 2 3 2" xfId="9707" xr:uid="{00000000-0005-0000-0000-00005E290000}"/>
    <cellStyle name="Vírgula 3 4 5 3 2 2 4" xfId="5421" xr:uid="{00000000-0005-0000-0000-00005F290000}"/>
    <cellStyle name="Vírgula 3 4 5 3 2 2 4 2" xfId="11935" xr:uid="{00000000-0005-0000-0000-000060290000}"/>
    <cellStyle name="Vírgula 3 4 5 3 2 2 5" xfId="7651" xr:uid="{00000000-0005-0000-0000-000061290000}"/>
    <cellStyle name="Vírgula 3 4 5 3 2 3" xfId="1647" xr:uid="{00000000-0005-0000-0000-000062290000}"/>
    <cellStyle name="Vírgula 3 4 5 3 2 3 2" xfId="3705" xr:uid="{00000000-0005-0000-0000-000063290000}"/>
    <cellStyle name="Vírgula 3 4 5 3 2 3 2 2" xfId="10221" xr:uid="{00000000-0005-0000-0000-000064290000}"/>
    <cellStyle name="Vírgula 3 4 5 3 2 3 3" xfId="5935" xr:uid="{00000000-0005-0000-0000-000065290000}"/>
    <cellStyle name="Vírgula 3 4 5 3 2 3 3 2" xfId="12449" xr:uid="{00000000-0005-0000-0000-000066290000}"/>
    <cellStyle name="Vírgula 3 4 5 3 2 3 4" xfId="8165" xr:uid="{00000000-0005-0000-0000-000067290000}"/>
    <cellStyle name="Vírgula 3 4 5 3 2 4" xfId="2677" xr:uid="{00000000-0005-0000-0000-000068290000}"/>
    <cellStyle name="Vírgula 3 4 5 3 2 4 2" xfId="9193" xr:uid="{00000000-0005-0000-0000-000069290000}"/>
    <cellStyle name="Vírgula 3 4 5 3 2 5" xfId="4905" xr:uid="{00000000-0005-0000-0000-00006A290000}"/>
    <cellStyle name="Vírgula 3 4 5 3 2 5 2" xfId="11419" xr:uid="{00000000-0005-0000-0000-00006B290000}"/>
    <cellStyle name="Vírgula 3 4 5 3 2 6" xfId="7135" xr:uid="{00000000-0005-0000-0000-00006C290000}"/>
    <cellStyle name="Vírgula 3 4 5 3 3" xfId="877" xr:uid="{00000000-0005-0000-0000-00006D290000}"/>
    <cellStyle name="Vírgula 3 4 5 3 3 2" xfId="1905" xr:uid="{00000000-0005-0000-0000-00006E290000}"/>
    <cellStyle name="Vírgula 3 4 5 3 3 2 2" xfId="3963" xr:uid="{00000000-0005-0000-0000-00006F290000}"/>
    <cellStyle name="Vírgula 3 4 5 3 3 2 2 2" xfId="10479" xr:uid="{00000000-0005-0000-0000-000070290000}"/>
    <cellStyle name="Vírgula 3 4 5 3 3 2 3" xfId="6193" xr:uid="{00000000-0005-0000-0000-000071290000}"/>
    <cellStyle name="Vírgula 3 4 5 3 3 2 3 2" xfId="12707" xr:uid="{00000000-0005-0000-0000-000072290000}"/>
    <cellStyle name="Vírgula 3 4 5 3 3 2 4" xfId="8423" xr:uid="{00000000-0005-0000-0000-000073290000}"/>
    <cellStyle name="Vírgula 3 4 5 3 3 3" xfId="2935" xr:uid="{00000000-0005-0000-0000-000074290000}"/>
    <cellStyle name="Vírgula 3 4 5 3 3 3 2" xfId="9451" xr:uid="{00000000-0005-0000-0000-000075290000}"/>
    <cellStyle name="Vírgula 3 4 5 3 3 4" xfId="5165" xr:uid="{00000000-0005-0000-0000-000076290000}"/>
    <cellStyle name="Vírgula 3 4 5 3 3 4 2" xfId="11679" xr:uid="{00000000-0005-0000-0000-000077290000}"/>
    <cellStyle name="Vírgula 3 4 5 3 3 5" xfId="7395" xr:uid="{00000000-0005-0000-0000-000078290000}"/>
    <cellStyle name="Vírgula 3 4 5 3 4" xfId="1391" xr:uid="{00000000-0005-0000-0000-000079290000}"/>
    <cellStyle name="Vírgula 3 4 5 3 4 2" xfId="3449" xr:uid="{00000000-0005-0000-0000-00007A290000}"/>
    <cellStyle name="Vírgula 3 4 5 3 4 2 2" xfId="9965" xr:uid="{00000000-0005-0000-0000-00007B290000}"/>
    <cellStyle name="Vírgula 3 4 5 3 4 3" xfId="5679" xr:uid="{00000000-0005-0000-0000-00007C290000}"/>
    <cellStyle name="Vírgula 3 4 5 3 4 3 2" xfId="12193" xr:uid="{00000000-0005-0000-0000-00007D290000}"/>
    <cellStyle name="Vírgula 3 4 5 3 4 4" xfId="7909" xr:uid="{00000000-0005-0000-0000-00007E290000}"/>
    <cellStyle name="Vírgula 3 4 5 3 5" xfId="2421" xr:uid="{00000000-0005-0000-0000-00007F290000}"/>
    <cellStyle name="Vírgula 3 4 5 3 5 2" xfId="8937" xr:uid="{00000000-0005-0000-0000-000080290000}"/>
    <cellStyle name="Vírgula 3 4 5 3 6" xfId="4563" xr:uid="{00000000-0005-0000-0000-000081290000}"/>
    <cellStyle name="Vírgula 3 4 5 3 6 2" xfId="11077" xr:uid="{00000000-0005-0000-0000-000082290000}"/>
    <cellStyle name="Vírgula 3 4 5 3 7" xfId="6793" xr:uid="{00000000-0005-0000-0000-000083290000}"/>
    <cellStyle name="Vírgula 3 4 5 4" xfId="447" xr:uid="{00000000-0005-0000-0000-000084290000}"/>
    <cellStyle name="Vírgula 3 4 5 4 2" xfId="1005" xr:uid="{00000000-0005-0000-0000-000085290000}"/>
    <cellStyle name="Vírgula 3 4 5 4 2 2" xfId="2033" xr:uid="{00000000-0005-0000-0000-000086290000}"/>
    <cellStyle name="Vírgula 3 4 5 4 2 2 2" xfId="4091" xr:uid="{00000000-0005-0000-0000-000087290000}"/>
    <cellStyle name="Vírgula 3 4 5 4 2 2 2 2" xfId="10607" xr:uid="{00000000-0005-0000-0000-000088290000}"/>
    <cellStyle name="Vírgula 3 4 5 4 2 2 3" xfId="6321" xr:uid="{00000000-0005-0000-0000-000089290000}"/>
    <cellStyle name="Vírgula 3 4 5 4 2 2 3 2" xfId="12835" xr:uid="{00000000-0005-0000-0000-00008A290000}"/>
    <cellStyle name="Vírgula 3 4 5 4 2 2 4" xfId="8551" xr:uid="{00000000-0005-0000-0000-00008B290000}"/>
    <cellStyle name="Vírgula 3 4 5 4 2 3" xfId="3063" xr:uid="{00000000-0005-0000-0000-00008C290000}"/>
    <cellStyle name="Vírgula 3 4 5 4 2 3 2" xfId="9579" xr:uid="{00000000-0005-0000-0000-00008D290000}"/>
    <cellStyle name="Vírgula 3 4 5 4 2 4" xfId="5293" xr:uid="{00000000-0005-0000-0000-00008E290000}"/>
    <cellStyle name="Vírgula 3 4 5 4 2 4 2" xfId="11807" xr:uid="{00000000-0005-0000-0000-00008F290000}"/>
    <cellStyle name="Vírgula 3 4 5 4 2 5" xfId="7523" xr:uid="{00000000-0005-0000-0000-000090290000}"/>
    <cellStyle name="Vírgula 3 4 5 4 3" xfId="1519" xr:uid="{00000000-0005-0000-0000-000091290000}"/>
    <cellStyle name="Vírgula 3 4 5 4 3 2" xfId="3577" xr:uid="{00000000-0005-0000-0000-000092290000}"/>
    <cellStyle name="Vírgula 3 4 5 4 3 2 2" xfId="10093" xr:uid="{00000000-0005-0000-0000-000093290000}"/>
    <cellStyle name="Vírgula 3 4 5 4 3 3" xfId="5807" xr:uid="{00000000-0005-0000-0000-000094290000}"/>
    <cellStyle name="Vírgula 3 4 5 4 3 3 2" xfId="12321" xr:uid="{00000000-0005-0000-0000-000095290000}"/>
    <cellStyle name="Vírgula 3 4 5 4 3 4" xfId="8037" xr:uid="{00000000-0005-0000-0000-000096290000}"/>
    <cellStyle name="Vírgula 3 4 5 4 4" xfId="2549" xr:uid="{00000000-0005-0000-0000-000097290000}"/>
    <cellStyle name="Vírgula 3 4 5 4 4 2" xfId="9065" xr:uid="{00000000-0005-0000-0000-000098290000}"/>
    <cellStyle name="Vírgula 3 4 5 4 5" xfId="4743" xr:uid="{00000000-0005-0000-0000-000099290000}"/>
    <cellStyle name="Vírgula 3 4 5 4 5 2" xfId="11257" xr:uid="{00000000-0005-0000-0000-00009A290000}"/>
    <cellStyle name="Vírgula 3 4 5 4 6" xfId="6973" xr:uid="{00000000-0005-0000-0000-00009B290000}"/>
    <cellStyle name="Vírgula 3 4 5 5" xfId="749" xr:uid="{00000000-0005-0000-0000-00009C290000}"/>
    <cellStyle name="Vírgula 3 4 5 5 2" xfId="1777" xr:uid="{00000000-0005-0000-0000-00009D290000}"/>
    <cellStyle name="Vírgula 3 4 5 5 2 2" xfId="3835" xr:uid="{00000000-0005-0000-0000-00009E290000}"/>
    <cellStyle name="Vírgula 3 4 5 5 2 2 2" xfId="10351" xr:uid="{00000000-0005-0000-0000-00009F290000}"/>
    <cellStyle name="Vírgula 3 4 5 5 2 3" xfId="6065" xr:uid="{00000000-0005-0000-0000-0000A0290000}"/>
    <cellStyle name="Vírgula 3 4 5 5 2 3 2" xfId="12579" xr:uid="{00000000-0005-0000-0000-0000A1290000}"/>
    <cellStyle name="Vírgula 3 4 5 5 2 4" xfId="8295" xr:uid="{00000000-0005-0000-0000-0000A2290000}"/>
    <cellStyle name="Vírgula 3 4 5 5 3" xfId="2807" xr:uid="{00000000-0005-0000-0000-0000A3290000}"/>
    <cellStyle name="Vírgula 3 4 5 5 3 2" xfId="9323" xr:uid="{00000000-0005-0000-0000-0000A4290000}"/>
    <cellStyle name="Vírgula 3 4 5 5 4" xfId="5037" xr:uid="{00000000-0005-0000-0000-0000A5290000}"/>
    <cellStyle name="Vírgula 3 4 5 5 4 2" xfId="11551" xr:uid="{00000000-0005-0000-0000-0000A6290000}"/>
    <cellStyle name="Vírgula 3 4 5 5 5" xfId="7267" xr:uid="{00000000-0005-0000-0000-0000A7290000}"/>
    <cellStyle name="Vírgula 3 4 5 6" xfId="1263" xr:uid="{00000000-0005-0000-0000-0000A8290000}"/>
    <cellStyle name="Vírgula 3 4 5 6 2" xfId="3321" xr:uid="{00000000-0005-0000-0000-0000A9290000}"/>
    <cellStyle name="Vírgula 3 4 5 6 2 2" xfId="9837" xr:uid="{00000000-0005-0000-0000-0000AA290000}"/>
    <cellStyle name="Vírgula 3 4 5 6 3" xfId="5551" xr:uid="{00000000-0005-0000-0000-0000AB290000}"/>
    <cellStyle name="Vírgula 3 4 5 6 3 2" xfId="12065" xr:uid="{00000000-0005-0000-0000-0000AC290000}"/>
    <cellStyle name="Vírgula 3 4 5 6 4" xfId="7781" xr:uid="{00000000-0005-0000-0000-0000AD290000}"/>
    <cellStyle name="Vírgula 3 4 5 7" xfId="2293" xr:uid="{00000000-0005-0000-0000-0000AE290000}"/>
    <cellStyle name="Vírgula 3 4 5 7 2" xfId="8809" xr:uid="{00000000-0005-0000-0000-0000AF290000}"/>
    <cellStyle name="Vírgula 3 4 5 8" xfId="4401" xr:uid="{00000000-0005-0000-0000-0000B0290000}"/>
    <cellStyle name="Vírgula 3 4 5 8 2" xfId="10915" xr:uid="{00000000-0005-0000-0000-0000B1290000}"/>
    <cellStyle name="Vírgula 3 4 5 9" xfId="6631" xr:uid="{00000000-0005-0000-0000-0000B2290000}"/>
    <cellStyle name="Vírgula 3 4 6" xfId="170" xr:uid="{00000000-0005-0000-0000-0000B3290000}"/>
    <cellStyle name="Vírgula 3 4 6 2" xfId="298" xr:uid="{00000000-0005-0000-0000-0000B4290000}"/>
    <cellStyle name="Vírgula 3 4 6 2 2" xfId="641" xr:uid="{00000000-0005-0000-0000-0000B5290000}"/>
    <cellStyle name="Vírgula 3 4 6 2 2 2" xfId="1165" xr:uid="{00000000-0005-0000-0000-0000B6290000}"/>
    <cellStyle name="Vírgula 3 4 6 2 2 2 2" xfId="2193" xr:uid="{00000000-0005-0000-0000-0000B7290000}"/>
    <cellStyle name="Vírgula 3 4 6 2 2 2 2 2" xfId="4251" xr:uid="{00000000-0005-0000-0000-0000B8290000}"/>
    <cellStyle name="Vírgula 3 4 6 2 2 2 2 2 2" xfId="10767" xr:uid="{00000000-0005-0000-0000-0000B9290000}"/>
    <cellStyle name="Vírgula 3 4 6 2 2 2 2 3" xfId="6481" xr:uid="{00000000-0005-0000-0000-0000BA290000}"/>
    <cellStyle name="Vírgula 3 4 6 2 2 2 2 3 2" xfId="12995" xr:uid="{00000000-0005-0000-0000-0000BB290000}"/>
    <cellStyle name="Vírgula 3 4 6 2 2 2 2 4" xfId="8711" xr:uid="{00000000-0005-0000-0000-0000BC290000}"/>
    <cellStyle name="Vírgula 3 4 6 2 2 2 3" xfId="3223" xr:uid="{00000000-0005-0000-0000-0000BD290000}"/>
    <cellStyle name="Vírgula 3 4 6 2 2 2 3 2" xfId="9739" xr:uid="{00000000-0005-0000-0000-0000BE290000}"/>
    <cellStyle name="Vírgula 3 4 6 2 2 2 4" xfId="5453" xr:uid="{00000000-0005-0000-0000-0000BF290000}"/>
    <cellStyle name="Vírgula 3 4 6 2 2 2 4 2" xfId="11967" xr:uid="{00000000-0005-0000-0000-0000C0290000}"/>
    <cellStyle name="Vírgula 3 4 6 2 2 2 5" xfId="7683" xr:uid="{00000000-0005-0000-0000-0000C1290000}"/>
    <cellStyle name="Vírgula 3 4 6 2 2 3" xfId="1679" xr:uid="{00000000-0005-0000-0000-0000C2290000}"/>
    <cellStyle name="Vírgula 3 4 6 2 2 3 2" xfId="3737" xr:uid="{00000000-0005-0000-0000-0000C3290000}"/>
    <cellStyle name="Vírgula 3 4 6 2 2 3 2 2" xfId="10253" xr:uid="{00000000-0005-0000-0000-0000C4290000}"/>
    <cellStyle name="Vírgula 3 4 6 2 2 3 3" xfId="5967" xr:uid="{00000000-0005-0000-0000-0000C5290000}"/>
    <cellStyle name="Vírgula 3 4 6 2 2 3 3 2" xfId="12481" xr:uid="{00000000-0005-0000-0000-0000C6290000}"/>
    <cellStyle name="Vírgula 3 4 6 2 2 3 4" xfId="8197" xr:uid="{00000000-0005-0000-0000-0000C7290000}"/>
    <cellStyle name="Vírgula 3 4 6 2 2 4" xfId="2709" xr:uid="{00000000-0005-0000-0000-0000C8290000}"/>
    <cellStyle name="Vírgula 3 4 6 2 2 4 2" xfId="9225" xr:uid="{00000000-0005-0000-0000-0000C9290000}"/>
    <cellStyle name="Vírgula 3 4 6 2 2 5" xfId="4937" xr:uid="{00000000-0005-0000-0000-0000CA290000}"/>
    <cellStyle name="Vírgula 3 4 6 2 2 5 2" xfId="11451" xr:uid="{00000000-0005-0000-0000-0000CB290000}"/>
    <cellStyle name="Vírgula 3 4 6 2 2 6" xfId="7167" xr:uid="{00000000-0005-0000-0000-0000CC290000}"/>
    <cellStyle name="Vírgula 3 4 6 2 3" xfId="909" xr:uid="{00000000-0005-0000-0000-0000CD290000}"/>
    <cellStyle name="Vírgula 3 4 6 2 3 2" xfId="1937" xr:uid="{00000000-0005-0000-0000-0000CE290000}"/>
    <cellStyle name="Vírgula 3 4 6 2 3 2 2" xfId="3995" xr:uid="{00000000-0005-0000-0000-0000CF290000}"/>
    <cellStyle name="Vírgula 3 4 6 2 3 2 2 2" xfId="10511" xr:uid="{00000000-0005-0000-0000-0000D0290000}"/>
    <cellStyle name="Vírgula 3 4 6 2 3 2 3" xfId="6225" xr:uid="{00000000-0005-0000-0000-0000D1290000}"/>
    <cellStyle name="Vírgula 3 4 6 2 3 2 3 2" xfId="12739" xr:uid="{00000000-0005-0000-0000-0000D2290000}"/>
    <cellStyle name="Vírgula 3 4 6 2 3 2 4" xfId="8455" xr:uid="{00000000-0005-0000-0000-0000D3290000}"/>
    <cellStyle name="Vírgula 3 4 6 2 3 3" xfId="2967" xr:uid="{00000000-0005-0000-0000-0000D4290000}"/>
    <cellStyle name="Vírgula 3 4 6 2 3 3 2" xfId="9483" xr:uid="{00000000-0005-0000-0000-0000D5290000}"/>
    <cellStyle name="Vírgula 3 4 6 2 3 4" xfId="5197" xr:uid="{00000000-0005-0000-0000-0000D6290000}"/>
    <cellStyle name="Vírgula 3 4 6 2 3 4 2" xfId="11711" xr:uid="{00000000-0005-0000-0000-0000D7290000}"/>
    <cellStyle name="Vírgula 3 4 6 2 3 5" xfId="7427" xr:uid="{00000000-0005-0000-0000-0000D8290000}"/>
    <cellStyle name="Vírgula 3 4 6 2 4" xfId="1423" xr:uid="{00000000-0005-0000-0000-0000D9290000}"/>
    <cellStyle name="Vírgula 3 4 6 2 4 2" xfId="3481" xr:uid="{00000000-0005-0000-0000-0000DA290000}"/>
    <cellStyle name="Vírgula 3 4 6 2 4 2 2" xfId="9997" xr:uid="{00000000-0005-0000-0000-0000DB290000}"/>
    <cellStyle name="Vírgula 3 4 6 2 4 3" xfId="5711" xr:uid="{00000000-0005-0000-0000-0000DC290000}"/>
    <cellStyle name="Vírgula 3 4 6 2 4 3 2" xfId="12225" xr:uid="{00000000-0005-0000-0000-0000DD290000}"/>
    <cellStyle name="Vírgula 3 4 6 2 4 4" xfId="7941" xr:uid="{00000000-0005-0000-0000-0000DE290000}"/>
    <cellStyle name="Vírgula 3 4 6 2 5" xfId="2453" xr:uid="{00000000-0005-0000-0000-0000DF290000}"/>
    <cellStyle name="Vírgula 3 4 6 2 5 2" xfId="8969" xr:uid="{00000000-0005-0000-0000-0000E0290000}"/>
    <cellStyle name="Vírgula 3 4 6 2 6" xfId="4595" xr:uid="{00000000-0005-0000-0000-0000E1290000}"/>
    <cellStyle name="Vírgula 3 4 6 2 6 2" xfId="11109" xr:uid="{00000000-0005-0000-0000-0000E2290000}"/>
    <cellStyle name="Vírgula 3 4 6 2 7" xfId="6825" xr:uid="{00000000-0005-0000-0000-0000E3290000}"/>
    <cellStyle name="Vírgula 3 4 6 3" xfId="513" xr:uid="{00000000-0005-0000-0000-0000E4290000}"/>
    <cellStyle name="Vírgula 3 4 6 3 2" xfId="1037" xr:uid="{00000000-0005-0000-0000-0000E5290000}"/>
    <cellStyle name="Vírgula 3 4 6 3 2 2" xfId="2065" xr:uid="{00000000-0005-0000-0000-0000E6290000}"/>
    <cellStyle name="Vírgula 3 4 6 3 2 2 2" xfId="4123" xr:uid="{00000000-0005-0000-0000-0000E7290000}"/>
    <cellStyle name="Vírgula 3 4 6 3 2 2 2 2" xfId="10639" xr:uid="{00000000-0005-0000-0000-0000E8290000}"/>
    <cellStyle name="Vírgula 3 4 6 3 2 2 3" xfId="6353" xr:uid="{00000000-0005-0000-0000-0000E9290000}"/>
    <cellStyle name="Vírgula 3 4 6 3 2 2 3 2" xfId="12867" xr:uid="{00000000-0005-0000-0000-0000EA290000}"/>
    <cellStyle name="Vírgula 3 4 6 3 2 2 4" xfId="8583" xr:uid="{00000000-0005-0000-0000-0000EB290000}"/>
    <cellStyle name="Vírgula 3 4 6 3 2 3" xfId="3095" xr:uid="{00000000-0005-0000-0000-0000EC290000}"/>
    <cellStyle name="Vírgula 3 4 6 3 2 3 2" xfId="9611" xr:uid="{00000000-0005-0000-0000-0000ED290000}"/>
    <cellStyle name="Vírgula 3 4 6 3 2 4" xfId="5325" xr:uid="{00000000-0005-0000-0000-0000EE290000}"/>
    <cellStyle name="Vírgula 3 4 6 3 2 4 2" xfId="11839" xr:uid="{00000000-0005-0000-0000-0000EF290000}"/>
    <cellStyle name="Vírgula 3 4 6 3 2 5" xfId="7555" xr:uid="{00000000-0005-0000-0000-0000F0290000}"/>
    <cellStyle name="Vírgula 3 4 6 3 3" xfId="1551" xr:uid="{00000000-0005-0000-0000-0000F1290000}"/>
    <cellStyle name="Vírgula 3 4 6 3 3 2" xfId="3609" xr:uid="{00000000-0005-0000-0000-0000F2290000}"/>
    <cellStyle name="Vírgula 3 4 6 3 3 2 2" xfId="10125" xr:uid="{00000000-0005-0000-0000-0000F3290000}"/>
    <cellStyle name="Vírgula 3 4 6 3 3 3" xfId="5839" xr:uid="{00000000-0005-0000-0000-0000F4290000}"/>
    <cellStyle name="Vírgula 3 4 6 3 3 3 2" xfId="12353" xr:uid="{00000000-0005-0000-0000-0000F5290000}"/>
    <cellStyle name="Vírgula 3 4 6 3 3 4" xfId="8069" xr:uid="{00000000-0005-0000-0000-0000F6290000}"/>
    <cellStyle name="Vírgula 3 4 6 3 4" xfId="2581" xr:uid="{00000000-0005-0000-0000-0000F7290000}"/>
    <cellStyle name="Vírgula 3 4 6 3 4 2" xfId="9097" xr:uid="{00000000-0005-0000-0000-0000F8290000}"/>
    <cellStyle name="Vírgula 3 4 6 3 5" xfId="4809" xr:uid="{00000000-0005-0000-0000-0000F9290000}"/>
    <cellStyle name="Vírgula 3 4 6 3 5 2" xfId="11323" xr:uid="{00000000-0005-0000-0000-0000FA290000}"/>
    <cellStyle name="Vírgula 3 4 6 3 6" xfId="7039" xr:uid="{00000000-0005-0000-0000-0000FB290000}"/>
    <cellStyle name="Vírgula 3 4 6 4" xfId="781" xr:uid="{00000000-0005-0000-0000-0000FC290000}"/>
    <cellStyle name="Vírgula 3 4 6 4 2" xfId="1809" xr:uid="{00000000-0005-0000-0000-0000FD290000}"/>
    <cellStyle name="Vírgula 3 4 6 4 2 2" xfId="3867" xr:uid="{00000000-0005-0000-0000-0000FE290000}"/>
    <cellStyle name="Vírgula 3 4 6 4 2 2 2" xfId="10383" xr:uid="{00000000-0005-0000-0000-0000FF290000}"/>
    <cellStyle name="Vírgula 3 4 6 4 2 3" xfId="6097" xr:uid="{00000000-0005-0000-0000-0000002A0000}"/>
    <cellStyle name="Vírgula 3 4 6 4 2 3 2" xfId="12611" xr:uid="{00000000-0005-0000-0000-0000012A0000}"/>
    <cellStyle name="Vírgula 3 4 6 4 2 4" xfId="8327" xr:uid="{00000000-0005-0000-0000-0000022A0000}"/>
    <cellStyle name="Vírgula 3 4 6 4 3" xfId="2839" xr:uid="{00000000-0005-0000-0000-0000032A0000}"/>
    <cellStyle name="Vírgula 3 4 6 4 3 2" xfId="9355" xr:uid="{00000000-0005-0000-0000-0000042A0000}"/>
    <cellStyle name="Vírgula 3 4 6 4 4" xfId="5069" xr:uid="{00000000-0005-0000-0000-0000052A0000}"/>
    <cellStyle name="Vírgula 3 4 6 4 4 2" xfId="11583" xr:uid="{00000000-0005-0000-0000-0000062A0000}"/>
    <cellStyle name="Vírgula 3 4 6 4 5" xfId="7299" xr:uid="{00000000-0005-0000-0000-0000072A0000}"/>
    <cellStyle name="Vírgula 3 4 6 5" xfId="1295" xr:uid="{00000000-0005-0000-0000-0000082A0000}"/>
    <cellStyle name="Vírgula 3 4 6 5 2" xfId="3353" xr:uid="{00000000-0005-0000-0000-0000092A0000}"/>
    <cellStyle name="Vírgula 3 4 6 5 2 2" xfId="9869" xr:uid="{00000000-0005-0000-0000-00000A2A0000}"/>
    <cellStyle name="Vírgula 3 4 6 5 3" xfId="5583" xr:uid="{00000000-0005-0000-0000-00000B2A0000}"/>
    <cellStyle name="Vírgula 3 4 6 5 3 2" xfId="12097" xr:uid="{00000000-0005-0000-0000-00000C2A0000}"/>
    <cellStyle name="Vírgula 3 4 6 5 4" xfId="7813" xr:uid="{00000000-0005-0000-0000-00000D2A0000}"/>
    <cellStyle name="Vírgula 3 4 6 6" xfId="2325" xr:uid="{00000000-0005-0000-0000-00000E2A0000}"/>
    <cellStyle name="Vírgula 3 4 6 6 2" xfId="8841" xr:uid="{00000000-0005-0000-0000-00000F2A0000}"/>
    <cellStyle name="Vírgula 3 4 6 7" xfId="4467" xr:uid="{00000000-0005-0000-0000-0000102A0000}"/>
    <cellStyle name="Vírgula 3 4 6 7 2" xfId="10981" xr:uid="{00000000-0005-0000-0000-0000112A0000}"/>
    <cellStyle name="Vírgula 3 4 6 8" xfId="6697" xr:uid="{00000000-0005-0000-0000-0000122A0000}"/>
    <cellStyle name="Vírgula 3 4 7" xfId="234" xr:uid="{00000000-0005-0000-0000-0000132A0000}"/>
    <cellStyle name="Vírgula 3 4 7 2" xfId="577" xr:uid="{00000000-0005-0000-0000-0000142A0000}"/>
    <cellStyle name="Vírgula 3 4 7 2 2" xfId="1101" xr:uid="{00000000-0005-0000-0000-0000152A0000}"/>
    <cellStyle name="Vírgula 3 4 7 2 2 2" xfId="2129" xr:uid="{00000000-0005-0000-0000-0000162A0000}"/>
    <cellStyle name="Vírgula 3 4 7 2 2 2 2" xfId="4187" xr:uid="{00000000-0005-0000-0000-0000172A0000}"/>
    <cellStyle name="Vírgula 3 4 7 2 2 2 2 2" xfId="10703" xr:uid="{00000000-0005-0000-0000-0000182A0000}"/>
    <cellStyle name="Vírgula 3 4 7 2 2 2 3" xfId="6417" xr:uid="{00000000-0005-0000-0000-0000192A0000}"/>
    <cellStyle name="Vírgula 3 4 7 2 2 2 3 2" xfId="12931" xr:uid="{00000000-0005-0000-0000-00001A2A0000}"/>
    <cellStyle name="Vírgula 3 4 7 2 2 2 4" xfId="8647" xr:uid="{00000000-0005-0000-0000-00001B2A0000}"/>
    <cellStyle name="Vírgula 3 4 7 2 2 3" xfId="3159" xr:uid="{00000000-0005-0000-0000-00001C2A0000}"/>
    <cellStyle name="Vírgula 3 4 7 2 2 3 2" xfId="9675" xr:uid="{00000000-0005-0000-0000-00001D2A0000}"/>
    <cellStyle name="Vírgula 3 4 7 2 2 4" xfId="5389" xr:uid="{00000000-0005-0000-0000-00001E2A0000}"/>
    <cellStyle name="Vírgula 3 4 7 2 2 4 2" xfId="11903" xr:uid="{00000000-0005-0000-0000-00001F2A0000}"/>
    <cellStyle name="Vírgula 3 4 7 2 2 5" xfId="7619" xr:uid="{00000000-0005-0000-0000-0000202A0000}"/>
    <cellStyle name="Vírgula 3 4 7 2 3" xfId="1615" xr:uid="{00000000-0005-0000-0000-0000212A0000}"/>
    <cellStyle name="Vírgula 3 4 7 2 3 2" xfId="3673" xr:uid="{00000000-0005-0000-0000-0000222A0000}"/>
    <cellStyle name="Vírgula 3 4 7 2 3 2 2" xfId="10189" xr:uid="{00000000-0005-0000-0000-0000232A0000}"/>
    <cellStyle name="Vírgula 3 4 7 2 3 3" xfId="5903" xr:uid="{00000000-0005-0000-0000-0000242A0000}"/>
    <cellStyle name="Vírgula 3 4 7 2 3 3 2" xfId="12417" xr:uid="{00000000-0005-0000-0000-0000252A0000}"/>
    <cellStyle name="Vírgula 3 4 7 2 3 4" xfId="8133" xr:uid="{00000000-0005-0000-0000-0000262A0000}"/>
    <cellStyle name="Vírgula 3 4 7 2 4" xfId="2645" xr:uid="{00000000-0005-0000-0000-0000272A0000}"/>
    <cellStyle name="Vírgula 3 4 7 2 4 2" xfId="9161" xr:uid="{00000000-0005-0000-0000-0000282A0000}"/>
    <cellStyle name="Vírgula 3 4 7 2 5" xfId="4873" xr:uid="{00000000-0005-0000-0000-0000292A0000}"/>
    <cellStyle name="Vírgula 3 4 7 2 5 2" xfId="11387" xr:uid="{00000000-0005-0000-0000-00002A2A0000}"/>
    <cellStyle name="Vírgula 3 4 7 2 6" xfId="7103" xr:uid="{00000000-0005-0000-0000-00002B2A0000}"/>
    <cellStyle name="Vírgula 3 4 7 3" xfId="845" xr:uid="{00000000-0005-0000-0000-00002C2A0000}"/>
    <cellStyle name="Vírgula 3 4 7 3 2" xfId="1873" xr:uid="{00000000-0005-0000-0000-00002D2A0000}"/>
    <cellStyle name="Vírgula 3 4 7 3 2 2" xfId="3931" xr:uid="{00000000-0005-0000-0000-00002E2A0000}"/>
    <cellStyle name="Vírgula 3 4 7 3 2 2 2" xfId="10447" xr:uid="{00000000-0005-0000-0000-00002F2A0000}"/>
    <cellStyle name="Vírgula 3 4 7 3 2 3" xfId="6161" xr:uid="{00000000-0005-0000-0000-0000302A0000}"/>
    <cellStyle name="Vírgula 3 4 7 3 2 3 2" xfId="12675" xr:uid="{00000000-0005-0000-0000-0000312A0000}"/>
    <cellStyle name="Vírgula 3 4 7 3 2 4" xfId="8391" xr:uid="{00000000-0005-0000-0000-0000322A0000}"/>
    <cellStyle name="Vírgula 3 4 7 3 3" xfId="2903" xr:uid="{00000000-0005-0000-0000-0000332A0000}"/>
    <cellStyle name="Vírgula 3 4 7 3 3 2" xfId="9419" xr:uid="{00000000-0005-0000-0000-0000342A0000}"/>
    <cellStyle name="Vírgula 3 4 7 3 4" xfId="5133" xr:uid="{00000000-0005-0000-0000-0000352A0000}"/>
    <cellStyle name="Vírgula 3 4 7 3 4 2" xfId="11647" xr:uid="{00000000-0005-0000-0000-0000362A0000}"/>
    <cellStyle name="Vírgula 3 4 7 3 5" xfId="7363" xr:uid="{00000000-0005-0000-0000-0000372A0000}"/>
    <cellStyle name="Vírgula 3 4 7 4" xfId="1359" xr:uid="{00000000-0005-0000-0000-0000382A0000}"/>
    <cellStyle name="Vírgula 3 4 7 4 2" xfId="3417" xr:uid="{00000000-0005-0000-0000-0000392A0000}"/>
    <cellStyle name="Vírgula 3 4 7 4 2 2" xfId="9933" xr:uid="{00000000-0005-0000-0000-00003A2A0000}"/>
    <cellStyle name="Vírgula 3 4 7 4 3" xfId="5647" xr:uid="{00000000-0005-0000-0000-00003B2A0000}"/>
    <cellStyle name="Vírgula 3 4 7 4 3 2" xfId="12161" xr:uid="{00000000-0005-0000-0000-00003C2A0000}"/>
    <cellStyle name="Vírgula 3 4 7 4 4" xfId="7877" xr:uid="{00000000-0005-0000-0000-00003D2A0000}"/>
    <cellStyle name="Vírgula 3 4 7 5" xfId="2389" xr:uid="{00000000-0005-0000-0000-00003E2A0000}"/>
    <cellStyle name="Vírgula 3 4 7 5 2" xfId="8905" xr:uid="{00000000-0005-0000-0000-00003F2A0000}"/>
    <cellStyle name="Vírgula 3 4 7 6" xfId="4531" xr:uid="{00000000-0005-0000-0000-0000402A0000}"/>
    <cellStyle name="Vírgula 3 4 7 6 2" xfId="11045" xr:uid="{00000000-0005-0000-0000-0000412A0000}"/>
    <cellStyle name="Vírgula 3 4 7 7" xfId="6761" xr:uid="{00000000-0005-0000-0000-0000422A0000}"/>
    <cellStyle name="Vírgula 3 4 8" xfId="373" xr:uid="{00000000-0005-0000-0000-0000432A0000}"/>
    <cellStyle name="Vírgula 3 4 8 2" xfId="973" xr:uid="{00000000-0005-0000-0000-0000442A0000}"/>
    <cellStyle name="Vírgula 3 4 8 2 2" xfId="2001" xr:uid="{00000000-0005-0000-0000-0000452A0000}"/>
    <cellStyle name="Vírgula 3 4 8 2 2 2" xfId="4059" xr:uid="{00000000-0005-0000-0000-0000462A0000}"/>
    <cellStyle name="Vírgula 3 4 8 2 2 2 2" xfId="10575" xr:uid="{00000000-0005-0000-0000-0000472A0000}"/>
    <cellStyle name="Vírgula 3 4 8 2 2 3" xfId="6289" xr:uid="{00000000-0005-0000-0000-0000482A0000}"/>
    <cellStyle name="Vírgula 3 4 8 2 2 3 2" xfId="12803" xr:uid="{00000000-0005-0000-0000-0000492A0000}"/>
    <cellStyle name="Vírgula 3 4 8 2 2 4" xfId="8519" xr:uid="{00000000-0005-0000-0000-00004A2A0000}"/>
    <cellStyle name="Vírgula 3 4 8 2 3" xfId="3031" xr:uid="{00000000-0005-0000-0000-00004B2A0000}"/>
    <cellStyle name="Vírgula 3 4 8 2 3 2" xfId="9547" xr:uid="{00000000-0005-0000-0000-00004C2A0000}"/>
    <cellStyle name="Vírgula 3 4 8 2 4" xfId="5261" xr:uid="{00000000-0005-0000-0000-00004D2A0000}"/>
    <cellStyle name="Vírgula 3 4 8 2 4 2" xfId="11775" xr:uid="{00000000-0005-0000-0000-00004E2A0000}"/>
    <cellStyle name="Vírgula 3 4 8 2 5" xfId="7491" xr:uid="{00000000-0005-0000-0000-00004F2A0000}"/>
    <cellStyle name="Vírgula 3 4 8 3" xfId="1487" xr:uid="{00000000-0005-0000-0000-0000502A0000}"/>
    <cellStyle name="Vírgula 3 4 8 3 2" xfId="3545" xr:uid="{00000000-0005-0000-0000-0000512A0000}"/>
    <cellStyle name="Vírgula 3 4 8 3 2 2" xfId="10061" xr:uid="{00000000-0005-0000-0000-0000522A0000}"/>
    <cellStyle name="Vírgula 3 4 8 3 3" xfId="5775" xr:uid="{00000000-0005-0000-0000-0000532A0000}"/>
    <cellStyle name="Vírgula 3 4 8 3 3 2" xfId="12289" xr:uid="{00000000-0005-0000-0000-0000542A0000}"/>
    <cellStyle name="Vírgula 3 4 8 3 4" xfId="8005" xr:uid="{00000000-0005-0000-0000-0000552A0000}"/>
    <cellStyle name="Vírgula 3 4 8 4" xfId="2517" xr:uid="{00000000-0005-0000-0000-0000562A0000}"/>
    <cellStyle name="Vírgula 3 4 8 4 2" xfId="9033" xr:uid="{00000000-0005-0000-0000-0000572A0000}"/>
    <cellStyle name="Vírgula 3 4 8 5" xfId="4669" xr:uid="{00000000-0005-0000-0000-0000582A0000}"/>
    <cellStyle name="Vírgula 3 4 8 5 2" xfId="11183" xr:uid="{00000000-0005-0000-0000-0000592A0000}"/>
    <cellStyle name="Vírgula 3 4 8 6" xfId="6899" xr:uid="{00000000-0005-0000-0000-00005A2A0000}"/>
    <cellStyle name="Vírgula 3 4 9" xfId="717" xr:uid="{00000000-0005-0000-0000-00005B2A0000}"/>
    <cellStyle name="Vírgula 3 4 9 2" xfId="1745" xr:uid="{00000000-0005-0000-0000-00005C2A0000}"/>
    <cellStyle name="Vírgula 3 4 9 2 2" xfId="3803" xr:uid="{00000000-0005-0000-0000-00005D2A0000}"/>
    <cellStyle name="Vírgula 3 4 9 2 2 2" xfId="10319" xr:uid="{00000000-0005-0000-0000-00005E2A0000}"/>
    <cellStyle name="Vírgula 3 4 9 2 3" xfId="6033" xr:uid="{00000000-0005-0000-0000-00005F2A0000}"/>
    <cellStyle name="Vírgula 3 4 9 2 3 2" xfId="12547" xr:uid="{00000000-0005-0000-0000-0000602A0000}"/>
    <cellStyle name="Vírgula 3 4 9 2 4" xfId="8263" xr:uid="{00000000-0005-0000-0000-0000612A0000}"/>
    <cellStyle name="Vírgula 3 4 9 3" xfId="2775" xr:uid="{00000000-0005-0000-0000-0000622A0000}"/>
    <cellStyle name="Vírgula 3 4 9 3 2" xfId="9291" xr:uid="{00000000-0005-0000-0000-0000632A0000}"/>
    <cellStyle name="Vírgula 3 4 9 4" xfId="5005" xr:uid="{00000000-0005-0000-0000-0000642A0000}"/>
    <cellStyle name="Vírgula 3 4 9 4 2" xfId="11519" xr:uid="{00000000-0005-0000-0000-0000652A0000}"/>
    <cellStyle name="Vírgula 3 4 9 5" xfId="7235" xr:uid="{00000000-0005-0000-0000-0000662A0000}"/>
    <cellStyle name="Vírgula 3 5" xfId="33" xr:uid="{00000000-0005-0000-0000-0000672A0000}"/>
    <cellStyle name="Vírgula 3 5 10" xfId="4331" xr:uid="{00000000-0005-0000-0000-0000682A0000}"/>
    <cellStyle name="Vírgula 3 5 10 2" xfId="10845" xr:uid="{00000000-0005-0000-0000-0000692A0000}"/>
    <cellStyle name="Vírgula 3 5 11" xfId="6561" xr:uid="{00000000-0005-0000-0000-00006A2A0000}"/>
    <cellStyle name="Vírgula 3 5 2" xfId="71" xr:uid="{00000000-0005-0000-0000-00006B2A0000}"/>
    <cellStyle name="Vírgula 3 5 2 10" xfId="6598" xr:uid="{00000000-0005-0000-0000-00006C2A0000}"/>
    <cellStyle name="Vírgula 3 5 2 2" xfId="145" xr:uid="{00000000-0005-0000-0000-00006D2A0000}"/>
    <cellStyle name="Vírgula 3 5 2 2 2" xfId="219" xr:uid="{00000000-0005-0000-0000-00006E2A0000}"/>
    <cellStyle name="Vírgula 3 5 2 2 2 2" xfId="347" xr:uid="{00000000-0005-0000-0000-00006F2A0000}"/>
    <cellStyle name="Vírgula 3 5 2 2 2 2 2" xfId="690" xr:uid="{00000000-0005-0000-0000-0000702A0000}"/>
    <cellStyle name="Vírgula 3 5 2 2 2 2 2 2" xfId="1214" xr:uid="{00000000-0005-0000-0000-0000712A0000}"/>
    <cellStyle name="Vírgula 3 5 2 2 2 2 2 2 2" xfId="2242" xr:uid="{00000000-0005-0000-0000-0000722A0000}"/>
    <cellStyle name="Vírgula 3 5 2 2 2 2 2 2 2 2" xfId="4300" xr:uid="{00000000-0005-0000-0000-0000732A0000}"/>
    <cellStyle name="Vírgula 3 5 2 2 2 2 2 2 2 2 2" xfId="10816" xr:uid="{00000000-0005-0000-0000-0000742A0000}"/>
    <cellStyle name="Vírgula 3 5 2 2 2 2 2 2 2 3" xfId="6530" xr:uid="{00000000-0005-0000-0000-0000752A0000}"/>
    <cellStyle name="Vírgula 3 5 2 2 2 2 2 2 2 3 2" xfId="13044" xr:uid="{00000000-0005-0000-0000-0000762A0000}"/>
    <cellStyle name="Vírgula 3 5 2 2 2 2 2 2 2 4" xfId="8760" xr:uid="{00000000-0005-0000-0000-0000772A0000}"/>
    <cellStyle name="Vírgula 3 5 2 2 2 2 2 2 3" xfId="3272" xr:uid="{00000000-0005-0000-0000-0000782A0000}"/>
    <cellStyle name="Vírgula 3 5 2 2 2 2 2 2 3 2" xfId="9788" xr:uid="{00000000-0005-0000-0000-0000792A0000}"/>
    <cellStyle name="Vírgula 3 5 2 2 2 2 2 2 4" xfId="5502" xr:uid="{00000000-0005-0000-0000-00007A2A0000}"/>
    <cellStyle name="Vírgula 3 5 2 2 2 2 2 2 4 2" xfId="12016" xr:uid="{00000000-0005-0000-0000-00007B2A0000}"/>
    <cellStyle name="Vírgula 3 5 2 2 2 2 2 2 5" xfId="7732" xr:uid="{00000000-0005-0000-0000-00007C2A0000}"/>
    <cellStyle name="Vírgula 3 5 2 2 2 2 2 3" xfId="1728" xr:uid="{00000000-0005-0000-0000-00007D2A0000}"/>
    <cellStyle name="Vírgula 3 5 2 2 2 2 2 3 2" xfId="3786" xr:uid="{00000000-0005-0000-0000-00007E2A0000}"/>
    <cellStyle name="Vírgula 3 5 2 2 2 2 2 3 2 2" xfId="10302" xr:uid="{00000000-0005-0000-0000-00007F2A0000}"/>
    <cellStyle name="Vírgula 3 5 2 2 2 2 2 3 3" xfId="6016" xr:uid="{00000000-0005-0000-0000-0000802A0000}"/>
    <cellStyle name="Vírgula 3 5 2 2 2 2 2 3 3 2" xfId="12530" xr:uid="{00000000-0005-0000-0000-0000812A0000}"/>
    <cellStyle name="Vírgula 3 5 2 2 2 2 2 3 4" xfId="8246" xr:uid="{00000000-0005-0000-0000-0000822A0000}"/>
    <cellStyle name="Vírgula 3 5 2 2 2 2 2 4" xfId="2758" xr:uid="{00000000-0005-0000-0000-0000832A0000}"/>
    <cellStyle name="Vírgula 3 5 2 2 2 2 2 4 2" xfId="9274" xr:uid="{00000000-0005-0000-0000-0000842A0000}"/>
    <cellStyle name="Vírgula 3 5 2 2 2 2 2 5" xfId="4986" xr:uid="{00000000-0005-0000-0000-0000852A0000}"/>
    <cellStyle name="Vírgula 3 5 2 2 2 2 2 5 2" xfId="11500" xr:uid="{00000000-0005-0000-0000-0000862A0000}"/>
    <cellStyle name="Vírgula 3 5 2 2 2 2 2 6" xfId="7216" xr:uid="{00000000-0005-0000-0000-0000872A0000}"/>
    <cellStyle name="Vírgula 3 5 2 2 2 2 3" xfId="958" xr:uid="{00000000-0005-0000-0000-0000882A0000}"/>
    <cellStyle name="Vírgula 3 5 2 2 2 2 3 2" xfId="1986" xr:uid="{00000000-0005-0000-0000-0000892A0000}"/>
    <cellStyle name="Vírgula 3 5 2 2 2 2 3 2 2" xfId="4044" xr:uid="{00000000-0005-0000-0000-00008A2A0000}"/>
    <cellStyle name="Vírgula 3 5 2 2 2 2 3 2 2 2" xfId="10560" xr:uid="{00000000-0005-0000-0000-00008B2A0000}"/>
    <cellStyle name="Vírgula 3 5 2 2 2 2 3 2 3" xfId="6274" xr:uid="{00000000-0005-0000-0000-00008C2A0000}"/>
    <cellStyle name="Vírgula 3 5 2 2 2 2 3 2 3 2" xfId="12788" xr:uid="{00000000-0005-0000-0000-00008D2A0000}"/>
    <cellStyle name="Vírgula 3 5 2 2 2 2 3 2 4" xfId="8504" xr:uid="{00000000-0005-0000-0000-00008E2A0000}"/>
    <cellStyle name="Vírgula 3 5 2 2 2 2 3 3" xfId="3016" xr:uid="{00000000-0005-0000-0000-00008F2A0000}"/>
    <cellStyle name="Vírgula 3 5 2 2 2 2 3 3 2" xfId="9532" xr:uid="{00000000-0005-0000-0000-0000902A0000}"/>
    <cellStyle name="Vírgula 3 5 2 2 2 2 3 4" xfId="5246" xr:uid="{00000000-0005-0000-0000-0000912A0000}"/>
    <cellStyle name="Vírgula 3 5 2 2 2 2 3 4 2" xfId="11760" xr:uid="{00000000-0005-0000-0000-0000922A0000}"/>
    <cellStyle name="Vírgula 3 5 2 2 2 2 3 5" xfId="7476" xr:uid="{00000000-0005-0000-0000-0000932A0000}"/>
    <cellStyle name="Vírgula 3 5 2 2 2 2 4" xfId="1472" xr:uid="{00000000-0005-0000-0000-0000942A0000}"/>
    <cellStyle name="Vírgula 3 5 2 2 2 2 4 2" xfId="3530" xr:uid="{00000000-0005-0000-0000-0000952A0000}"/>
    <cellStyle name="Vírgula 3 5 2 2 2 2 4 2 2" xfId="10046" xr:uid="{00000000-0005-0000-0000-0000962A0000}"/>
    <cellStyle name="Vírgula 3 5 2 2 2 2 4 3" xfId="5760" xr:uid="{00000000-0005-0000-0000-0000972A0000}"/>
    <cellStyle name="Vírgula 3 5 2 2 2 2 4 3 2" xfId="12274" xr:uid="{00000000-0005-0000-0000-0000982A0000}"/>
    <cellStyle name="Vírgula 3 5 2 2 2 2 4 4" xfId="7990" xr:uid="{00000000-0005-0000-0000-0000992A0000}"/>
    <cellStyle name="Vírgula 3 5 2 2 2 2 5" xfId="2502" xr:uid="{00000000-0005-0000-0000-00009A2A0000}"/>
    <cellStyle name="Vírgula 3 5 2 2 2 2 5 2" xfId="9018" xr:uid="{00000000-0005-0000-0000-00009B2A0000}"/>
    <cellStyle name="Vírgula 3 5 2 2 2 2 6" xfId="4644" xr:uid="{00000000-0005-0000-0000-00009C2A0000}"/>
    <cellStyle name="Vírgula 3 5 2 2 2 2 6 2" xfId="11158" xr:uid="{00000000-0005-0000-0000-00009D2A0000}"/>
    <cellStyle name="Vírgula 3 5 2 2 2 2 7" xfId="6874" xr:uid="{00000000-0005-0000-0000-00009E2A0000}"/>
    <cellStyle name="Vírgula 3 5 2 2 2 3" xfId="562" xr:uid="{00000000-0005-0000-0000-00009F2A0000}"/>
    <cellStyle name="Vírgula 3 5 2 2 2 3 2" xfId="1086" xr:uid="{00000000-0005-0000-0000-0000A02A0000}"/>
    <cellStyle name="Vírgula 3 5 2 2 2 3 2 2" xfId="2114" xr:uid="{00000000-0005-0000-0000-0000A12A0000}"/>
    <cellStyle name="Vírgula 3 5 2 2 2 3 2 2 2" xfId="4172" xr:uid="{00000000-0005-0000-0000-0000A22A0000}"/>
    <cellStyle name="Vírgula 3 5 2 2 2 3 2 2 2 2" xfId="10688" xr:uid="{00000000-0005-0000-0000-0000A32A0000}"/>
    <cellStyle name="Vírgula 3 5 2 2 2 3 2 2 3" xfId="6402" xr:uid="{00000000-0005-0000-0000-0000A42A0000}"/>
    <cellStyle name="Vírgula 3 5 2 2 2 3 2 2 3 2" xfId="12916" xr:uid="{00000000-0005-0000-0000-0000A52A0000}"/>
    <cellStyle name="Vírgula 3 5 2 2 2 3 2 2 4" xfId="8632" xr:uid="{00000000-0005-0000-0000-0000A62A0000}"/>
    <cellStyle name="Vírgula 3 5 2 2 2 3 2 3" xfId="3144" xr:uid="{00000000-0005-0000-0000-0000A72A0000}"/>
    <cellStyle name="Vírgula 3 5 2 2 2 3 2 3 2" xfId="9660" xr:uid="{00000000-0005-0000-0000-0000A82A0000}"/>
    <cellStyle name="Vírgula 3 5 2 2 2 3 2 4" xfId="5374" xr:uid="{00000000-0005-0000-0000-0000A92A0000}"/>
    <cellStyle name="Vírgula 3 5 2 2 2 3 2 4 2" xfId="11888" xr:uid="{00000000-0005-0000-0000-0000AA2A0000}"/>
    <cellStyle name="Vírgula 3 5 2 2 2 3 2 5" xfId="7604" xr:uid="{00000000-0005-0000-0000-0000AB2A0000}"/>
    <cellStyle name="Vírgula 3 5 2 2 2 3 3" xfId="1600" xr:uid="{00000000-0005-0000-0000-0000AC2A0000}"/>
    <cellStyle name="Vírgula 3 5 2 2 2 3 3 2" xfId="3658" xr:uid="{00000000-0005-0000-0000-0000AD2A0000}"/>
    <cellStyle name="Vírgula 3 5 2 2 2 3 3 2 2" xfId="10174" xr:uid="{00000000-0005-0000-0000-0000AE2A0000}"/>
    <cellStyle name="Vírgula 3 5 2 2 2 3 3 3" xfId="5888" xr:uid="{00000000-0005-0000-0000-0000AF2A0000}"/>
    <cellStyle name="Vírgula 3 5 2 2 2 3 3 3 2" xfId="12402" xr:uid="{00000000-0005-0000-0000-0000B02A0000}"/>
    <cellStyle name="Vírgula 3 5 2 2 2 3 3 4" xfId="8118" xr:uid="{00000000-0005-0000-0000-0000B12A0000}"/>
    <cellStyle name="Vírgula 3 5 2 2 2 3 4" xfId="2630" xr:uid="{00000000-0005-0000-0000-0000B22A0000}"/>
    <cellStyle name="Vírgula 3 5 2 2 2 3 4 2" xfId="9146" xr:uid="{00000000-0005-0000-0000-0000B32A0000}"/>
    <cellStyle name="Vírgula 3 5 2 2 2 3 5" xfId="4858" xr:uid="{00000000-0005-0000-0000-0000B42A0000}"/>
    <cellStyle name="Vírgula 3 5 2 2 2 3 5 2" xfId="11372" xr:uid="{00000000-0005-0000-0000-0000B52A0000}"/>
    <cellStyle name="Vírgula 3 5 2 2 2 3 6" xfId="7088" xr:uid="{00000000-0005-0000-0000-0000B62A0000}"/>
    <cellStyle name="Vírgula 3 5 2 2 2 4" xfId="830" xr:uid="{00000000-0005-0000-0000-0000B72A0000}"/>
    <cellStyle name="Vírgula 3 5 2 2 2 4 2" xfId="1858" xr:uid="{00000000-0005-0000-0000-0000B82A0000}"/>
    <cellStyle name="Vírgula 3 5 2 2 2 4 2 2" xfId="3916" xr:uid="{00000000-0005-0000-0000-0000B92A0000}"/>
    <cellStyle name="Vírgula 3 5 2 2 2 4 2 2 2" xfId="10432" xr:uid="{00000000-0005-0000-0000-0000BA2A0000}"/>
    <cellStyle name="Vírgula 3 5 2 2 2 4 2 3" xfId="6146" xr:uid="{00000000-0005-0000-0000-0000BB2A0000}"/>
    <cellStyle name="Vírgula 3 5 2 2 2 4 2 3 2" xfId="12660" xr:uid="{00000000-0005-0000-0000-0000BC2A0000}"/>
    <cellStyle name="Vírgula 3 5 2 2 2 4 2 4" xfId="8376" xr:uid="{00000000-0005-0000-0000-0000BD2A0000}"/>
    <cellStyle name="Vírgula 3 5 2 2 2 4 3" xfId="2888" xr:uid="{00000000-0005-0000-0000-0000BE2A0000}"/>
    <cellStyle name="Vírgula 3 5 2 2 2 4 3 2" xfId="9404" xr:uid="{00000000-0005-0000-0000-0000BF2A0000}"/>
    <cellStyle name="Vírgula 3 5 2 2 2 4 4" xfId="5118" xr:uid="{00000000-0005-0000-0000-0000C02A0000}"/>
    <cellStyle name="Vírgula 3 5 2 2 2 4 4 2" xfId="11632" xr:uid="{00000000-0005-0000-0000-0000C12A0000}"/>
    <cellStyle name="Vírgula 3 5 2 2 2 4 5" xfId="7348" xr:uid="{00000000-0005-0000-0000-0000C22A0000}"/>
    <cellStyle name="Vírgula 3 5 2 2 2 5" xfId="1344" xr:uid="{00000000-0005-0000-0000-0000C32A0000}"/>
    <cellStyle name="Vírgula 3 5 2 2 2 5 2" xfId="3402" xr:uid="{00000000-0005-0000-0000-0000C42A0000}"/>
    <cellStyle name="Vírgula 3 5 2 2 2 5 2 2" xfId="9918" xr:uid="{00000000-0005-0000-0000-0000C52A0000}"/>
    <cellStyle name="Vírgula 3 5 2 2 2 5 3" xfId="5632" xr:uid="{00000000-0005-0000-0000-0000C62A0000}"/>
    <cellStyle name="Vírgula 3 5 2 2 2 5 3 2" xfId="12146" xr:uid="{00000000-0005-0000-0000-0000C72A0000}"/>
    <cellStyle name="Vírgula 3 5 2 2 2 5 4" xfId="7862" xr:uid="{00000000-0005-0000-0000-0000C82A0000}"/>
    <cellStyle name="Vírgula 3 5 2 2 2 6" xfId="2374" xr:uid="{00000000-0005-0000-0000-0000C92A0000}"/>
    <cellStyle name="Vírgula 3 5 2 2 2 6 2" xfId="8890" xr:uid="{00000000-0005-0000-0000-0000CA2A0000}"/>
    <cellStyle name="Vírgula 3 5 2 2 2 7" xfId="4516" xr:uid="{00000000-0005-0000-0000-0000CB2A0000}"/>
    <cellStyle name="Vírgula 3 5 2 2 2 7 2" xfId="11030" xr:uid="{00000000-0005-0000-0000-0000CC2A0000}"/>
    <cellStyle name="Vírgula 3 5 2 2 2 8" xfId="6746" xr:uid="{00000000-0005-0000-0000-0000CD2A0000}"/>
    <cellStyle name="Vírgula 3 5 2 2 3" xfId="283" xr:uid="{00000000-0005-0000-0000-0000CE2A0000}"/>
    <cellStyle name="Vírgula 3 5 2 2 3 2" xfId="626" xr:uid="{00000000-0005-0000-0000-0000CF2A0000}"/>
    <cellStyle name="Vírgula 3 5 2 2 3 2 2" xfId="1150" xr:uid="{00000000-0005-0000-0000-0000D02A0000}"/>
    <cellStyle name="Vírgula 3 5 2 2 3 2 2 2" xfId="2178" xr:uid="{00000000-0005-0000-0000-0000D12A0000}"/>
    <cellStyle name="Vírgula 3 5 2 2 3 2 2 2 2" xfId="4236" xr:uid="{00000000-0005-0000-0000-0000D22A0000}"/>
    <cellStyle name="Vírgula 3 5 2 2 3 2 2 2 2 2" xfId="10752" xr:uid="{00000000-0005-0000-0000-0000D32A0000}"/>
    <cellStyle name="Vírgula 3 5 2 2 3 2 2 2 3" xfId="6466" xr:uid="{00000000-0005-0000-0000-0000D42A0000}"/>
    <cellStyle name="Vírgula 3 5 2 2 3 2 2 2 3 2" xfId="12980" xr:uid="{00000000-0005-0000-0000-0000D52A0000}"/>
    <cellStyle name="Vírgula 3 5 2 2 3 2 2 2 4" xfId="8696" xr:uid="{00000000-0005-0000-0000-0000D62A0000}"/>
    <cellStyle name="Vírgula 3 5 2 2 3 2 2 3" xfId="3208" xr:uid="{00000000-0005-0000-0000-0000D72A0000}"/>
    <cellStyle name="Vírgula 3 5 2 2 3 2 2 3 2" xfId="9724" xr:uid="{00000000-0005-0000-0000-0000D82A0000}"/>
    <cellStyle name="Vírgula 3 5 2 2 3 2 2 4" xfId="5438" xr:uid="{00000000-0005-0000-0000-0000D92A0000}"/>
    <cellStyle name="Vírgula 3 5 2 2 3 2 2 4 2" xfId="11952" xr:uid="{00000000-0005-0000-0000-0000DA2A0000}"/>
    <cellStyle name="Vírgula 3 5 2 2 3 2 2 5" xfId="7668" xr:uid="{00000000-0005-0000-0000-0000DB2A0000}"/>
    <cellStyle name="Vírgula 3 5 2 2 3 2 3" xfId="1664" xr:uid="{00000000-0005-0000-0000-0000DC2A0000}"/>
    <cellStyle name="Vírgula 3 5 2 2 3 2 3 2" xfId="3722" xr:uid="{00000000-0005-0000-0000-0000DD2A0000}"/>
    <cellStyle name="Vírgula 3 5 2 2 3 2 3 2 2" xfId="10238" xr:uid="{00000000-0005-0000-0000-0000DE2A0000}"/>
    <cellStyle name="Vírgula 3 5 2 2 3 2 3 3" xfId="5952" xr:uid="{00000000-0005-0000-0000-0000DF2A0000}"/>
    <cellStyle name="Vírgula 3 5 2 2 3 2 3 3 2" xfId="12466" xr:uid="{00000000-0005-0000-0000-0000E02A0000}"/>
    <cellStyle name="Vírgula 3 5 2 2 3 2 3 4" xfId="8182" xr:uid="{00000000-0005-0000-0000-0000E12A0000}"/>
    <cellStyle name="Vírgula 3 5 2 2 3 2 4" xfId="2694" xr:uid="{00000000-0005-0000-0000-0000E22A0000}"/>
    <cellStyle name="Vírgula 3 5 2 2 3 2 4 2" xfId="9210" xr:uid="{00000000-0005-0000-0000-0000E32A0000}"/>
    <cellStyle name="Vírgula 3 5 2 2 3 2 5" xfId="4922" xr:uid="{00000000-0005-0000-0000-0000E42A0000}"/>
    <cellStyle name="Vírgula 3 5 2 2 3 2 5 2" xfId="11436" xr:uid="{00000000-0005-0000-0000-0000E52A0000}"/>
    <cellStyle name="Vírgula 3 5 2 2 3 2 6" xfId="7152" xr:uid="{00000000-0005-0000-0000-0000E62A0000}"/>
    <cellStyle name="Vírgula 3 5 2 2 3 3" xfId="894" xr:uid="{00000000-0005-0000-0000-0000E72A0000}"/>
    <cellStyle name="Vírgula 3 5 2 2 3 3 2" xfId="1922" xr:uid="{00000000-0005-0000-0000-0000E82A0000}"/>
    <cellStyle name="Vírgula 3 5 2 2 3 3 2 2" xfId="3980" xr:uid="{00000000-0005-0000-0000-0000E92A0000}"/>
    <cellStyle name="Vírgula 3 5 2 2 3 3 2 2 2" xfId="10496" xr:uid="{00000000-0005-0000-0000-0000EA2A0000}"/>
    <cellStyle name="Vírgula 3 5 2 2 3 3 2 3" xfId="6210" xr:uid="{00000000-0005-0000-0000-0000EB2A0000}"/>
    <cellStyle name="Vírgula 3 5 2 2 3 3 2 3 2" xfId="12724" xr:uid="{00000000-0005-0000-0000-0000EC2A0000}"/>
    <cellStyle name="Vírgula 3 5 2 2 3 3 2 4" xfId="8440" xr:uid="{00000000-0005-0000-0000-0000ED2A0000}"/>
    <cellStyle name="Vírgula 3 5 2 2 3 3 3" xfId="2952" xr:uid="{00000000-0005-0000-0000-0000EE2A0000}"/>
    <cellStyle name="Vírgula 3 5 2 2 3 3 3 2" xfId="9468" xr:uid="{00000000-0005-0000-0000-0000EF2A0000}"/>
    <cellStyle name="Vírgula 3 5 2 2 3 3 4" xfId="5182" xr:uid="{00000000-0005-0000-0000-0000F02A0000}"/>
    <cellStyle name="Vírgula 3 5 2 2 3 3 4 2" xfId="11696" xr:uid="{00000000-0005-0000-0000-0000F12A0000}"/>
    <cellStyle name="Vírgula 3 5 2 2 3 3 5" xfId="7412" xr:uid="{00000000-0005-0000-0000-0000F22A0000}"/>
    <cellStyle name="Vírgula 3 5 2 2 3 4" xfId="1408" xr:uid="{00000000-0005-0000-0000-0000F32A0000}"/>
    <cellStyle name="Vírgula 3 5 2 2 3 4 2" xfId="3466" xr:uid="{00000000-0005-0000-0000-0000F42A0000}"/>
    <cellStyle name="Vírgula 3 5 2 2 3 4 2 2" xfId="9982" xr:uid="{00000000-0005-0000-0000-0000F52A0000}"/>
    <cellStyle name="Vírgula 3 5 2 2 3 4 3" xfId="5696" xr:uid="{00000000-0005-0000-0000-0000F62A0000}"/>
    <cellStyle name="Vírgula 3 5 2 2 3 4 3 2" xfId="12210" xr:uid="{00000000-0005-0000-0000-0000F72A0000}"/>
    <cellStyle name="Vírgula 3 5 2 2 3 4 4" xfId="7926" xr:uid="{00000000-0005-0000-0000-0000F82A0000}"/>
    <cellStyle name="Vírgula 3 5 2 2 3 5" xfId="2438" xr:uid="{00000000-0005-0000-0000-0000F92A0000}"/>
    <cellStyle name="Vírgula 3 5 2 2 3 5 2" xfId="8954" xr:uid="{00000000-0005-0000-0000-0000FA2A0000}"/>
    <cellStyle name="Vírgula 3 5 2 2 3 6" xfId="4580" xr:uid="{00000000-0005-0000-0000-0000FB2A0000}"/>
    <cellStyle name="Vírgula 3 5 2 2 3 6 2" xfId="11094" xr:uid="{00000000-0005-0000-0000-0000FC2A0000}"/>
    <cellStyle name="Vírgula 3 5 2 2 3 7" xfId="6810" xr:uid="{00000000-0005-0000-0000-0000FD2A0000}"/>
    <cellStyle name="Vírgula 3 5 2 2 4" xfId="488" xr:uid="{00000000-0005-0000-0000-0000FE2A0000}"/>
    <cellStyle name="Vírgula 3 5 2 2 4 2" xfId="1022" xr:uid="{00000000-0005-0000-0000-0000FF2A0000}"/>
    <cellStyle name="Vírgula 3 5 2 2 4 2 2" xfId="2050" xr:uid="{00000000-0005-0000-0000-0000002B0000}"/>
    <cellStyle name="Vírgula 3 5 2 2 4 2 2 2" xfId="4108" xr:uid="{00000000-0005-0000-0000-0000012B0000}"/>
    <cellStyle name="Vírgula 3 5 2 2 4 2 2 2 2" xfId="10624" xr:uid="{00000000-0005-0000-0000-0000022B0000}"/>
    <cellStyle name="Vírgula 3 5 2 2 4 2 2 3" xfId="6338" xr:uid="{00000000-0005-0000-0000-0000032B0000}"/>
    <cellStyle name="Vírgula 3 5 2 2 4 2 2 3 2" xfId="12852" xr:uid="{00000000-0005-0000-0000-0000042B0000}"/>
    <cellStyle name="Vírgula 3 5 2 2 4 2 2 4" xfId="8568" xr:uid="{00000000-0005-0000-0000-0000052B0000}"/>
    <cellStyle name="Vírgula 3 5 2 2 4 2 3" xfId="3080" xr:uid="{00000000-0005-0000-0000-0000062B0000}"/>
    <cellStyle name="Vírgula 3 5 2 2 4 2 3 2" xfId="9596" xr:uid="{00000000-0005-0000-0000-0000072B0000}"/>
    <cellStyle name="Vírgula 3 5 2 2 4 2 4" xfId="5310" xr:uid="{00000000-0005-0000-0000-0000082B0000}"/>
    <cellStyle name="Vírgula 3 5 2 2 4 2 4 2" xfId="11824" xr:uid="{00000000-0005-0000-0000-0000092B0000}"/>
    <cellStyle name="Vírgula 3 5 2 2 4 2 5" xfId="7540" xr:uid="{00000000-0005-0000-0000-00000A2B0000}"/>
    <cellStyle name="Vírgula 3 5 2 2 4 3" xfId="1536" xr:uid="{00000000-0005-0000-0000-00000B2B0000}"/>
    <cellStyle name="Vírgula 3 5 2 2 4 3 2" xfId="3594" xr:uid="{00000000-0005-0000-0000-00000C2B0000}"/>
    <cellStyle name="Vírgula 3 5 2 2 4 3 2 2" xfId="10110" xr:uid="{00000000-0005-0000-0000-00000D2B0000}"/>
    <cellStyle name="Vírgula 3 5 2 2 4 3 3" xfId="5824" xr:uid="{00000000-0005-0000-0000-00000E2B0000}"/>
    <cellStyle name="Vírgula 3 5 2 2 4 3 3 2" xfId="12338" xr:uid="{00000000-0005-0000-0000-00000F2B0000}"/>
    <cellStyle name="Vírgula 3 5 2 2 4 3 4" xfId="8054" xr:uid="{00000000-0005-0000-0000-0000102B0000}"/>
    <cellStyle name="Vírgula 3 5 2 2 4 4" xfId="2566" xr:uid="{00000000-0005-0000-0000-0000112B0000}"/>
    <cellStyle name="Vírgula 3 5 2 2 4 4 2" xfId="9082" xr:uid="{00000000-0005-0000-0000-0000122B0000}"/>
    <cellStyle name="Vírgula 3 5 2 2 4 5" xfId="4784" xr:uid="{00000000-0005-0000-0000-0000132B0000}"/>
    <cellStyle name="Vírgula 3 5 2 2 4 5 2" xfId="11298" xr:uid="{00000000-0005-0000-0000-0000142B0000}"/>
    <cellStyle name="Vírgula 3 5 2 2 4 6" xfId="7014" xr:uid="{00000000-0005-0000-0000-0000152B0000}"/>
    <cellStyle name="Vírgula 3 5 2 2 5" xfId="766" xr:uid="{00000000-0005-0000-0000-0000162B0000}"/>
    <cellStyle name="Vírgula 3 5 2 2 5 2" xfId="1794" xr:uid="{00000000-0005-0000-0000-0000172B0000}"/>
    <cellStyle name="Vírgula 3 5 2 2 5 2 2" xfId="3852" xr:uid="{00000000-0005-0000-0000-0000182B0000}"/>
    <cellStyle name="Vírgula 3 5 2 2 5 2 2 2" xfId="10368" xr:uid="{00000000-0005-0000-0000-0000192B0000}"/>
    <cellStyle name="Vírgula 3 5 2 2 5 2 3" xfId="6082" xr:uid="{00000000-0005-0000-0000-00001A2B0000}"/>
    <cellStyle name="Vírgula 3 5 2 2 5 2 3 2" xfId="12596" xr:uid="{00000000-0005-0000-0000-00001B2B0000}"/>
    <cellStyle name="Vírgula 3 5 2 2 5 2 4" xfId="8312" xr:uid="{00000000-0005-0000-0000-00001C2B0000}"/>
    <cellStyle name="Vírgula 3 5 2 2 5 3" xfId="2824" xr:uid="{00000000-0005-0000-0000-00001D2B0000}"/>
    <cellStyle name="Vírgula 3 5 2 2 5 3 2" xfId="9340" xr:uid="{00000000-0005-0000-0000-00001E2B0000}"/>
    <cellStyle name="Vírgula 3 5 2 2 5 4" xfId="5054" xr:uid="{00000000-0005-0000-0000-00001F2B0000}"/>
    <cellStyle name="Vírgula 3 5 2 2 5 4 2" xfId="11568" xr:uid="{00000000-0005-0000-0000-0000202B0000}"/>
    <cellStyle name="Vírgula 3 5 2 2 5 5" xfId="7284" xr:uid="{00000000-0005-0000-0000-0000212B0000}"/>
    <cellStyle name="Vírgula 3 5 2 2 6" xfId="1280" xr:uid="{00000000-0005-0000-0000-0000222B0000}"/>
    <cellStyle name="Vírgula 3 5 2 2 6 2" xfId="3338" xr:uid="{00000000-0005-0000-0000-0000232B0000}"/>
    <cellStyle name="Vírgula 3 5 2 2 6 2 2" xfId="9854" xr:uid="{00000000-0005-0000-0000-0000242B0000}"/>
    <cellStyle name="Vírgula 3 5 2 2 6 3" xfId="5568" xr:uid="{00000000-0005-0000-0000-0000252B0000}"/>
    <cellStyle name="Vírgula 3 5 2 2 6 3 2" xfId="12082" xr:uid="{00000000-0005-0000-0000-0000262B0000}"/>
    <cellStyle name="Vírgula 3 5 2 2 6 4" xfId="7798" xr:uid="{00000000-0005-0000-0000-0000272B0000}"/>
    <cellStyle name="Vírgula 3 5 2 2 7" xfId="2310" xr:uid="{00000000-0005-0000-0000-0000282B0000}"/>
    <cellStyle name="Vírgula 3 5 2 2 7 2" xfId="8826" xr:uid="{00000000-0005-0000-0000-0000292B0000}"/>
    <cellStyle name="Vírgula 3 5 2 2 8" xfId="4442" xr:uid="{00000000-0005-0000-0000-00002A2B0000}"/>
    <cellStyle name="Vírgula 3 5 2 2 8 2" xfId="10956" xr:uid="{00000000-0005-0000-0000-00002B2B0000}"/>
    <cellStyle name="Vírgula 3 5 2 2 9" xfId="6672" xr:uid="{00000000-0005-0000-0000-00002C2B0000}"/>
    <cellStyle name="Vírgula 3 5 2 3" xfId="187" xr:uid="{00000000-0005-0000-0000-00002D2B0000}"/>
    <cellStyle name="Vírgula 3 5 2 3 2" xfId="315" xr:uid="{00000000-0005-0000-0000-00002E2B0000}"/>
    <cellStyle name="Vírgula 3 5 2 3 2 2" xfId="658" xr:uid="{00000000-0005-0000-0000-00002F2B0000}"/>
    <cellStyle name="Vírgula 3 5 2 3 2 2 2" xfId="1182" xr:uid="{00000000-0005-0000-0000-0000302B0000}"/>
    <cellStyle name="Vírgula 3 5 2 3 2 2 2 2" xfId="2210" xr:uid="{00000000-0005-0000-0000-0000312B0000}"/>
    <cellStyle name="Vírgula 3 5 2 3 2 2 2 2 2" xfId="4268" xr:uid="{00000000-0005-0000-0000-0000322B0000}"/>
    <cellStyle name="Vírgula 3 5 2 3 2 2 2 2 2 2" xfId="10784" xr:uid="{00000000-0005-0000-0000-0000332B0000}"/>
    <cellStyle name="Vírgula 3 5 2 3 2 2 2 2 3" xfId="6498" xr:uid="{00000000-0005-0000-0000-0000342B0000}"/>
    <cellStyle name="Vírgula 3 5 2 3 2 2 2 2 3 2" xfId="13012" xr:uid="{00000000-0005-0000-0000-0000352B0000}"/>
    <cellStyle name="Vírgula 3 5 2 3 2 2 2 2 4" xfId="8728" xr:uid="{00000000-0005-0000-0000-0000362B0000}"/>
    <cellStyle name="Vírgula 3 5 2 3 2 2 2 3" xfId="3240" xr:uid="{00000000-0005-0000-0000-0000372B0000}"/>
    <cellStyle name="Vírgula 3 5 2 3 2 2 2 3 2" xfId="9756" xr:uid="{00000000-0005-0000-0000-0000382B0000}"/>
    <cellStyle name="Vírgula 3 5 2 3 2 2 2 4" xfId="5470" xr:uid="{00000000-0005-0000-0000-0000392B0000}"/>
    <cellStyle name="Vírgula 3 5 2 3 2 2 2 4 2" xfId="11984" xr:uid="{00000000-0005-0000-0000-00003A2B0000}"/>
    <cellStyle name="Vírgula 3 5 2 3 2 2 2 5" xfId="7700" xr:uid="{00000000-0005-0000-0000-00003B2B0000}"/>
    <cellStyle name="Vírgula 3 5 2 3 2 2 3" xfId="1696" xr:uid="{00000000-0005-0000-0000-00003C2B0000}"/>
    <cellStyle name="Vírgula 3 5 2 3 2 2 3 2" xfId="3754" xr:uid="{00000000-0005-0000-0000-00003D2B0000}"/>
    <cellStyle name="Vírgula 3 5 2 3 2 2 3 2 2" xfId="10270" xr:uid="{00000000-0005-0000-0000-00003E2B0000}"/>
    <cellStyle name="Vírgula 3 5 2 3 2 2 3 3" xfId="5984" xr:uid="{00000000-0005-0000-0000-00003F2B0000}"/>
    <cellStyle name="Vírgula 3 5 2 3 2 2 3 3 2" xfId="12498" xr:uid="{00000000-0005-0000-0000-0000402B0000}"/>
    <cellStyle name="Vírgula 3 5 2 3 2 2 3 4" xfId="8214" xr:uid="{00000000-0005-0000-0000-0000412B0000}"/>
    <cellStyle name="Vírgula 3 5 2 3 2 2 4" xfId="2726" xr:uid="{00000000-0005-0000-0000-0000422B0000}"/>
    <cellStyle name="Vírgula 3 5 2 3 2 2 4 2" xfId="9242" xr:uid="{00000000-0005-0000-0000-0000432B0000}"/>
    <cellStyle name="Vírgula 3 5 2 3 2 2 5" xfId="4954" xr:uid="{00000000-0005-0000-0000-0000442B0000}"/>
    <cellStyle name="Vírgula 3 5 2 3 2 2 5 2" xfId="11468" xr:uid="{00000000-0005-0000-0000-0000452B0000}"/>
    <cellStyle name="Vírgula 3 5 2 3 2 2 6" xfId="7184" xr:uid="{00000000-0005-0000-0000-0000462B0000}"/>
    <cellStyle name="Vírgula 3 5 2 3 2 3" xfId="926" xr:uid="{00000000-0005-0000-0000-0000472B0000}"/>
    <cellStyle name="Vírgula 3 5 2 3 2 3 2" xfId="1954" xr:uid="{00000000-0005-0000-0000-0000482B0000}"/>
    <cellStyle name="Vírgula 3 5 2 3 2 3 2 2" xfId="4012" xr:uid="{00000000-0005-0000-0000-0000492B0000}"/>
    <cellStyle name="Vírgula 3 5 2 3 2 3 2 2 2" xfId="10528" xr:uid="{00000000-0005-0000-0000-00004A2B0000}"/>
    <cellStyle name="Vírgula 3 5 2 3 2 3 2 3" xfId="6242" xr:uid="{00000000-0005-0000-0000-00004B2B0000}"/>
    <cellStyle name="Vírgula 3 5 2 3 2 3 2 3 2" xfId="12756" xr:uid="{00000000-0005-0000-0000-00004C2B0000}"/>
    <cellStyle name="Vírgula 3 5 2 3 2 3 2 4" xfId="8472" xr:uid="{00000000-0005-0000-0000-00004D2B0000}"/>
    <cellStyle name="Vírgula 3 5 2 3 2 3 3" xfId="2984" xr:uid="{00000000-0005-0000-0000-00004E2B0000}"/>
    <cellStyle name="Vírgula 3 5 2 3 2 3 3 2" xfId="9500" xr:uid="{00000000-0005-0000-0000-00004F2B0000}"/>
    <cellStyle name="Vírgula 3 5 2 3 2 3 4" xfId="5214" xr:uid="{00000000-0005-0000-0000-0000502B0000}"/>
    <cellStyle name="Vírgula 3 5 2 3 2 3 4 2" xfId="11728" xr:uid="{00000000-0005-0000-0000-0000512B0000}"/>
    <cellStyle name="Vírgula 3 5 2 3 2 3 5" xfId="7444" xr:uid="{00000000-0005-0000-0000-0000522B0000}"/>
    <cellStyle name="Vírgula 3 5 2 3 2 4" xfId="1440" xr:uid="{00000000-0005-0000-0000-0000532B0000}"/>
    <cellStyle name="Vírgula 3 5 2 3 2 4 2" xfId="3498" xr:uid="{00000000-0005-0000-0000-0000542B0000}"/>
    <cellStyle name="Vírgula 3 5 2 3 2 4 2 2" xfId="10014" xr:uid="{00000000-0005-0000-0000-0000552B0000}"/>
    <cellStyle name="Vírgula 3 5 2 3 2 4 3" xfId="5728" xr:uid="{00000000-0005-0000-0000-0000562B0000}"/>
    <cellStyle name="Vírgula 3 5 2 3 2 4 3 2" xfId="12242" xr:uid="{00000000-0005-0000-0000-0000572B0000}"/>
    <cellStyle name="Vírgula 3 5 2 3 2 4 4" xfId="7958" xr:uid="{00000000-0005-0000-0000-0000582B0000}"/>
    <cellStyle name="Vírgula 3 5 2 3 2 5" xfId="2470" xr:uid="{00000000-0005-0000-0000-0000592B0000}"/>
    <cellStyle name="Vírgula 3 5 2 3 2 5 2" xfId="8986" xr:uid="{00000000-0005-0000-0000-00005A2B0000}"/>
    <cellStyle name="Vírgula 3 5 2 3 2 6" xfId="4612" xr:uid="{00000000-0005-0000-0000-00005B2B0000}"/>
    <cellStyle name="Vírgula 3 5 2 3 2 6 2" xfId="11126" xr:uid="{00000000-0005-0000-0000-00005C2B0000}"/>
    <cellStyle name="Vírgula 3 5 2 3 2 7" xfId="6842" xr:uid="{00000000-0005-0000-0000-00005D2B0000}"/>
    <cellStyle name="Vírgula 3 5 2 3 3" xfId="530" xr:uid="{00000000-0005-0000-0000-00005E2B0000}"/>
    <cellStyle name="Vírgula 3 5 2 3 3 2" xfId="1054" xr:uid="{00000000-0005-0000-0000-00005F2B0000}"/>
    <cellStyle name="Vírgula 3 5 2 3 3 2 2" xfId="2082" xr:uid="{00000000-0005-0000-0000-0000602B0000}"/>
    <cellStyle name="Vírgula 3 5 2 3 3 2 2 2" xfId="4140" xr:uid="{00000000-0005-0000-0000-0000612B0000}"/>
    <cellStyle name="Vírgula 3 5 2 3 3 2 2 2 2" xfId="10656" xr:uid="{00000000-0005-0000-0000-0000622B0000}"/>
    <cellStyle name="Vírgula 3 5 2 3 3 2 2 3" xfId="6370" xr:uid="{00000000-0005-0000-0000-0000632B0000}"/>
    <cellStyle name="Vírgula 3 5 2 3 3 2 2 3 2" xfId="12884" xr:uid="{00000000-0005-0000-0000-0000642B0000}"/>
    <cellStyle name="Vírgula 3 5 2 3 3 2 2 4" xfId="8600" xr:uid="{00000000-0005-0000-0000-0000652B0000}"/>
    <cellStyle name="Vírgula 3 5 2 3 3 2 3" xfId="3112" xr:uid="{00000000-0005-0000-0000-0000662B0000}"/>
    <cellStyle name="Vírgula 3 5 2 3 3 2 3 2" xfId="9628" xr:uid="{00000000-0005-0000-0000-0000672B0000}"/>
    <cellStyle name="Vírgula 3 5 2 3 3 2 4" xfId="5342" xr:uid="{00000000-0005-0000-0000-0000682B0000}"/>
    <cellStyle name="Vírgula 3 5 2 3 3 2 4 2" xfId="11856" xr:uid="{00000000-0005-0000-0000-0000692B0000}"/>
    <cellStyle name="Vírgula 3 5 2 3 3 2 5" xfId="7572" xr:uid="{00000000-0005-0000-0000-00006A2B0000}"/>
    <cellStyle name="Vírgula 3 5 2 3 3 3" xfId="1568" xr:uid="{00000000-0005-0000-0000-00006B2B0000}"/>
    <cellStyle name="Vírgula 3 5 2 3 3 3 2" xfId="3626" xr:uid="{00000000-0005-0000-0000-00006C2B0000}"/>
    <cellStyle name="Vírgula 3 5 2 3 3 3 2 2" xfId="10142" xr:uid="{00000000-0005-0000-0000-00006D2B0000}"/>
    <cellStyle name="Vírgula 3 5 2 3 3 3 3" xfId="5856" xr:uid="{00000000-0005-0000-0000-00006E2B0000}"/>
    <cellStyle name="Vírgula 3 5 2 3 3 3 3 2" xfId="12370" xr:uid="{00000000-0005-0000-0000-00006F2B0000}"/>
    <cellStyle name="Vírgula 3 5 2 3 3 3 4" xfId="8086" xr:uid="{00000000-0005-0000-0000-0000702B0000}"/>
    <cellStyle name="Vírgula 3 5 2 3 3 4" xfId="2598" xr:uid="{00000000-0005-0000-0000-0000712B0000}"/>
    <cellStyle name="Vírgula 3 5 2 3 3 4 2" xfId="9114" xr:uid="{00000000-0005-0000-0000-0000722B0000}"/>
    <cellStyle name="Vírgula 3 5 2 3 3 5" xfId="4826" xr:uid="{00000000-0005-0000-0000-0000732B0000}"/>
    <cellStyle name="Vírgula 3 5 2 3 3 5 2" xfId="11340" xr:uid="{00000000-0005-0000-0000-0000742B0000}"/>
    <cellStyle name="Vírgula 3 5 2 3 3 6" xfId="7056" xr:uid="{00000000-0005-0000-0000-0000752B0000}"/>
    <cellStyle name="Vírgula 3 5 2 3 4" xfId="798" xr:uid="{00000000-0005-0000-0000-0000762B0000}"/>
    <cellStyle name="Vírgula 3 5 2 3 4 2" xfId="1826" xr:uid="{00000000-0005-0000-0000-0000772B0000}"/>
    <cellStyle name="Vírgula 3 5 2 3 4 2 2" xfId="3884" xr:uid="{00000000-0005-0000-0000-0000782B0000}"/>
    <cellStyle name="Vírgula 3 5 2 3 4 2 2 2" xfId="10400" xr:uid="{00000000-0005-0000-0000-0000792B0000}"/>
    <cellStyle name="Vírgula 3 5 2 3 4 2 3" xfId="6114" xr:uid="{00000000-0005-0000-0000-00007A2B0000}"/>
    <cellStyle name="Vírgula 3 5 2 3 4 2 3 2" xfId="12628" xr:uid="{00000000-0005-0000-0000-00007B2B0000}"/>
    <cellStyle name="Vírgula 3 5 2 3 4 2 4" xfId="8344" xr:uid="{00000000-0005-0000-0000-00007C2B0000}"/>
    <cellStyle name="Vírgula 3 5 2 3 4 3" xfId="2856" xr:uid="{00000000-0005-0000-0000-00007D2B0000}"/>
    <cellStyle name="Vírgula 3 5 2 3 4 3 2" xfId="9372" xr:uid="{00000000-0005-0000-0000-00007E2B0000}"/>
    <cellStyle name="Vírgula 3 5 2 3 4 4" xfId="5086" xr:uid="{00000000-0005-0000-0000-00007F2B0000}"/>
    <cellStyle name="Vírgula 3 5 2 3 4 4 2" xfId="11600" xr:uid="{00000000-0005-0000-0000-0000802B0000}"/>
    <cellStyle name="Vírgula 3 5 2 3 4 5" xfId="7316" xr:uid="{00000000-0005-0000-0000-0000812B0000}"/>
    <cellStyle name="Vírgula 3 5 2 3 5" xfId="1312" xr:uid="{00000000-0005-0000-0000-0000822B0000}"/>
    <cellStyle name="Vírgula 3 5 2 3 5 2" xfId="3370" xr:uid="{00000000-0005-0000-0000-0000832B0000}"/>
    <cellStyle name="Vírgula 3 5 2 3 5 2 2" xfId="9886" xr:uid="{00000000-0005-0000-0000-0000842B0000}"/>
    <cellStyle name="Vírgula 3 5 2 3 5 3" xfId="5600" xr:uid="{00000000-0005-0000-0000-0000852B0000}"/>
    <cellStyle name="Vírgula 3 5 2 3 5 3 2" xfId="12114" xr:uid="{00000000-0005-0000-0000-0000862B0000}"/>
    <cellStyle name="Vírgula 3 5 2 3 5 4" xfId="7830" xr:uid="{00000000-0005-0000-0000-0000872B0000}"/>
    <cellStyle name="Vírgula 3 5 2 3 6" xfId="2342" xr:uid="{00000000-0005-0000-0000-0000882B0000}"/>
    <cellStyle name="Vírgula 3 5 2 3 6 2" xfId="8858" xr:uid="{00000000-0005-0000-0000-0000892B0000}"/>
    <cellStyle name="Vírgula 3 5 2 3 7" xfId="4484" xr:uid="{00000000-0005-0000-0000-00008A2B0000}"/>
    <cellStyle name="Vírgula 3 5 2 3 7 2" xfId="10998" xr:uid="{00000000-0005-0000-0000-00008B2B0000}"/>
    <cellStyle name="Vírgula 3 5 2 3 8" xfId="6714" xr:uid="{00000000-0005-0000-0000-00008C2B0000}"/>
    <cellStyle name="Vírgula 3 5 2 4" xfId="251" xr:uid="{00000000-0005-0000-0000-00008D2B0000}"/>
    <cellStyle name="Vírgula 3 5 2 4 2" xfId="594" xr:uid="{00000000-0005-0000-0000-00008E2B0000}"/>
    <cellStyle name="Vírgula 3 5 2 4 2 2" xfId="1118" xr:uid="{00000000-0005-0000-0000-00008F2B0000}"/>
    <cellStyle name="Vírgula 3 5 2 4 2 2 2" xfId="2146" xr:uid="{00000000-0005-0000-0000-0000902B0000}"/>
    <cellStyle name="Vírgula 3 5 2 4 2 2 2 2" xfId="4204" xr:uid="{00000000-0005-0000-0000-0000912B0000}"/>
    <cellStyle name="Vírgula 3 5 2 4 2 2 2 2 2" xfId="10720" xr:uid="{00000000-0005-0000-0000-0000922B0000}"/>
    <cellStyle name="Vírgula 3 5 2 4 2 2 2 3" xfId="6434" xr:uid="{00000000-0005-0000-0000-0000932B0000}"/>
    <cellStyle name="Vírgula 3 5 2 4 2 2 2 3 2" xfId="12948" xr:uid="{00000000-0005-0000-0000-0000942B0000}"/>
    <cellStyle name="Vírgula 3 5 2 4 2 2 2 4" xfId="8664" xr:uid="{00000000-0005-0000-0000-0000952B0000}"/>
    <cellStyle name="Vírgula 3 5 2 4 2 2 3" xfId="3176" xr:uid="{00000000-0005-0000-0000-0000962B0000}"/>
    <cellStyle name="Vírgula 3 5 2 4 2 2 3 2" xfId="9692" xr:uid="{00000000-0005-0000-0000-0000972B0000}"/>
    <cellStyle name="Vírgula 3 5 2 4 2 2 4" xfId="5406" xr:uid="{00000000-0005-0000-0000-0000982B0000}"/>
    <cellStyle name="Vírgula 3 5 2 4 2 2 4 2" xfId="11920" xr:uid="{00000000-0005-0000-0000-0000992B0000}"/>
    <cellStyle name="Vírgula 3 5 2 4 2 2 5" xfId="7636" xr:uid="{00000000-0005-0000-0000-00009A2B0000}"/>
    <cellStyle name="Vírgula 3 5 2 4 2 3" xfId="1632" xr:uid="{00000000-0005-0000-0000-00009B2B0000}"/>
    <cellStyle name="Vírgula 3 5 2 4 2 3 2" xfId="3690" xr:uid="{00000000-0005-0000-0000-00009C2B0000}"/>
    <cellStyle name="Vírgula 3 5 2 4 2 3 2 2" xfId="10206" xr:uid="{00000000-0005-0000-0000-00009D2B0000}"/>
    <cellStyle name="Vírgula 3 5 2 4 2 3 3" xfId="5920" xr:uid="{00000000-0005-0000-0000-00009E2B0000}"/>
    <cellStyle name="Vírgula 3 5 2 4 2 3 3 2" xfId="12434" xr:uid="{00000000-0005-0000-0000-00009F2B0000}"/>
    <cellStyle name="Vírgula 3 5 2 4 2 3 4" xfId="8150" xr:uid="{00000000-0005-0000-0000-0000A02B0000}"/>
    <cellStyle name="Vírgula 3 5 2 4 2 4" xfId="2662" xr:uid="{00000000-0005-0000-0000-0000A12B0000}"/>
    <cellStyle name="Vírgula 3 5 2 4 2 4 2" xfId="9178" xr:uid="{00000000-0005-0000-0000-0000A22B0000}"/>
    <cellStyle name="Vírgula 3 5 2 4 2 5" xfId="4890" xr:uid="{00000000-0005-0000-0000-0000A32B0000}"/>
    <cellStyle name="Vírgula 3 5 2 4 2 5 2" xfId="11404" xr:uid="{00000000-0005-0000-0000-0000A42B0000}"/>
    <cellStyle name="Vírgula 3 5 2 4 2 6" xfId="7120" xr:uid="{00000000-0005-0000-0000-0000A52B0000}"/>
    <cellStyle name="Vírgula 3 5 2 4 3" xfId="862" xr:uid="{00000000-0005-0000-0000-0000A62B0000}"/>
    <cellStyle name="Vírgula 3 5 2 4 3 2" xfId="1890" xr:uid="{00000000-0005-0000-0000-0000A72B0000}"/>
    <cellStyle name="Vírgula 3 5 2 4 3 2 2" xfId="3948" xr:uid="{00000000-0005-0000-0000-0000A82B0000}"/>
    <cellStyle name="Vírgula 3 5 2 4 3 2 2 2" xfId="10464" xr:uid="{00000000-0005-0000-0000-0000A92B0000}"/>
    <cellStyle name="Vírgula 3 5 2 4 3 2 3" xfId="6178" xr:uid="{00000000-0005-0000-0000-0000AA2B0000}"/>
    <cellStyle name="Vírgula 3 5 2 4 3 2 3 2" xfId="12692" xr:uid="{00000000-0005-0000-0000-0000AB2B0000}"/>
    <cellStyle name="Vírgula 3 5 2 4 3 2 4" xfId="8408" xr:uid="{00000000-0005-0000-0000-0000AC2B0000}"/>
    <cellStyle name="Vírgula 3 5 2 4 3 3" xfId="2920" xr:uid="{00000000-0005-0000-0000-0000AD2B0000}"/>
    <cellStyle name="Vírgula 3 5 2 4 3 3 2" xfId="9436" xr:uid="{00000000-0005-0000-0000-0000AE2B0000}"/>
    <cellStyle name="Vírgula 3 5 2 4 3 4" xfId="5150" xr:uid="{00000000-0005-0000-0000-0000AF2B0000}"/>
    <cellStyle name="Vírgula 3 5 2 4 3 4 2" xfId="11664" xr:uid="{00000000-0005-0000-0000-0000B02B0000}"/>
    <cellStyle name="Vírgula 3 5 2 4 3 5" xfId="7380" xr:uid="{00000000-0005-0000-0000-0000B12B0000}"/>
    <cellStyle name="Vírgula 3 5 2 4 4" xfId="1376" xr:uid="{00000000-0005-0000-0000-0000B22B0000}"/>
    <cellStyle name="Vírgula 3 5 2 4 4 2" xfId="3434" xr:uid="{00000000-0005-0000-0000-0000B32B0000}"/>
    <cellStyle name="Vírgula 3 5 2 4 4 2 2" xfId="9950" xr:uid="{00000000-0005-0000-0000-0000B42B0000}"/>
    <cellStyle name="Vírgula 3 5 2 4 4 3" xfId="5664" xr:uid="{00000000-0005-0000-0000-0000B52B0000}"/>
    <cellStyle name="Vírgula 3 5 2 4 4 3 2" xfId="12178" xr:uid="{00000000-0005-0000-0000-0000B62B0000}"/>
    <cellStyle name="Vírgula 3 5 2 4 4 4" xfId="7894" xr:uid="{00000000-0005-0000-0000-0000B72B0000}"/>
    <cellStyle name="Vírgula 3 5 2 4 5" xfId="2406" xr:uid="{00000000-0005-0000-0000-0000B82B0000}"/>
    <cellStyle name="Vírgula 3 5 2 4 5 2" xfId="8922" xr:uid="{00000000-0005-0000-0000-0000B92B0000}"/>
    <cellStyle name="Vírgula 3 5 2 4 6" xfId="4548" xr:uid="{00000000-0005-0000-0000-0000BA2B0000}"/>
    <cellStyle name="Vírgula 3 5 2 4 6 2" xfId="11062" xr:uid="{00000000-0005-0000-0000-0000BB2B0000}"/>
    <cellStyle name="Vírgula 3 5 2 4 7" xfId="6778" xr:uid="{00000000-0005-0000-0000-0000BC2B0000}"/>
    <cellStyle name="Vírgula 3 5 2 5" xfId="414" xr:uid="{00000000-0005-0000-0000-0000BD2B0000}"/>
    <cellStyle name="Vírgula 3 5 2 5 2" xfId="990" xr:uid="{00000000-0005-0000-0000-0000BE2B0000}"/>
    <cellStyle name="Vírgula 3 5 2 5 2 2" xfId="2018" xr:uid="{00000000-0005-0000-0000-0000BF2B0000}"/>
    <cellStyle name="Vírgula 3 5 2 5 2 2 2" xfId="4076" xr:uid="{00000000-0005-0000-0000-0000C02B0000}"/>
    <cellStyle name="Vírgula 3 5 2 5 2 2 2 2" xfId="10592" xr:uid="{00000000-0005-0000-0000-0000C12B0000}"/>
    <cellStyle name="Vírgula 3 5 2 5 2 2 3" xfId="6306" xr:uid="{00000000-0005-0000-0000-0000C22B0000}"/>
    <cellStyle name="Vírgula 3 5 2 5 2 2 3 2" xfId="12820" xr:uid="{00000000-0005-0000-0000-0000C32B0000}"/>
    <cellStyle name="Vírgula 3 5 2 5 2 2 4" xfId="8536" xr:uid="{00000000-0005-0000-0000-0000C42B0000}"/>
    <cellStyle name="Vírgula 3 5 2 5 2 3" xfId="3048" xr:uid="{00000000-0005-0000-0000-0000C52B0000}"/>
    <cellStyle name="Vírgula 3 5 2 5 2 3 2" xfId="9564" xr:uid="{00000000-0005-0000-0000-0000C62B0000}"/>
    <cellStyle name="Vírgula 3 5 2 5 2 4" xfId="5278" xr:uid="{00000000-0005-0000-0000-0000C72B0000}"/>
    <cellStyle name="Vírgula 3 5 2 5 2 4 2" xfId="11792" xr:uid="{00000000-0005-0000-0000-0000C82B0000}"/>
    <cellStyle name="Vírgula 3 5 2 5 2 5" xfId="7508" xr:uid="{00000000-0005-0000-0000-0000C92B0000}"/>
    <cellStyle name="Vírgula 3 5 2 5 3" xfId="1504" xr:uid="{00000000-0005-0000-0000-0000CA2B0000}"/>
    <cellStyle name="Vírgula 3 5 2 5 3 2" xfId="3562" xr:uid="{00000000-0005-0000-0000-0000CB2B0000}"/>
    <cellStyle name="Vírgula 3 5 2 5 3 2 2" xfId="10078" xr:uid="{00000000-0005-0000-0000-0000CC2B0000}"/>
    <cellStyle name="Vírgula 3 5 2 5 3 3" xfId="5792" xr:uid="{00000000-0005-0000-0000-0000CD2B0000}"/>
    <cellStyle name="Vírgula 3 5 2 5 3 3 2" xfId="12306" xr:uid="{00000000-0005-0000-0000-0000CE2B0000}"/>
    <cellStyle name="Vírgula 3 5 2 5 3 4" xfId="8022" xr:uid="{00000000-0005-0000-0000-0000CF2B0000}"/>
    <cellStyle name="Vírgula 3 5 2 5 4" xfId="2534" xr:uid="{00000000-0005-0000-0000-0000D02B0000}"/>
    <cellStyle name="Vírgula 3 5 2 5 4 2" xfId="9050" xr:uid="{00000000-0005-0000-0000-0000D12B0000}"/>
    <cellStyle name="Vírgula 3 5 2 5 5" xfId="4710" xr:uid="{00000000-0005-0000-0000-0000D22B0000}"/>
    <cellStyle name="Vírgula 3 5 2 5 5 2" xfId="11224" xr:uid="{00000000-0005-0000-0000-0000D32B0000}"/>
    <cellStyle name="Vírgula 3 5 2 5 6" xfId="6940" xr:uid="{00000000-0005-0000-0000-0000D42B0000}"/>
    <cellStyle name="Vírgula 3 5 2 6" xfId="734" xr:uid="{00000000-0005-0000-0000-0000D52B0000}"/>
    <cellStyle name="Vírgula 3 5 2 6 2" xfId="1762" xr:uid="{00000000-0005-0000-0000-0000D62B0000}"/>
    <cellStyle name="Vírgula 3 5 2 6 2 2" xfId="3820" xr:uid="{00000000-0005-0000-0000-0000D72B0000}"/>
    <cellStyle name="Vírgula 3 5 2 6 2 2 2" xfId="10336" xr:uid="{00000000-0005-0000-0000-0000D82B0000}"/>
    <cellStyle name="Vírgula 3 5 2 6 2 3" xfId="6050" xr:uid="{00000000-0005-0000-0000-0000D92B0000}"/>
    <cellStyle name="Vírgula 3 5 2 6 2 3 2" xfId="12564" xr:uid="{00000000-0005-0000-0000-0000DA2B0000}"/>
    <cellStyle name="Vírgula 3 5 2 6 2 4" xfId="8280" xr:uid="{00000000-0005-0000-0000-0000DB2B0000}"/>
    <cellStyle name="Vírgula 3 5 2 6 3" xfId="2792" xr:uid="{00000000-0005-0000-0000-0000DC2B0000}"/>
    <cellStyle name="Vírgula 3 5 2 6 3 2" xfId="9308" xr:uid="{00000000-0005-0000-0000-0000DD2B0000}"/>
    <cellStyle name="Vírgula 3 5 2 6 4" xfId="5022" xr:uid="{00000000-0005-0000-0000-0000DE2B0000}"/>
    <cellStyle name="Vírgula 3 5 2 6 4 2" xfId="11536" xr:uid="{00000000-0005-0000-0000-0000DF2B0000}"/>
    <cellStyle name="Vírgula 3 5 2 6 5" xfId="7252" xr:uid="{00000000-0005-0000-0000-0000E02B0000}"/>
    <cellStyle name="Vírgula 3 5 2 7" xfId="1248" xr:uid="{00000000-0005-0000-0000-0000E12B0000}"/>
    <cellStyle name="Vírgula 3 5 2 7 2" xfId="3306" xr:uid="{00000000-0005-0000-0000-0000E22B0000}"/>
    <cellStyle name="Vírgula 3 5 2 7 2 2" xfId="9822" xr:uid="{00000000-0005-0000-0000-0000E32B0000}"/>
    <cellStyle name="Vírgula 3 5 2 7 3" xfId="5536" xr:uid="{00000000-0005-0000-0000-0000E42B0000}"/>
    <cellStyle name="Vírgula 3 5 2 7 3 2" xfId="12050" xr:uid="{00000000-0005-0000-0000-0000E52B0000}"/>
    <cellStyle name="Vírgula 3 5 2 7 4" xfId="7766" xr:uid="{00000000-0005-0000-0000-0000E62B0000}"/>
    <cellStyle name="Vírgula 3 5 2 8" xfId="2278" xr:uid="{00000000-0005-0000-0000-0000E72B0000}"/>
    <cellStyle name="Vírgula 3 5 2 8 2" xfId="8794" xr:uid="{00000000-0005-0000-0000-0000E82B0000}"/>
    <cellStyle name="Vírgula 3 5 2 9" xfId="4368" xr:uid="{00000000-0005-0000-0000-0000E92B0000}"/>
    <cellStyle name="Vírgula 3 5 2 9 2" xfId="10882" xr:uid="{00000000-0005-0000-0000-0000EA2B0000}"/>
    <cellStyle name="Vírgula 3 5 3" xfId="108" xr:uid="{00000000-0005-0000-0000-0000EB2B0000}"/>
    <cellStyle name="Vírgula 3 5 3 2" xfId="203" xr:uid="{00000000-0005-0000-0000-0000EC2B0000}"/>
    <cellStyle name="Vírgula 3 5 3 2 2" xfId="331" xr:uid="{00000000-0005-0000-0000-0000ED2B0000}"/>
    <cellStyle name="Vírgula 3 5 3 2 2 2" xfId="674" xr:uid="{00000000-0005-0000-0000-0000EE2B0000}"/>
    <cellStyle name="Vírgula 3 5 3 2 2 2 2" xfId="1198" xr:uid="{00000000-0005-0000-0000-0000EF2B0000}"/>
    <cellStyle name="Vírgula 3 5 3 2 2 2 2 2" xfId="2226" xr:uid="{00000000-0005-0000-0000-0000F02B0000}"/>
    <cellStyle name="Vírgula 3 5 3 2 2 2 2 2 2" xfId="4284" xr:uid="{00000000-0005-0000-0000-0000F12B0000}"/>
    <cellStyle name="Vírgula 3 5 3 2 2 2 2 2 2 2" xfId="10800" xr:uid="{00000000-0005-0000-0000-0000F22B0000}"/>
    <cellStyle name="Vírgula 3 5 3 2 2 2 2 2 3" xfId="6514" xr:uid="{00000000-0005-0000-0000-0000F32B0000}"/>
    <cellStyle name="Vírgula 3 5 3 2 2 2 2 2 3 2" xfId="13028" xr:uid="{00000000-0005-0000-0000-0000F42B0000}"/>
    <cellStyle name="Vírgula 3 5 3 2 2 2 2 2 4" xfId="8744" xr:uid="{00000000-0005-0000-0000-0000F52B0000}"/>
    <cellStyle name="Vírgula 3 5 3 2 2 2 2 3" xfId="3256" xr:uid="{00000000-0005-0000-0000-0000F62B0000}"/>
    <cellStyle name="Vírgula 3 5 3 2 2 2 2 3 2" xfId="9772" xr:uid="{00000000-0005-0000-0000-0000F72B0000}"/>
    <cellStyle name="Vírgula 3 5 3 2 2 2 2 4" xfId="5486" xr:uid="{00000000-0005-0000-0000-0000F82B0000}"/>
    <cellStyle name="Vírgula 3 5 3 2 2 2 2 4 2" xfId="12000" xr:uid="{00000000-0005-0000-0000-0000F92B0000}"/>
    <cellStyle name="Vírgula 3 5 3 2 2 2 2 5" xfId="7716" xr:uid="{00000000-0005-0000-0000-0000FA2B0000}"/>
    <cellStyle name="Vírgula 3 5 3 2 2 2 3" xfId="1712" xr:uid="{00000000-0005-0000-0000-0000FB2B0000}"/>
    <cellStyle name="Vírgula 3 5 3 2 2 2 3 2" xfId="3770" xr:uid="{00000000-0005-0000-0000-0000FC2B0000}"/>
    <cellStyle name="Vírgula 3 5 3 2 2 2 3 2 2" xfId="10286" xr:uid="{00000000-0005-0000-0000-0000FD2B0000}"/>
    <cellStyle name="Vírgula 3 5 3 2 2 2 3 3" xfId="6000" xr:uid="{00000000-0005-0000-0000-0000FE2B0000}"/>
    <cellStyle name="Vírgula 3 5 3 2 2 2 3 3 2" xfId="12514" xr:uid="{00000000-0005-0000-0000-0000FF2B0000}"/>
    <cellStyle name="Vírgula 3 5 3 2 2 2 3 4" xfId="8230" xr:uid="{00000000-0005-0000-0000-0000002C0000}"/>
    <cellStyle name="Vírgula 3 5 3 2 2 2 4" xfId="2742" xr:uid="{00000000-0005-0000-0000-0000012C0000}"/>
    <cellStyle name="Vírgula 3 5 3 2 2 2 4 2" xfId="9258" xr:uid="{00000000-0005-0000-0000-0000022C0000}"/>
    <cellStyle name="Vírgula 3 5 3 2 2 2 5" xfId="4970" xr:uid="{00000000-0005-0000-0000-0000032C0000}"/>
    <cellStyle name="Vírgula 3 5 3 2 2 2 5 2" xfId="11484" xr:uid="{00000000-0005-0000-0000-0000042C0000}"/>
    <cellStyle name="Vírgula 3 5 3 2 2 2 6" xfId="7200" xr:uid="{00000000-0005-0000-0000-0000052C0000}"/>
    <cellStyle name="Vírgula 3 5 3 2 2 3" xfId="942" xr:uid="{00000000-0005-0000-0000-0000062C0000}"/>
    <cellStyle name="Vírgula 3 5 3 2 2 3 2" xfId="1970" xr:uid="{00000000-0005-0000-0000-0000072C0000}"/>
    <cellStyle name="Vírgula 3 5 3 2 2 3 2 2" xfId="4028" xr:uid="{00000000-0005-0000-0000-0000082C0000}"/>
    <cellStyle name="Vírgula 3 5 3 2 2 3 2 2 2" xfId="10544" xr:uid="{00000000-0005-0000-0000-0000092C0000}"/>
    <cellStyle name="Vírgula 3 5 3 2 2 3 2 3" xfId="6258" xr:uid="{00000000-0005-0000-0000-00000A2C0000}"/>
    <cellStyle name="Vírgula 3 5 3 2 2 3 2 3 2" xfId="12772" xr:uid="{00000000-0005-0000-0000-00000B2C0000}"/>
    <cellStyle name="Vírgula 3 5 3 2 2 3 2 4" xfId="8488" xr:uid="{00000000-0005-0000-0000-00000C2C0000}"/>
    <cellStyle name="Vírgula 3 5 3 2 2 3 3" xfId="3000" xr:uid="{00000000-0005-0000-0000-00000D2C0000}"/>
    <cellStyle name="Vírgula 3 5 3 2 2 3 3 2" xfId="9516" xr:uid="{00000000-0005-0000-0000-00000E2C0000}"/>
    <cellStyle name="Vírgula 3 5 3 2 2 3 4" xfId="5230" xr:uid="{00000000-0005-0000-0000-00000F2C0000}"/>
    <cellStyle name="Vírgula 3 5 3 2 2 3 4 2" xfId="11744" xr:uid="{00000000-0005-0000-0000-0000102C0000}"/>
    <cellStyle name="Vírgula 3 5 3 2 2 3 5" xfId="7460" xr:uid="{00000000-0005-0000-0000-0000112C0000}"/>
    <cellStyle name="Vírgula 3 5 3 2 2 4" xfId="1456" xr:uid="{00000000-0005-0000-0000-0000122C0000}"/>
    <cellStyle name="Vírgula 3 5 3 2 2 4 2" xfId="3514" xr:uid="{00000000-0005-0000-0000-0000132C0000}"/>
    <cellStyle name="Vírgula 3 5 3 2 2 4 2 2" xfId="10030" xr:uid="{00000000-0005-0000-0000-0000142C0000}"/>
    <cellStyle name="Vírgula 3 5 3 2 2 4 3" xfId="5744" xr:uid="{00000000-0005-0000-0000-0000152C0000}"/>
    <cellStyle name="Vírgula 3 5 3 2 2 4 3 2" xfId="12258" xr:uid="{00000000-0005-0000-0000-0000162C0000}"/>
    <cellStyle name="Vírgula 3 5 3 2 2 4 4" xfId="7974" xr:uid="{00000000-0005-0000-0000-0000172C0000}"/>
    <cellStyle name="Vírgula 3 5 3 2 2 5" xfId="2486" xr:uid="{00000000-0005-0000-0000-0000182C0000}"/>
    <cellStyle name="Vírgula 3 5 3 2 2 5 2" xfId="9002" xr:uid="{00000000-0005-0000-0000-0000192C0000}"/>
    <cellStyle name="Vírgula 3 5 3 2 2 6" xfId="4628" xr:uid="{00000000-0005-0000-0000-00001A2C0000}"/>
    <cellStyle name="Vírgula 3 5 3 2 2 6 2" xfId="11142" xr:uid="{00000000-0005-0000-0000-00001B2C0000}"/>
    <cellStyle name="Vírgula 3 5 3 2 2 7" xfId="6858" xr:uid="{00000000-0005-0000-0000-00001C2C0000}"/>
    <cellStyle name="Vírgula 3 5 3 2 3" xfId="546" xr:uid="{00000000-0005-0000-0000-00001D2C0000}"/>
    <cellStyle name="Vírgula 3 5 3 2 3 2" xfId="1070" xr:uid="{00000000-0005-0000-0000-00001E2C0000}"/>
    <cellStyle name="Vírgula 3 5 3 2 3 2 2" xfId="2098" xr:uid="{00000000-0005-0000-0000-00001F2C0000}"/>
    <cellStyle name="Vírgula 3 5 3 2 3 2 2 2" xfId="4156" xr:uid="{00000000-0005-0000-0000-0000202C0000}"/>
    <cellStyle name="Vírgula 3 5 3 2 3 2 2 2 2" xfId="10672" xr:uid="{00000000-0005-0000-0000-0000212C0000}"/>
    <cellStyle name="Vírgula 3 5 3 2 3 2 2 3" xfId="6386" xr:uid="{00000000-0005-0000-0000-0000222C0000}"/>
    <cellStyle name="Vírgula 3 5 3 2 3 2 2 3 2" xfId="12900" xr:uid="{00000000-0005-0000-0000-0000232C0000}"/>
    <cellStyle name="Vírgula 3 5 3 2 3 2 2 4" xfId="8616" xr:uid="{00000000-0005-0000-0000-0000242C0000}"/>
    <cellStyle name="Vírgula 3 5 3 2 3 2 3" xfId="3128" xr:uid="{00000000-0005-0000-0000-0000252C0000}"/>
    <cellStyle name="Vírgula 3 5 3 2 3 2 3 2" xfId="9644" xr:uid="{00000000-0005-0000-0000-0000262C0000}"/>
    <cellStyle name="Vírgula 3 5 3 2 3 2 4" xfId="5358" xr:uid="{00000000-0005-0000-0000-0000272C0000}"/>
    <cellStyle name="Vírgula 3 5 3 2 3 2 4 2" xfId="11872" xr:uid="{00000000-0005-0000-0000-0000282C0000}"/>
    <cellStyle name="Vírgula 3 5 3 2 3 2 5" xfId="7588" xr:uid="{00000000-0005-0000-0000-0000292C0000}"/>
    <cellStyle name="Vírgula 3 5 3 2 3 3" xfId="1584" xr:uid="{00000000-0005-0000-0000-00002A2C0000}"/>
    <cellStyle name="Vírgula 3 5 3 2 3 3 2" xfId="3642" xr:uid="{00000000-0005-0000-0000-00002B2C0000}"/>
    <cellStyle name="Vírgula 3 5 3 2 3 3 2 2" xfId="10158" xr:uid="{00000000-0005-0000-0000-00002C2C0000}"/>
    <cellStyle name="Vírgula 3 5 3 2 3 3 3" xfId="5872" xr:uid="{00000000-0005-0000-0000-00002D2C0000}"/>
    <cellStyle name="Vírgula 3 5 3 2 3 3 3 2" xfId="12386" xr:uid="{00000000-0005-0000-0000-00002E2C0000}"/>
    <cellStyle name="Vírgula 3 5 3 2 3 3 4" xfId="8102" xr:uid="{00000000-0005-0000-0000-00002F2C0000}"/>
    <cellStyle name="Vírgula 3 5 3 2 3 4" xfId="2614" xr:uid="{00000000-0005-0000-0000-0000302C0000}"/>
    <cellStyle name="Vírgula 3 5 3 2 3 4 2" xfId="9130" xr:uid="{00000000-0005-0000-0000-0000312C0000}"/>
    <cellStyle name="Vírgula 3 5 3 2 3 5" xfId="4842" xr:uid="{00000000-0005-0000-0000-0000322C0000}"/>
    <cellStyle name="Vírgula 3 5 3 2 3 5 2" xfId="11356" xr:uid="{00000000-0005-0000-0000-0000332C0000}"/>
    <cellStyle name="Vírgula 3 5 3 2 3 6" xfId="7072" xr:uid="{00000000-0005-0000-0000-0000342C0000}"/>
    <cellStyle name="Vírgula 3 5 3 2 4" xfId="814" xr:uid="{00000000-0005-0000-0000-0000352C0000}"/>
    <cellStyle name="Vírgula 3 5 3 2 4 2" xfId="1842" xr:uid="{00000000-0005-0000-0000-0000362C0000}"/>
    <cellStyle name="Vírgula 3 5 3 2 4 2 2" xfId="3900" xr:uid="{00000000-0005-0000-0000-0000372C0000}"/>
    <cellStyle name="Vírgula 3 5 3 2 4 2 2 2" xfId="10416" xr:uid="{00000000-0005-0000-0000-0000382C0000}"/>
    <cellStyle name="Vírgula 3 5 3 2 4 2 3" xfId="6130" xr:uid="{00000000-0005-0000-0000-0000392C0000}"/>
    <cellStyle name="Vírgula 3 5 3 2 4 2 3 2" xfId="12644" xr:uid="{00000000-0005-0000-0000-00003A2C0000}"/>
    <cellStyle name="Vírgula 3 5 3 2 4 2 4" xfId="8360" xr:uid="{00000000-0005-0000-0000-00003B2C0000}"/>
    <cellStyle name="Vírgula 3 5 3 2 4 3" xfId="2872" xr:uid="{00000000-0005-0000-0000-00003C2C0000}"/>
    <cellStyle name="Vírgula 3 5 3 2 4 3 2" xfId="9388" xr:uid="{00000000-0005-0000-0000-00003D2C0000}"/>
    <cellStyle name="Vírgula 3 5 3 2 4 4" xfId="5102" xr:uid="{00000000-0005-0000-0000-00003E2C0000}"/>
    <cellStyle name="Vírgula 3 5 3 2 4 4 2" xfId="11616" xr:uid="{00000000-0005-0000-0000-00003F2C0000}"/>
    <cellStyle name="Vírgula 3 5 3 2 4 5" xfId="7332" xr:uid="{00000000-0005-0000-0000-0000402C0000}"/>
    <cellStyle name="Vírgula 3 5 3 2 5" xfId="1328" xr:uid="{00000000-0005-0000-0000-0000412C0000}"/>
    <cellStyle name="Vírgula 3 5 3 2 5 2" xfId="3386" xr:uid="{00000000-0005-0000-0000-0000422C0000}"/>
    <cellStyle name="Vírgula 3 5 3 2 5 2 2" xfId="9902" xr:uid="{00000000-0005-0000-0000-0000432C0000}"/>
    <cellStyle name="Vírgula 3 5 3 2 5 3" xfId="5616" xr:uid="{00000000-0005-0000-0000-0000442C0000}"/>
    <cellStyle name="Vírgula 3 5 3 2 5 3 2" xfId="12130" xr:uid="{00000000-0005-0000-0000-0000452C0000}"/>
    <cellStyle name="Vírgula 3 5 3 2 5 4" xfId="7846" xr:uid="{00000000-0005-0000-0000-0000462C0000}"/>
    <cellStyle name="Vírgula 3 5 3 2 6" xfId="2358" xr:uid="{00000000-0005-0000-0000-0000472C0000}"/>
    <cellStyle name="Vírgula 3 5 3 2 6 2" xfId="8874" xr:uid="{00000000-0005-0000-0000-0000482C0000}"/>
    <cellStyle name="Vírgula 3 5 3 2 7" xfId="4500" xr:uid="{00000000-0005-0000-0000-0000492C0000}"/>
    <cellStyle name="Vírgula 3 5 3 2 7 2" xfId="11014" xr:uid="{00000000-0005-0000-0000-00004A2C0000}"/>
    <cellStyle name="Vírgula 3 5 3 2 8" xfId="6730" xr:uid="{00000000-0005-0000-0000-00004B2C0000}"/>
    <cellStyle name="Vírgula 3 5 3 3" xfId="267" xr:uid="{00000000-0005-0000-0000-00004C2C0000}"/>
    <cellStyle name="Vírgula 3 5 3 3 2" xfId="610" xr:uid="{00000000-0005-0000-0000-00004D2C0000}"/>
    <cellStyle name="Vírgula 3 5 3 3 2 2" xfId="1134" xr:uid="{00000000-0005-0000-0000-00004E2C0000}"/>
    <cellStyle name="Vírgula 3 5 3 3 2 2 2" xfId="2162" xr:uid="{00000000-0005-0000-0000-00004F2C0000}"/>
    <cellStyle name="Vírgula 3 5 3 3 2 2 2 2" xfId="4220" xr:uid="{00000000-0005-0000-0000-0000502C0000}"/>
    <cellStyle name="Vírgula 3 5 3 3 2 2 2 2 2" xfId="10736" xr:uid="{00000000-0005-0000-0000-0000512C0000}"/>
    <cellStyle name="Vírgula 3 5 3 3 2 2 2 3" xfId="6450" xr:uid="{00000000-0005-0000-0000-0000522C0000}"/>
    <cellStyle name="Vírgula 3 5 3 3 2 2 2 3 2" xfId="12964" xr:uid="{00000000-0005-0000-0000-0000532C0000}"/>
    <cellStyle name="Vírgula 3 5 3 3 2 2 2 4" xfId="8680" xr:uid="{00000000-0005-0000-0000-0000542C0000}"/>
    <cellStyle name="Vírgula 3 5 3 3 2 2 3" xfId="3192" xr:uid="{00000000-0005-0000-0000-0000552C0000}"/>
    <cellStyle name="Vírgula 3 5 3 3 2 2 3 2" xfId="9708" xr:uid="{00000000-0005-0000-0000-0000562C0000}"/>
    <cellStyle name="Vírgula 3 5 3 3 2 2 4" xfId="5422" xr:uid="{00000000-0005-0000-0000-0000572C0000}"/>
    <cellStyle name="Vírgula 3 5 3 3 2 2 4 2" xfId="11936" xr:uid="{00000000-0005-0000-0000-0000582C0000}"/>
    <cellStyle name="Vírgula 3 5 3 3 2 2 5" xfId="7652" xr:uid="{00000000-0005-0000-0000-0000592C0000}"/>
    <cellStyle name="Vírgula 3 5 3 3 2 3" xfId="1648" xr:uid="{00000000-0005-0000-0000-00005A2C0000}"/>
    <cellStyle name="Vírgula 3 5 3 3 2 3 2" xfId="3706" xr:uid="{00000000-0005-0000-0000-00005B2C0000}"/>
    <cellStyle name="Vírgula 3 5 3 3 2 3 2 2" xfId="10222" xr:uid="{00000000-0005-0000-0000-00005C2C0000}"/>
    <cellStyle name="Vírgula 3 5 3 3 2 3 3" xfId="5936" xr:uid="{00000000-0005-0000-0000-00005D2C0000}"/>
    <cellStyle name="Vírgula 3 5 3 3 2 3 3 2" xfId="12450" xr:uid="{00000000-0005-0000-0000-00005E2C0000}"/>
    <cellStyle name="Vírgula 3 5 3 3 2 3 4" xfId="8166" xr:uid="{00000000-0005-0000-0000-00005F2C0000}"/>
    <cellStyle name="Vírgula 3 5 3 3 2 4" xfId="2678" xr:uid="{00000000-0005-0000-0000-0000602C0000}"/>
    <cellStyle name="Vírgula 3 5 3 3 2 4 2" xfId="9194" xr:uid="{00000000-0005-0000-0000-0000612C0000}"/>
    <cellStyle name="Vírgula 3 5 3 3 2 5" xfId="4906" xr:uid="{00000000-0005-0000-0000-0000622C0000}"/>
    <cellStyle name="Vírgula 3 5 3 3 2 5 2" xfId="11420" xr:uid="{00000000-0005-0000-0000-0000632C0000}"/>
    <cellStyle name="Vírgula 3 5 3 3 2 6" xfId="7136" xr:uid="{00000000-0005-0000-0000-0000642C0000}"/>
    <cellStyle name="Vírgula 3 5 3 3 3" xfId="878" xr:uid="{00000000-0005-0000-0000-0000652C0000}"/>
    <cellStyle name="Vírgula 3 5 3 3 3 2" xfId="1906" xr:uid="{00000000-0005-0000-0000-0000662C0000}"/>
    <cellStyle name="Vírgula 3 5 3 3 3 2 2" xfId="3964" xr:uid="{00000000-0005-0000-0000-0000672C0000}"/>
    <cellStyle name="Vírgula 3 5 3 3 3 2 2 2" xfId="10480" xr:uid="{00000000-0005-0000-0000-0000682C0000}"/>
    <cellStyle name="Vírgula 3 5 3 3 3 2 3" xfId="6194" xr:uid="{00000000-0005-0000-0000-0000692C0000}"/>
    <cellStyle name="Vírgula 3 5 3 3 3 2 3 2" xfId="12708" xr:uid="{00000000-0005-0000-0000-00006A2C0000}"/>
    <cellStyle name="Vírgula 3 5 3 3 3 2 4" xfId="8424" xr:uid="{00000000-0005-0000-0000-00006B2C0000}"/>
    <cellStyle name="Vírgula 3 5 3 3 3 3" xfId="2936" xr:uid="{00000000-0005-0000-0000-00006C2C0000}"/>
    <cellStyle name="Vírgula 3 5 3 3 3 3 2" xfId="9452" xr:uid="{00000000-0005-0000-0000-00006D2C0000}"/>
    <cellStyle name="Vírgula 3 5 3 3 3 4" xfId="5166" xr:uid="{00000000-0005-0000-0000-00006E2C0000}"/>
    <cellStyle name="Vírgula 3 5 3 3 3 4 2" xfId="11680" xr:uid="{00000000-0005-0000-0000-00006F2C0000}"/>
    <cellStyle name="Vírgula 3 5 3 3 3 5" xfId="7396" xr:uid="{00000000-0005-0000-0000-0000702C0000}"/>
    <cellStyle name="Vírgula 3 5 3 3 4" xfId="1392" xr:uid="{00000000-0005-0000-0000-0000712C0000}"/>
    <cellStyle name="Vírgula 3 5 3 3 4 2" xfId="3450" xr:uid="{00000000-0005-0000-0000-0000722C0000}"/>
    <cellStyle name="Vírgula 3 5 3 3 4 2 2" xfId="9966" xr:uid="{00000000-0005-0000-0000-0000732C0000}"/>
    <cellStyle name="Vírgula 3 5 3 3 4 3" xfId="5680" xr:uid="{00000000-0005-0000-0000-0000742C0000}"/>
    <cellStyle name="Vírgula 3 5 3 3 4 3 2" xfId="12194" xr:uid="{00000000-0005-0000-0000-0000752C0000}"/>
    <cellStyle name="Vírgula 3 5 3 3 4 4" xfId="7910" xr:uid="{00000000-0005-0000-0000-0000762C0000}"/>
    <cellStyle name="Vírgula 3 5 3 3 5" xfId="2422" xr:uid="{00000000-0005-0000-0000-0000772C0000}"/>
    <cellStyle name="Vírgula 3 5 3 3 5 2" xfId="8938" xr:uid="{00000000-0005-0000-0000-0000782C0000}"/>
    <cellStyle name="Vírgula 3 5 3 3 6" xfId="4564" xr:uid="{00000000-0005-0000-0000-0000792C0000}"/>
    <cellStyle name="Vírgula 3 5 3 3 6 2" xfId="11078" xr:uid="{00000000-0005-0000-0000-00007A2C0000}"/>
    <cellStyle name="Vírgula 3 5 3 3 7" xfId="6794" xr:uid="{00000000-0005-0000-0000-00007B2C0000}"/>
    <cellStyle name="Vírgula 3 5 3 4" xfId="451" xr:uid="{00000000-0005-0000-0000-00007C2C0000}"/>
    <cellStyle name="Vírgula 3 5 3 4 2" xfId="1006" xr:uid="{00000000-0005-0000-0000-00007D2C0000}"/>
    <cellStyle name="Vírgula 3 5 3 4 2 2" xfId="2034" xr:uid="{00000000-0005-0000-0000-00007E2C0000}"/>
    <cellStyle name="Vírgula 3 5 3 4 2 2 2" xfId="4092" xr:uid="{00000000-0005-0000-0000-00007F2C0000}"/>
    <cellStyle name="Vírgula 3 5 3 4 2 2 2 2" xfId="10608" xr:uid="{00000000-0005-0000-0000-0000802C0000}"/>
    <cellStyle name="Vírgula 3 5 3 4 2 2 3" xfId="6322" xr:uid="{00000000-0005-0000-0000-0000812C0000}"/>
    <cellStyle name="Vírgula 3 5 3 4 2 2 3 2" xfId="12836" xr:uid="{00000000-0005-0000-0000-0000822C0000}"/>
    <cellStyle name="Vírgula 3 5 3 4 2 2 4" xfId="8552" xr:uid="{00000000-0005-0000-0000-0000832C0000}"/>
    <cellStyle name="Vírgula 3 5 3 4 2 3" xfId="3064" xr:uid="{00000000-0005-0000-0000-0000842C0000}"/>
    <cellStyle name="Vírgula 3 5 3 4 2 3 2" xfId="9580" xr:uid="{00000000-0005-0000-0000-0000852C0000}"/>
    <cellStyle name="Vírgula 3 5 3 4 2 4" xfId="5294" xr:uid="{00000000-0005-0000-0000-0000862C0000}"/>
    <cellStyle name="Vírgula 3 5 3 4 2 4 2" xfId="11808" xr:uid="{00000000-0005-0000-0000-0000872C0000}"/>
    <cellStyle name="Vírgula 3 5 3 4 2 5" xfId="7524" xr:uid="{00000000-0005-0000-0000-0000882C0000}"/>
    <cellStyle name="Vírgula 3 5 3 4 3" xfId="1520" xr:uid="{00000000-0005-0000-0000-0000892C0000}"/>
    <cellStyle name="Vírgula 3 5 3 4 3 2" xfId="3578" xr:uid="{00000000-0005-0000-0000-00008A2C0000}"/>
    <cellStyle name="Vírgula 3 5 3 4 3 2 2" xfId="10094" xr:uid="{00000000-0005-0000-0000-00008B2C0000}"/>
    <cellStyle name="Vírgula 3 5 3 4 3 3" xfId="5808" xr:uid="{00000000-0005-0000-0000-00008C2C0000}"/>
    <cellStyle name="Vírgula 3 5 3 4 3 3 2" xfId="12322" xr:uid="{00000000-0005-0000-0000-00008D2C0000}"/>
    <cellStyle name="Vírgula 3 5 3 4 3 4" xfId="8038" xr:uid="{00000000-0005-0000-0000-00008E2C0000}"/>
    <cellStyle name="Vírgula 3 5 3 4 4" xfId="2550" xr:uid="{00000000-0005-0000-0000-00008F2C0000}"/>
    <cellStyle name="Vírgula 3 5 3 4 4 2" xfId="9066" xr:uid="{00000000-0005-0000-0000-0000902C0000}"/>
    <cellStyle name="Vírgula 3 5 3 4 5" xfId="4747" xr:uid="{00000000-0005-0000-0000-0000912C0000}"/>
    <cellStyle name="Vírgula 3 5 3 4 5 2" xfId="11261" xr:uid="{00000000-0005-0000-0000-0000922C0000}"/>
    <cellStyle name="Vírgula 3 5 3 4 6" xfId="6977" xr:uid="{00000000-0005-0000-0000-0000932C0000}"/>
    <cellStyle name="Vírgula 3 5 3 5" xfId="750" xr:uid="{00000000-0005-0000-0000-0000942C0000}"/>
    <cellStyle name="Vírgula 3 5 3 5 2" xfId="1778" xr:uid="{00000000-0005-0000-0000-0000952C0000}"/>
    <cellStyle name="Vírgula 3 5 3 5 2 2" xfId="3836" xr:uid="{00000000-0005-0000-0000-0000962C0000}"/>
    <cellStyle name="Vírgula 3 5 3 5 2 2 2" xfId="10352" xr:uid="{00000000-0005-0000-0000-0000972C0000}"/>
    <cellStyle name="Vírgula 3 5 3 5 2 3" xfId="6066" xr:uid="{00000000-0005-0000-0000-0000982C0000}"/>
    <cellStyle name="Vírgula 3 5 3 5 2 3 2" xfId="12580" xr:uid="{00000000-0005-0000-0000-0000992C0000}"/>
    <cellStyle name="Vírgula 3 5 3 5 2 4" xfId="8296" xr:uid="{00000000-0005-0000-0000-00009A2C0000}"/>
    <cellStyle name="Vírgula 3 5 3 5 3" xfId="2808" xr:uid="{00000000-0005-0000-0000-00009B2C0000}"/>
    <cellStyle name="Vírgula 3 5 3 5 3 2" xfId="9324" xr:uid="{00000000-0005-0000-0000-00009C2C0000}"/>
    <cellStyle name="Vírgula 3 5 3 5 4" xfId="5038" xr:uid="{00000000-0005-0000-0000-00009D2C0000}"/>
    <cellStyle name="Vírgula 3 5 3 5 4 2" xfId="11552" xr:uid="{00000000-0005-0000-0000-00009E2C0000}"/>
    <cellStyle name="Vírgula 3 5 3 5 5" xfId="7268" xr:uid="{00000000-0005-0000-0000-00009F2C0000}"/>
    <cellStyle name="Vírgula 3 5 3 6" xfId="1264" xr:uid="{00000000-0005-0000-0000-0000A02C0000}"/>
    <cellStyle name="Vírgula 3 5 3 6 2" xfId="3322" xr:uid="{00000000-0005-0000-0000-0000A12C0000}"/>
    <cellStyle name="Vírgula 3 5 3 6 2 2" xfId="9838" xr:uid="{00000000-0005-0000-0000-0000A22C0000}"/>
    <cellStyle name="Vírgula 3 5 3 6 3" xfId="5552" xr:uid="{00000000-0005-0000-0000-0000A32C0000}"/>
    <cellStyle name="Vírgula 3 5 3 6 3 2" xfId="12066" xr:uid="{00000000-0005-0000-0000-0000A42C0000}"/>
    <cellStyle name="Vírgula 3 5 3 6 4" xfId="7782" xr:uid="{00000000-0005-0000-0000-0000A52C0000}"/>
    <cellStyle name="Vírgula 3 5 3 7" xfId="2294" xr:uid="{00000000-0005-0000-0000-0000A62C0000}"/>
    <cellStyle name="Vírgula 3 5 3 7 2" xfId="8810" xr:uid="{00000000-0005-0000-0000-0000A72C0000}"/>
    <cellStyle name="Vírgula 3 5 3 8" xfId="4405" xr:uid="{00000000-0005-0000-0000-0000A82C0000}"/>
    <cellStyle name="Vírgula 3 5 3 8 2" xfId="10919" xr:uid="{00000000-0005-0000-0000-0000A92C0000}"/>
    <cellStyle name="Vírgula 3 5 3 9" xfId="6635" xr:uid="{00000000-0005-0000-0000-0000AA2C0000}"/>
    <cellStyle name="Vírgula 3 5 4" xfId="171" xr:uid="{00000000-0005-0000-0000-0000AB2C0000}"/>
    <cellStyle name="Vírgula 3 5 4 2" xfId="299" xr:uid="{00000000-0005-0000-0000-0000AC2C0000}"/>
    <cellStyle name="Vírgula 3 5 4 2 2" xfId="642" xr:uid="{00000000-0005-0000-0000-0000AD2C0000}"/>
    <cellStyle name="Vírgula 3 5 4 2 2 2" xfId="1166" xr:uid="{00000000-0005-0000-0000-0000AE2C0000}"/>
    <cellStyle name="Vírgula 3 5 4 2 2 2 2" xfId="2194" xr:uid="{00000000-0005-0000-0000-0000AF2C0000}"/>
    <cellStyle name="Vírgula 3 5 4 2 2 2 2 2" xfId="4252" xr:uid="{00000000-0005-0000-0000-0000B02C0000}"/>
    <cellStyle name="Vírgula 3 5 4 2 2 2 2 2 2" xfId="10768" xr:uid="{00000000-0005-0000-0000-0000B12C0000}"/>
    <cellStyle name="Vírgula 3 5 4 2 2 2 2 3" xfId="6482" xr:uid="{00000000-0005-0000-0000-0000B22C0000}"/>
    <cellStyle name="Vírgula 3 5 4 2 2 2 2 3 2" xfId="12996" xr:uid="{00000000-0005-0000-0000-0000B32C0000}"/>
    <cellStyle name="Vírgula 3 5 4 2 2 2 2 4" xfId="8712" xr:uid="{00000000-0005-0000-0000-0000B42C0000}"/>
    <cellStyle name="Vírgula 3 5 4 2 2 2 3" xfId="3224" xr:uid="{00000000-0005-0000-0000-0000B52C0000}"/>
    <cellStyle name="Vírgula 3 5 4 2 2 2 3 2" xfId="9740" xr:uid="{00000000-0005-0000-0000-0000B62C0000}"/>
    <cellStyle name="Vírgula 3 5 4 2 2 2 4" xfId="5454" xr:uid="{00000000-0005-0000-0000-0000B72C0000}"/>
    <cellStyle name="Vírgula 3 5 4 2 2 2 4 2" xfId="11968" xr:uid="{00000000-0005-0000-0000-0000B82C0000}"/>
    <cellStyle name="Vírgula 3 5 4 2 2 2 5" xfId="7684" xr:uid="{00000000-0005-0000-0000-0000B92C0000}"/>
    <cellStyle name="Vírgula 3 5 4 2 2 3" xfId="1680" xr:uid="{00000000-0005-0000-0000-0000BA2C0000}"/>
    <cellStyle name="Vírgula 3 5 4 2 2 3 2" xfId="3738" xr:uid="{00000000-0005-0000-0000-0000BB2C0000}"/>
    <cellStyle name="Vírgula 3 5 4 2 2 3 2 2" xfId="10254" xr:uid="{00000000-0005-0000-0000-0000BC2C0000}"/>
    <cellStyle name="Vírgula 3 5 4 2 2 3 3" xfId="5968" xr:uid="{00000000-0005-0000-0000-0000BD2C0000}"/>
    <cellStyle name="Vírgula 3 5 4 2 2 3 3 2" xfId="12482" xr:uid="{00000000-0005-0000-0000-0000BE2C0000}"/>
    <cellStyle name="Vírgula 3 5 4 2 2 3 4" xfId="8198" xr:uid="{00000000-0005-0000-0000-0000BF2C0000}"/>
    <cellStyle name="Vírgula 3 5 4 2 2 4" xfId="2710" xr:uid="{00000000-0005-0000-0000-0000C02C0000}"/>
    <cellStyle name="Vírgula 3 5 4 2 2 4 2" xfId="9226" xr:uid="{00000000-0005-0000-0000-0000C12C0000}"/>
    <cellStyle name="Vírgula 3 5 4 2 2 5" xfId="4938" xr:uid="{00000000-0005-0000-0000-0000C22C0000}"/>
    <cellStyle name="Vírgula 3 5 4 2 2 5 2" xfId="11452" xr:uid="{00000000-0005-0000-0000-0000C32C0000}"/>
    <cellStyle name="Vírgula 3 5 4 2 2 6" xfId="7168" xr:uid="{00000000-0005-0000-0000-0000C42C0000}"/>
    <cellStyle name="Vírgula 3 5 4 2 3" xfId="910" xr:uid="{00000000-0005-0000-0000-0000C52C0000}"/>
    <cellStyle name="Vírgula 3 5 4 2 3 2" xfId="1938" xr:uid="{00000000-0005-0000-0000-0000C62C0000}"/>
    <cellStyle name="Vírgula 3 5 4 2 3 2 2" xfId="3996" xr:uid="{00000000-0005-0000-0000-0000C72C0000}"/>
    <cellStyle name="Vírgula 3 5 4 2 3 2 2 2" xfId="10512" xr:uid="{00000000-0005-0000-0000-0000C82C0000}"/>
    <cellStyle name="Vírgula 3 5 4 2 3 2 3" xfId="6226" xr:uid="{00000000-0005-0000-0000-0000C92C0000}"/>
    <cellStyle name="Vírgula 3 5 4 2 3 2 3 2" xfId="12740" xr:uid="{00000000-0005-0000-0000-0000CA2C0000}"/>
    <cellStyle name="Vírgula 3 5 4 2 3 2 4" xfId="8456" xr:uid="{00000000-0005-0000-0000-0000CB2C0000}"/>
    <cellStyle name="Vírgula 3 5 4 2 3 3" xfId="2968" xr:uid="{00000000-0005-0000-0000-0000CC2C0000}"/>
    <cellStyle name="Vírgula 3 5 4 2 3 3 2" xfId="9484" xr:uid="{00000000-0005-0000-0000-0000CD2C0000}"/>
    <cellStyle name="Vírgula 3 5 4 2 3 4" xfId="5198" xr:uid="{00000000-0005-0000-0000-0000CE2C0000}"/>
    <cellStyle name="Vírgula 3 5 4 2 3 4 2" xfId="11712" xr:uid="{00000000-0005-0000-0000-0000CF2C0000}"/>
    <cellStyle name="Vírgula 3 5 4 2 3 5" xfId="7428" xr:uid="{00000000-0005-0000-0000-0000D02C0000}"/>
    <cellStyle name="Vírgula 3 5 4 2 4" xfId="1424" xr:uid="{00000000-0005-0000-0000-0000D12C0000}"/>
    <cellStyle name="Vírgula 3 5 4 2 4 2" xfId="3482" xr:uid="{00000000-0005-0000-0000-0000D22C0000}"/>
    <cellStyle name="Vírgula 3 5 4 2 4 2 2" xfId="9998" xr:uid="{00000000-0005-0000-0000-0000D32C0000}"/>
    <cellStyle name="Vírgula 3 5 4 2 4 3" xfId="5712" xr:uid="{00000000-0005-0000-0000-0000D42C0000}"/>
    <cellStyle name="Vírgula 3 5 4 2 4 3 2" xfId="12226" xr:uid="{00000000-0005-0000-0000-0000D52C0000}"/>
    <cellStyle name="Vírgula 3 5 4 2 4 4" xfId="7942" xr:uid="{00000000-0005-0000-0000-0000D62C0000}"/>
    <cellStyle name="Vírgula 3 5 4 2 5" xfId="2454" xr:uid="{00000000-0005-0000-0000-0000D72C0000}"/>
    <cellStyle name="Vírgula 3 5 4 2 5 2" xfId="8970" xr:uid="{00000000-0005-0000-0000-0000D82C0000}"/>
    <cellStyle name="Vírgula 3 5 4 2 6" xfId="4596" xr:uid="{00000000-0005-0000-0000-0000D92C0000}"/>
    <cellStyle name="Vírgula 3 5 4 2 6 2" xfId="11110" xr:uid="{00000000-0005-0000-0000-0000DA2C0000}"/>
    <cellStyle name="Vírgula 3 5 4 2 7" xfId="6826" xr:uid="{00000000-0005-0000-0000-0000DB2C0000}"/>
    <cellStyle name="Vírgula 3 5 4 3" xfId="514" xr:uid="{00000000-0005-0000-0000-0000DC2C0000}"/>
    <cellStyle name="Vírgula 3 5 4 3 2" xfId="1038" xr:uid="{00000000-0005-0000-0000-0000DD2C0000}"/>
    <cellStyle name="Vírgula 3 5 4 3 2 2" xfId="2066" xr:uid="{00000000-0005-0000-0000-0000DE2C0000}"/>
    <cellStyle name="Vírgula 3 5 4 3 2 2 2" xfId="4124" xr:uid="{00000000-0005-0000-0000-0000DF2C0000}"/>
    <cellStyle name="Vírgula 3 5 4 3 2 2 2 2" xfId="10640" xr:uid="{00000000-0005-0000-0000-0000E02C0000}"/>
    <cellStyle name="Vírgula 3 5 4 3 2 2 3" xfId="6354" xr:uid="{00000000-0005-0000-0000-0000E12C0000}"/>
    <cellStyle name="Vírgula 3 5 4 3 2 2 3 2" xfId="12868" xr:uid="{00000000-0005-0000-0000-0000E22C0000}"/>
    <cellStyle name="Vírgula 3 5 4 3 2 2 4" xfId="8584" xr:uid="{00000000-0005-0000-0000-0000E32C0000}"/>
    <cellStyle name="Vírgula 3 5 4 3 2 3" xfId="3096" xr:uid="{00000000-0005-0000-0000-0000E42C0000}"/>
    <cellStyle name="Vírgula 3 5 4 3 2 3 2" xfId="9612" xr:uid="{00000000-0005-0000-0000-0000E52C0000}"/>
    <cellStyle name="Vírgula 3 5 4 3 2 4" xfId="5326" xr:uid="{00000000-0005-0000-0000-0000E62C0000}"/>
    <cellStyle name="Vírgula 3 5 4 3 2 4 2" xfId="11840" xr:uid="{00000000-0005-0000-0000-0000E72C0000}"/>
    <cellStyle name="Vírgula 3 5 4 3 2 5" xfId="7556" xr:uid="{00000000-0005-0000-0000-0000E82C0000}"/>
    <cellStyle name="Vírgula 3 5 4 3 3" xfId="1552" xr:uid="{00000000-0005-0000-0000-0000E92C0000}"/>
    <cellStyle name="Vírgula 3 5 4 3 3 2" xfId="3610" xr:uid="{00000000-0005-0000-0000-0000EA2C0000}"/>
    <cellStyle name="Vírgula 3 5 4 3 3 2 2" xfId="10126" xr:uid="{00000000-0005-0000-0000-0000EB2C0000}"/>
    <cellStyle name="Vírgula 3 5 4 3 3 3" xfId="5840" xr:uid="{00000000-0005-0000-0000-0000EC2C0000}"/>
    <cellStyle name="Vírgula 3 5 4 3 3 3 2" xfId="12354" xr:uid="{00000000-0005-0000-0000-0000ED2C0000}"/>
    <cellStyle name="Vírgula 3 5 4 3 3 4" xfId="8070" xr:uid="{00000000-0005-0000-0000-0000EE2C0000}"/>
    <cellStyle name="Vírgula 3 5 4 3 4" xfId="2582" xr:uid="{00000000-0005-0000-0000-0000EF2C0000}"/>
    <cellStyle name="Vírgula 3 5 4 3 4 2" xfId="9098" xr:uid="{00000000-0005-0000-0000-0000F02C0000}"/>
    <cellStyle name="Vírgula 3 5 4 3 5" xfId="4810" xr:uid="{00000000-0005-0000-0000-0000F12C0000}"/>
    <cellStyle name="Vírgula 3 5 4 3 5 2" xfId="11324" xr:uid="{00000000-0005-0000-0000-0000F22C0000}"/>
    <cellStyle name="Vírgula 3 5 4 3 6" xfId="7040" xr:uid="{00000000-0005-0000-0000-0000F32C0000}"/>
    <cellStyle name="Vírgula 3 5 4 4" xfId="782" xr:uid="{00000000-0005-0000-0000-0000F42C0000}"/>
    <cellStyle name="Vírgula 3 5 4 4 2" xfId="1810" xr:uid="{00000000-0005-0000-0000-0000F52C0000}"/>
    <cellStyle name="Vírgula 3 5 4 4 2 2" xfId="3868" xr:uid="{00000000-0005-0000-0000-0000F62C0000}"/>
    <cellStyle name="Vírgula 3 5 4 4 2 2 2" xfId="10384" xr:uid="{00000000-0005-0000-0000-0000F72C0000}"/>
    <cellStyle name="Vírgula 3 5 4 4 2 3" xfId="6098" xr:uid="{00000000-0005-0000-0000-0000F82C0000}"/>
    <cellStyle name="Vírgula 3 5 4 4 2 3 2" xfId="12612" xr:uid="{00000000-0005-0000-0000-0000F92C0000}"/>
    <cellStyle name="Vírgula 3 5 4 4 2 4" xfId="8328" xr:uid="{00000000-0005-0000-0000-0000FA2C0000}"/>
    <cellStyle name="Vírgula 3 5 4 4 3" xfId="2840" xr:uid="{00000000-0005-0000-0000-0000FB2C0000}"/>
    <cellStyle name="Vírgula 3 5 4 4 3 2" xfId="9356" xr:uid="{00000000-0005-0000-0000-0000FC2C0000}"/>
    <cellStyle name="Vírgula 3 5 4 4 4" xfId="5070" xr:uid="{00000000-0005-0000-0000-0000FD2C0000}"/>
    <cellStyle name="Vírgula 3 5 4 4 4 2" xfId="11584" xr:uid="{00000000-0005-0000-0000-0000FE2C0000}"/>
    <cellStyle name="Vírgula 3 5 4 4 5" xfId="7300" xr:uid="{00000000-0005-0000-0000-0000FF2C0000}"/>
    <cellStyle name="Vírgula 3 5 4 5" xfId="1296" xr:uid="{00000000-0005-0000-0000-0000002D0000}"/>
    <cellStyle name="Vírgula 3 5 4 5 2" xfId="3354" xr:uid="{00000000-0005-0000-0000-0000012D0000}"/>
    <cellStyle name="Vírgula 3 5 4 5 2 2" xfId="9870" xr:uid="{00000000-0005-0000-0000-0000022D0000}"/>
    <cellStyle name="Vírgula 3 5 4 5 3" xfId="5584" xr:uid="{00000000-0005-0000-0000-0000032D0000}"/>
    <cellStyle name="Vírgula 3 5 4 5 3 2" xfId="12098" xr:uid="{00000000-0005-0000-0000-0000042D0000}"/>
    <cellStyle name="Vírgula 3 5 4 5 4" xfId="7814" xr:uid="{00000000-0005-0000-0000-0000052D0000}"/>
    <cellStyle name="Vírgula 3 5 4 6" xfId="2326" xr:uid="{00000000-0005-0000-0000-0000062D0000}"/>
    <cellStyle name="Vírgula 3 5 4 6 2" xfId="8842" xr:uid="{00000000-0005-0000-0000-0000072D0000}"/>
    <cellStyle name="Vírgula 3 5 4 7" xfId="4468" xr:uid="{00000000-0005-0000-0000-0000082D0000}"/>
    <cellStyle name="Vírgula 3 5 4 7 2" xfId="10982" xr:uid="{00000000-0005-0000-0000-0000092D0000}"/>
    <cellStyle name="Vírgula 3 5 4 8" xfId="6698" xr:uid="{00000000-0005-0000-0000-00000A2D0000}"/>
    <cellStyle name="Vírgula 3 5 5" xfId="235" xr:uid="{00000000-0005-0000-0000-00000B2D0000}"/>
    <cellStyle name="Vírgula 3 5 5 2" xfId="578" xr:uid="{00000000-0005-0000-0000-00000C2D0000}"/>
    <cellStyle name="Vírgula 3 5 5 2 2" xfId="1102" xr:uid="{00000000-0005-0000-0000-00000D2D0000}"/>
    <cellStyle name="Vírgula 3 5 5 2 2 2" xfId="2130" xr:uid="{00000000-0005-0000-0000-00000E2D0000}"/>
    <cellStyle name="Vírgula 3 5 5 2 2 2 2" xfId="4188" xr:uid="{00000000-0005-0000-0000-00000F2D0000}"/>
    <cellStyle name="Vírgula 3 5 5 2 2 2 2 2" xfId="10704" xr:uid="{00000000-0005-0000-0000-0000102D0000}"/>
    <cellStyle name="Vírgula 3 5 5 2 2 2 3" xfId="6418" xr:uid="{00000000-0005-0000-0000-0000112D0000}"/>
    <cellStyle name="Vírgula 3 5 5 2 2 2 3 2" xfId="12932" xr:uid="{00000000-0005-0000-0000-0000122D0000}"/>
    <cellStyle name="Vírgula 3 5 5 2 2 2 4" xfId="8648" xr:uid="{00000000-0005-0000-0000-0000132D0000}"/>
    <cellStyle name="Vírgula 3 5 5 2 2 3" xfId="3160" xr:uid="{00000000-0005-0000-0000-0000142D0000}"/>
    <cellStyle name="Vírgula 3 5 5 2 2 3 2" xfId="9676" xr:uid="{00000000-0005-0000-0000-0000152D0000}"/>
    <cellStyle name="Vírgula 3 5 5 2 2 4" xfId="5390" xr:uid="{00000000-0005-0000-0000-0000162D0000}"/>
    <cellStyle name="Vírgula 3 5 5 2 2 4 2" xfId="11904" xr:uid="{00000000-0005-0000-0000-0000172D0000}"/>
    <cellStyle name="Vírgula 3 5 5 2 2 5" xfId="7620" xr:uid="{00000000-0005-0000-0000-0000182D0000}"/>
    <cellStyle name="Vírgula 3 5 5 2 3" xfId="1616" xr:uid="{00000000-0005-0000-0000-0000192D0000}"/>
    <cellStyle name="Vírgula 3 5 5 2 3 2" xfId="3674" xr:uid="{00000000-0005-0000-0000-00001A2D0000}"/>
    <cellStyle name="Vírgula 3 5 5 2 3 2 2" xfId="10190" xr:uid="{00000000-0005-0000-0000-00001B2D0000}"/>
    <cellStyle name="Vírgula 3 5 5 2 3 3" xfId="5904" xr:uid="{00000000-0005-0000-0000-00001C2D0000}"/>
    <cellStyle name="Vírgula 3 5 5 2 3 3 2" xfId="12418" xr:uid="{00000000-0005-0000-0000-00001D2D0000}"/>
    <cellStyle name="Vírgula 3 5 5 2 3 4" xfId="8134" xr:uid="{00000000-0005-0000-0000-00001E2D0000}"/>
    <cellStyle name="Vírgula 3 5 5 2 4" xfId="2646" xr:uid="{00000000-0005-0000-0000-00001F2D0000}"/>
    <cellStyle name="Vírgula 3 5 5 2 4 2" xfId="9162" xr:uid="{00000000-0005-0000-0000-0000202D0000}"/>
    <cellStyle name="Vírgula 3 5 5 2 5" xfId="4874" xr:uid="{00000000-0005-0000-0000-0000212D0000}"/>
    <cellStyle name="Vírgula 3 5 5 2 5 2" xfId="11388" xr:uid="{00000000-0005-0000-0000-0000222D0000}"/>
    <cellStyle name="Vírgula 3 5 5 2 6" xfId="7104" xr:uid="{00000000-0005-0000-0000-0000232D0000}"/>
    <cellStyle name="Vírgula 3 5 5 3" xfId="846" xr:uid="{00000000-0005-0000-0000-0000242D0000}"/>
    <cellStyle name="Vírgula 3 5 5 3 2" xfId="1874" xr:uid="{00000000-0005-0000-0000-0000252D0000}"/>
    <cellStyle name="Vírgula 3 5 5 3 2 2" xfId="3932" xr:uid="{00000000-0005-0000-0000-0000262D0000}"/>
    <cellStyle name="Vírgula 3 5 5 3 2 2 2" xfId="10448" xr:uid="{00000000-0005-0000-0000-0000272D0000}"/>
    <cellStyle name="Vírgula 3 5 5 3 2 3" xfId="6162" xr:uid="{00000000-0005-0000-0000-0000282D0000}"/>
    <cellStyle name="Vírgula 3 5 5 3 2 3 2" xfId="12676" xr:uid="{00000000-0005-0000-0000-0000292D0000}"/>
    <cellStyle name="Vírgula 3 5 5 3 2 4" xfId="8392" xr:uid="{00000000-0005-0000-0000-00002A2D0000}"/>
    <cellStyle name="Vírgula 3 5 5 3 3" xfId="2904" xr:uid="{00000000-0005-0000-0000-00002B2D0000}"/>
    <cellStyle name="Vírgula 3 5 5 3 3 2" xfId="9420" xr:uid="{00000000-0005-0000-0000-00002C2D0000}"/>
    <cellStyle name="Vírgula 3 5 5 3 4" xfId="5134" xr:uid="{00000000-0005-0000-0000-00002D2D0000}"/>
    <cellStyle name="Vírgula 3 5 5 3 4 2" xfId="11648" xr:uid="{00000000-0005-0000-0000-00002E2D0000}"/>
    <cellStyle name="Vírgula 3 5 5 3 5" xfId="7364" xr:uid="{00000000-0005-0000-0000-00002F2D0000}"/>
    <cellStyle name="Vírgula 3 5 5 4" xfId="1360" xr:uid="{00000000-0005-0000-0000-0000302D0000}"/>
    <cellStyle name="Vírgula 3 5 5 4 2" xfId="3418" xr:uid="{00000000-0005-0000-0000-0000312D0000}"/>
    <cellStyle name="Vírgula 3 5 5 4 2 2" xfId="9934" xr:uid="{00000000-0005-0000-0000-0000322D0000}"/>
    <cellStyle name="Vírgula 3 5 5 4 3" xfId="5648" xr:uid="{00000000-0005-0000-0000-0000332D0000}"/>
    <cellStyle name="Vírgula 3 5 5 4 3 2" xfId="12162" xr:uid="{00000000-0005-0000-0000-0000342D0000}"/>
    <cellStyle name="Vírgula 3 5 5 4 4" xfId="7878" xr:uid="{00000000-0005-0000-0000-0000352D0000}"/>
    <cellStyle name="Vírgula 3 5 5 5" xfId="2390" xr:uid="{00000000-0005-0000-0000-0000362D0000}"/>
    <cellStyle name="Vírgula 3 5 5 5 2" xfId="8906" xr:uid="{00000000-0005-0000-0000-0000372D0000}"/>
    <cellStyle name="Vírgula 3 5 5 6" xfId="4532" xr:uid="{00000000-0005-0000-0000-0000382D0000}"/>
    <cellStyle name="Vírgula 3 5 5 6 2" xfId="11046" xr:uid="{00000000-0005-0000-0000-0000392D0000}"/>
    <cellStyle name="Vírgula 3 5 5 7" xfId="6762" xr:uid="{00000000-0005-0000-0000-00003A2D0000}"/>
    <cellStyle name="Vírgula 3 5 6" xfId="377" xr:uid="{00000000-0005-0000-0000-00003B2D0000}"/>
    <cellStyle name="Vírgula 3 5 6 2" xfId="974" xr:uid="{00000000-0005-0000-0000-00003C2D0000}"/>
    <cellStyle name="Vírgula 3 5 6 2 2" xfId="2002" xr:uid="{00000000-0005-0000-0000-00003D2D0000}"/>
    <cellStyle name="Vírgula 3 5 6 2 2 2" xfId="4060" xr:uid="{00000000-0005-0000-0000-00003E2D0000}"/>
    <cellStyle name="Vírgula 3 5 6 2 2 2 2" xfId="10576" xr:uid="{00000000-0005-0000-0000-00003F2D0000}"/>
    <cellStyle name="Vírgula 3 5 6 2 2 3" xfId="6290" xr:uid="{00000000-0005-0000-0000-0000402D0000}"/>
    <cellStyle name="Vírgula 3 5 6 2 2 3 2" xfId="12804" xr:uid="{00000000-0005-0000-0000-0000412D0000}"/>
    <cellStyle name="Vírgula 3 5 6 2 2 4" xfId="8520" xr:uid="{00000000-0005-0000-0000-0000422D0000}"/>
    <cellStyle name="Vírgula 3 5 6 2 3" xfId="3032" xr:uid="{00000000-0005-0000-0000-0000432D0000}"/>
    <cellStyle name="Vírgula 3 5 6 2 3 2" xfId="9548" xr:uid="{00000000-0005-0000-0000-0000442D0000}"/>
    <cellStyle name="Vírgula 3 5 6 2 4" xfId="5262" xr:uid="{00000000-0005-0000-0000-0000452D0000}"/>
    <cellStyle name="Vírgula 3 5 6 2 4 2" xfId="11776" xr:uid="{00000000-0005-0000-0000-0000462D0000}"/>
    <cellStyle name="Vírgula 3 5 6 2 5" xfId="7492" xr:uid="{00000000-0005-0000-0000-0000472D0000}"/>
    <cellStyle name="Vírgula 3 5 6 3" xfId="1488" xr:uid="{00000000-0005-0000-0000-0000482D0000}"/>
    <cellStyle name="Vírgula 3 5 6 3 2" xfId="3546" xr:uid="{00000000-0005-0000-0000-0000492D0000}"/>
    <cellStyle name="Vírgula 3 5 6 3 2 2" xfId="10062" xr:uid="{00000000-0005-0000-0000-00004A2D0000}"/>
    <cellStyle name="Vírgula 3 5 6 3 3" xfId="5776" xr:uid="{00000000-0005-0000-0000-00004B2D0000}"/>
    <cellStyle name="Vírgula 3 5 6 3 3 2" xfId="12290" xr:uid="{00000000-0005-0000-0000-00004C2D0000}"/>
    <cellStyle name="Vírgula 3 5 6 3 4" xfId="8006" xr:uid="{00000000-0005-0000-0000-00004D2D0000}"/>
    <cellStyle name="Vírgula 3 5 6 4" xfId="2518" xr:uid="{00000000-0005-0000-0000-00004E2D0000}"/>
    <cellStyle name="Vírgula 3 5 6 4 2" xfId="9034" xr:uid="{00000000-0005-0000-0000-00004F2D0000}"/>
    <cellStyle name="Vírgula 3 5 6 5" xfId="4673" xr:uid="{00000000-0005-0000-0000-0000502D0000}"/>
    <cellStyle name="Vírgula 3 5 6 5 2" xfId="11187" xr:uid="{00000000-0005-0000-0000-0000512D0000}"/>
    <cellStyle name="Vírgula 3 5 6 6" xfId="6903" xr:uid="{00000000-0005-0000-0000-0000522D0000}"/>
    <cellStyle name="Vírgula 3 5 7" xfId="718" xr:uid="{00000000-0005-0000-0000-0000532D0000}"/>
    <cellStyle name="Vírgula 3 5 7 2" xfId="1746" xr:uid="{00000000-0005-0000-0000-0000542D0000}"/>
    <cellStyle name="Vírgula 3 5 7 2 2" xfId="3804" xr:uid="{00000000-0005-0000-0000-0000552D0000}"/>
    <cellStyle name="Vírgula 3 5 7 2 2 2" xfId="10320" xr:uid="{00000000-0005-0000-0000-0000562D0000}"/>
    <cellStyle name="Vírgula 3 5 7 2 3" xfId="6034" xr:uid="{00000000-0005-0000-0000-0000572D0000}"/>
    <cellStyle name="Vírgula 3 5 7 2 3 2" xfId="12548" xr:uid="{00000000-0005-0000-0000-0000582D0000}"/>
    <cellStyle name="Vírgula 3 5 7 2 4" xfId="8264" xr:uid="{00000000-0005-0000-0000-0000592D0000}"/>
    <cellStyle name="Vírgula 3 5 7 3" xfId="2776" xr:uid="{00000000-0005-0000-0000-00005A2D0000}"/>
    <cellStyle name="Vírgula 3 5 7 3 2" xfId="9292" xr:uid="{00000000-0005-0000-0000-00005B2D0000}"/>
    <cellStyle name="Vírgula 3 5 7 4" xfId="5006" xr:uid="{00000000-0005-0000-0000-00005C2D0000}"/>
    <cellStyle name="Vírgula 3 5 7 4 2" xfId="11520" xr:uid="{00000000-0005-0000-0000-00005D2D0000}"/>
    <cellStyle name="Vírgula 3 5 7 5" xfId="7236" xr:uid="{00000000-0005-0000-0000-00005E2D0000}"/>
    <cellStyle name="Vírgula 3 5 8" xfId="1232" xr:uid="{00000000-0005-0000-0000-00005F2D0000}"/>
    <cellStyle name="Vírgula 3 5 8 2" xfId="3290" xr:uid="{00000000-0005-0000-0000-0000602D0000}"/>
    <cellStyle name="Vírgula 3 5 8 2 2" xfId="9806" xr:uid="{00000000-0005-0000-0000-0000612D0000}"/>
    <cellStyle name="Vírgula 3 5 8 3" xfId="5520" xr:uid="{00000000-0005-0000-0000-0000622D0000}"/>
    <cellStyle name="Vírgula 3 5 8 3 2" xfId="12034" xr:uid="{00000000-0005-0000-0000-0000632D0000}"/>
    <cellStyle name="Vírgula 3 5 8 4" xfId="7750" xr:uid="{00000000-0005-0000-0000-0000642D0000}"/>
    <cellStyle name="Vírgula 3 5 9" xfId="2262" xr:uid="{00000000-0005-0000-0000-0000652D0000}"/>
    <cellStyle name="Vírgula 3 5 9 2" xfId="8778" xr:uid="{00000000-0005-0000-0000-0000662D0000}"/>
    <cellStyle name="Vírgula 3 6" xfId="52" xr:uid="{00000000-0005-0000-0000-0000672D0000}"/>
    <cellStyle name="Vírgula 3 6 10" xfId="4349" xr:uid="{00000000-0005-0000-0000-0000682D0000}"/>
    <cellStyle name="Vírgula 3 6 10 2" xfId="10863" xr:uid="{00000000-0005-0000-0000-0000692D0000}"/>
    <cellStyle name="Vírgula 3 6 11" xfId="6579" xr:uid="{00000000-0005-0000-0000-00006A2D0000}"/>
    <cellStyle name="Vírgula 3 6 2" xfId="87" xr:uid="{00000000-0005-0000-0000-00006B2D0000}"/>
    <cellStyle name="Vírgula 3 6 2 10" xfId="6614" xr:uid="{00000000-0005-0000-0000-00006C2D0000}"/>
    <cellStyle name="Vírgula 3 6 2 2" xfId="161" xr:uid="{00000000-0005-0000-0000-00006D2D0000}"/>
    <cellStyle name="Vírgula 3 6 2 2 2" xfId="225" xr:uid="{00000000-0005-0000-0000-00006E2D0000}"/>
    <cellStyle name="Vírgula 3 6 2 2 2 2" xfId="353" xr:uid="{00000000-0005-0000-0000-00006F2D0000}"/>
    <cellStyle name="Vírgula 3 6 2 2 2 2 2" xfId="696" xr:uid="{00000000-0005-0000-0000-0000702D0000}"/>
    <cellStyle name="Vírgula 3 6 2 2 2 2 2 2" xfId="1220" xr:uid="{00000000-0005-0000-0000-0000712D0000}"/>
    <cellStyle name="Vírgula 3 6 2 2 2 2 2 2 2" xfId="2248" xr:uid="{00000000-0005-0000-0000-0000722D0000}"/>
    <cellStyle name="Vírgula 3 6 2 2 2 2 2 2 2 2" xfId="4306" xr:uid="{00000000-0005-0000-0000-0000732D0000}"/>
    <cellStyle name="Vírgula 3 6 2 2 2 2 2 2 2 2 2" xfId="10822" xr:uid="{00000000-0005-0000-0000-0000742D0000}"/>
    <cellStyle name="Vírgula 3 6 2 2 2 2 2 2 2 3" xfId="6536" xr:uid="{00000000-0005-0000-0000-0000752D0000}"/>
    <cellStyle name="Vírgula 3 6 2 2 2 2 2 2 2 3 2" xfId="13050" xr:uid="{00000000-0005-0000-0000-0000762D0000}"/>
    <cellStyle name="Vírgula 3 6 2 2 2 2 2 2 2 4" xfId="8766" xr:uid="{00000000-0005-0000-0000-0000772D0000}"/>
    <cellStyle name="Vírgula 3 6 2 2 2 2 2 2 3" xfId="3278" xr:uid="{00000000-0005-0000-0000-0000782D0000}"/>
    <cellStyle name="Vírgula 3 6 2 2 2 2 2 2 3 2" xfId="9794" xr:uid="{00000000-0005-0000-0000-0000792D0000}"/>
    <cellStyle name="Vírgula 3 6 2 2 2 2 2 2 4" xfId="5508" xr:uid="{00000000-0005-0000-0000-00007A2D0000}"/>
    <cellStyle name="Vírgula 3 6 2 2 2 2 2 2 4 2" xfId="12022" xr:uid="{00000000-0005-0000-0000-00007B2D0000}"/>
    <cellStyle name="Vírgula 3 6 2 2 2 2 2 2 5" xfId="7738" xr:uid="{00000000-0005-0000-0000-00007C2D0000}"/>
    <cellStyle name="Vírgula 3 6 2 2 2 2 2 3" xfId="1734" xr:uid="{00000000-0005-0000-0000-00007D2D0000}"/>
    <cellStyle name="Vírgula 3 6 2 2 2 2 2 3 2" xfId="3792" xr:uid="{00000000-0005-0000-0000-00007E2D0000}"/>
    <cellStyle name="Vírgula 3 6 2 2 2 2 2 3 2 2" xfId="10308" xr:uid="{00000000-0005-0000-0000-00007F2D0000}"/>
    <cellStyle name="Vírgula 3 6 2 2 2 2 2 3 3" xfId="6022" xr:uid="{00000000-0005-0000-0000-0000802D0000}"/>
    <cellStyle name="Vírgula 3 6 2 2 2 2 2 3 3 2" xfId="12536" xr:uid="{00000000-0005-0000-0000-0000812D0000}"/>
    <cellStyle name="Vírgula 3 6 2 2 2 2 2 3 4" xfId="8252" xr:uid="{00000000-0005-0000-0000-0000822D0000}"/>
    <cellStyle name="Vírgula 3 6 2 2 2 2 2 4" xfId="2764" xr:uid="{00000000-0005-0000-0000-0000832D0000}"/>
    <cellStyle name="Vírgula 3 6 2 2 2 2 2 4 2" xfId="9280" xr:uid="{00000000-0005-0000-0000-0000842D0000}"/>
    <cellStyle name="Vírgula 3 6 2 2 2 2 2 5" xfId="4992" xr:uid="{00000000-0005-0000-0000-0000852D0000}"/>
    <cellStyle name="Vírgula 3 6 2 2 2 2 2 5 2" xfId="11506" xr:uid="{00000000-0005-0000-0000-0000862D0000}"/>
    <cellStyle name="Vírgula 3 6 2 2 2 2 2 6" xfId="7222" xr:uid="{00000000-0005-0000-0000-0000872D0000}"/>
    <cellStyle name="Vírgula 3 6 2 2 2 2 3" xfId="964" xr:uid="{00000000-0005-0000-0000-0000882D0000}"/>
    <cellStyle name="Vírgula 3 6 2 2 2 2 3 2" xfId="1992" xr:uid="{00000000-0005-0000-0000-0000892D0000}"/>
    <cellStyle name="Vírgula 3 6 2 2 2 2 3 2 2" xfId="4050" xr:uid="{00000000-0005-0000-0000-00008A2D0000}"/>
    <cellStyle name="Vírgula 3 6 2 2 2 2 3 2 2 2" xfId="10566" xr:uid="{00000000-0005-0000-0000-00008B2D0000}"/>
    <cellStyle name="Vírgula 3 6 2 2 2 2 3 2 3" xfId="6280" xr:uid="{00000000-0005-0000-0000-00008C2D0000}"/>
    <cellStyle name="Vírgula 3 6 2 2 2 2 3 2 3 2" xfId="12794" xr:uid="{00000000-0005-0000-0000-00008D2D0000}"/>
    <cellStyle name="Vírgula 3 6 2 2 2 2 3 2 4" xfId="8510" xr:uid="{00000000-0005-0000-0000-00008E2D0000}"/>
    <cellStyle name="Vírgula 3 6 2 2 2 2 3 3" xfId="3022" xr:uid="{00000000-0005-0000-0000-00008F2D0000}"/>
    <cellStyle name="Vírgula 3 6 2 2 2 2 3 3 2" xfId="9538" xr:uid="{00000000-0005-0000-0000-0000902D0000}"/>
    <cellStyle name="Vírgula 3 6 2 2 2 2 3 4" xfId="5252" xr:uid="{00000000-0005-0000-0000-0000912D0000}"/>
    <cellStyle name="Vírgula 3 6 2 2 2 2 3 4 2" xfId="11766" xr:uid="{00000000-0005-0000-0000-0000922D0000}"/>
    <cellStyle name="Vírgula 3 6 2 2 2 2 3 5" xfId="7482" xr:uid="{00000000-0005-0000-0000-0000932D0000}"/>
    <cellStyle name="Vírgula 3 6 2 2 2 2 4" xfId="1478" xr:uid="{00000000-0005-0000-0000-0000942D0000}"/>
    <cellStyle name="Vírgula 3 6 2 2 2 2 4 2" xfId="3536" xr:uid="{00000000-0005-0000-0000-0000952D0000}"/>
    <cellStyle name="Vírgula 3 6 2 2 2 2 4 2 2" xfId="10052" xr:uid="{00000000-0005-0000-0000-0000962D0000}"/>
    <cellStyle name="Vírgula 3 6 2 2 2 2 4 3" xfId="5766" xr:uid="{00000000-0005-0000-0000-0000972D0000}"/>
    <cellStyle name="Vírgula 3 6 2 2 2 2 4 3 2" xfId="12280" xr:uid="{00000000-0005-0000-0000-0000982D0000}"/>
    <cellStyle name="Vírgula 3 6 2 2 2 2 4 4" xfId="7996" xr:uid="{00000000-0005-0000-0000-0000992D0000}"/>
    <cellStyle name="Vírgula 3 6 2 2 2 2 5" xfId="2508" xr:uid="{00000000-0005-0000-0000-00009A2D0000}"/>
    <cellStyle name="Vírgula 3 6 2 2 2 2 5 2" xfId="9024" xr:uid="{00000000-0005-0000-0000-00009B2D0000}"/>
    <cellStyle name="Vírgula 3 6 2 2 2 2 6" xfId="4650" xr:uid="{00000000-0005-0000-0000-00009C2D0000}"/>
    <cellStyle name="Vírgula 3 6 2 2 2 2 6 2" xfId="11164" xr:uid="{00000000-0005-0000-0000-00009D2D0000}"/>
    <cellStyle name="Vírgula 3 6 2 2 2 2 7" xfId="6880" xr:uid="{00000000-0005-0000-0000-00009E2D0000}"/>
    <cellStyle name="Vírgula 3 6 2 2 2 3" xfId="568" xr:uid="{00000000-0005-0000-0000-00009F2D0000}"/>
    <cellStyle name="Vírgula 3 6 2 2 2 3 2" xfId="1092" xr:uid="{00000000-0005-0000-0000-0000A02D0000}"/>
    <cellStyle name="Vírgula 3 6 2 2 2 3 2 2" xfId="2120" xr:uid="{00000000-0005-0000-0000-0000A12D0000}"/>
    <cellStyle name="Vírgula 3 6 2 2 2 3 2 2 2" xfId="4178" xr:uid="{00000000-0005-0000-0000-0000A22D0000}"/>
    <cellStyle name="Vírgula 3 6 2 2 2 3 2 2 2 2" xfId="10694" xr:uid="{00000000-0005-0000-0000-0000A32D0000}"/>
    <cellStyle name="Vírgula 3 6 2 2 2 3 2 2 3" xfId="6408" xr:uid="{00000000-0005-0000-0000-0000A42D0000}"/>
    <cellStyle name="Vírgula 3 6 2 2 2 3 2 2 3 2" xfId="12922" xr:uid="{00000000-0005-0000-0000-0000A52D0000}"/>
    <cellStyle name="Vírgula 3 6 2 2 2 3 2 2 4" xfId="8638" xr:uid="{00000000-0005-0000-0000-0000A62D0000}"/>
    <cellStyle name="Vírgula 3 6 2 2 2 3 2 3" xfId="3150" xr:uid="{00000000-0005-0000-0000-0000A72D0000}"/>
    <cellStyle name="Vírgula 3 6 2 2 2 3 2 3 2" xfId="9666" xr:uid="{00000000-0005-0000-0000-0000A82D0000}"/>
    <cellStyle name="Vírgula 3 6 2 2 2 3 2 4" xfId="5380" xr:uid="{00000000-0005-0000-0000-0000A92D0000}"/>
    <cellStyle name="Vírgula 3 6 2 2 2 3 2 4 2" xfId="11894" xr:uid="{00000000-0005-0000-0000-0000AA2D0000}"/>
    <cellStyle name="Vírgula 3 6 2 2 2 3 2 5" xfId="7610" xr:uid="{00000000-0005-0000-0000-0000AB2D0000}"/>
    <cellStyle name="Vírgula 3 6 2 2 2 3 3" xfId="1606" xr:uid="{00000000-0005-0000-0000-0000AC2D0000}"/>
    <cellStyle name="Vírgula 3 6 2 2 2 3 3 2" xfId="3664" xr:uid="{00000000-0005-0000-0000-0000AD2D0000}"/>
    <cellStyle name="Vírgula 3 6 2 2 2 3 3 2 2" xfId="10180" xr:uid="{00000000-0005-0000-0000-0000AE2D0000}"/>
    <cellStyle name="Vírgula 3 6 2 2 2 3 3 3" xfId="5894" xr:uid="{00000000-0005-0000-0000-0000AF2D0000}"/>
    <cellStyle name="Vírgula 3 6 2 2 2 3 3 3 2" xfId="12408" xr:uid="{00000000-0005-0000-0000-0000B02D0000}"/>
    <cellStyle name="Vírgula 3 6 2 2 2 3 3 4" xfId="8124" xr:uid="{00000000-0005-0000-0000-0000B12D0000}"/>
    <cellStyle name="Vírgula 3 6 2 2 2 3 4" xfId="2636" xr:uid="{00000000-0005-0000-0000-0000B22D0000}"/>
    <cellStyle name="Vírgula 3 6 2 2 2 3 4 2" xfId="9152" xr:uid="{00000000-0005-0000-0000-0000B32D0000}"/>
    <cellStyle name="Vírgula 3 6 2 2 2 3 5" xfId="4864" xr:uid="{00000000-0005-0000-0000-0000B42D0000}"/>
    <cellStyle name="Vírgula 3 6 2 2 2 3 5 2" xfId="11378" xr:uid="{00000000-0005-0000-0000-0000B52D0000}"/>
    <cellStyle name="Vírgula 3 6 2 2 2 3 6" xfId="7094" xr:uid="{00000000-0005-0000-0000-0000B62D0000}"/>
    <cellStyle name="Vírgula 3 6 2 2 2 4" xfId="836" xr:uid="{00000000-0005-0000-0000-0000B72D0000}"/>
    <cellStyle name="Vírgula 3 6 2 2 2 4 2" xfId="1864" xr:uid="{00000000-0005-0000-0000-0000B82D0000}"/>
    <cellStyle name="Vírgula 3 6 2 2 2 4 2 2" xfId="3922" xr:uid="{00000000-0005-0000-0000-0000B92D0000}"/>
    <cellStyle name="Vírgula 3 6 2 2 2 4 2 2 2" xfId="10438" xr:uid="{00000000-0005-0000-0000-0000BA2D0000}"/>
    <cellStyle name="Vírgula 3 6 2 2 2 4 2 3" xfId="6152" xr:uid="{00000000-0005-0000-0000-0000BB2D0000}"/>
    <cellStyle name="Vírgula 3 6 2 2 2 4 2 3 2" xfId="12666" xr:uid="{00000000-0005-0000-0000-0000BC2D0000}"/>
    <cellStyle name="Vírgula 3 6 2 2 2 4 2 4" xfId="8382" xr:uid="{00000000-0005-0000-0000-0000BD2D0000}"/>
    <cellStyle name="Vírgula 3 6 2 2 2 4 3" xfId="2894" xr:uid="{00000000-0005-0000-0000-0000BE2D0000}"/>
    <cellStyle name="Vírgula 3 6 2 2 2 4 3 2" xfId="9410" xr:uid="{00000000-0005-0000-0000-0000BF2D0000}"/>
    <cellStyle name="Vírgula 3 6 2 2 2 4 4" xfId="5124" xr:uid="{00000000-0005-0000-0000-0000C02D0000}"/>
    <cellStyle name="Vírgula 3 6 2 2 2 4 4 2" xfId="11638" xr:uid="{00000000-0005-0000-0000-0000C12D0000}"/>
    <cellStyle name="Vírgula 3 6 2 2 2 4 5" xfId="7354" xr:uid="{00000000-0005-0000-0000-0000C22D0000}"/>
    <cellStyle name="Vírgula 3 6 2 2 2 5" xfId="1350" xr:uid="{00000000-0005-0000-0000-0000C32D0000}"/>
    <cellStyle name="Vírgula 3 6 2 2 2 5 2" xfId="3408" xr:uid="{00000000-0005-0000-0000-0000C42D0000}"/>
    <cellStyle name="Vírgula 3 6 2 2 2 5 2 2" xfId="9924" xr:uid="{00000000-0005-0000-0000-0000C52D0000}"/>
    <cellStyle name="Vírgula 3 6 2 2 2 5 3" xfId="5638" xr:uid="{00000000-0005-0000-0000-0000C62D0000}"/>
    <cellStyle name="Vírgula 3 6 2 2 2 5 3 2" xfId="12152" xr:uid="{00000000-0005-0000-0000-0000C72D0000}"/>
    <cellStyle name="Vírgula 3 6 2 2 2 5 4" xfId="7868" xr:uid="{00000000-0005-0000-0000-0000C82D0000}"/>
    <cellStyle name="Vírgula 3 6 2 2 2 6" xfId="2380" xr:uid="{00000000-0005-0000-0000-0000C92D0000}"/>
    <cellStyle name="Vírgula 3 6 2 2 2 6 2" xfId="8896" xr:uid="{00000000-0005-0000-0000-0000CA2D0000}"/>
    <cellStyle name="Vírgula 3 6 2 2 2 7" xfId="4522" xr:uid="{00000000-0005-0000-0000-0000CB2D0000}"/>
    <cellStyle name="Vírgula 3 6 2 2 2 7 2" xfId="11036" xr:uid="{00000000-0005-0000-0000-0000CC2D0000}"/>
    <cellStyle name="Vírgula 3 6 2 2 2 8" xfId="6752" xr:uid="{00000000-0005-0000-0000-0000CD2D0000}"/>
    <cellStyle name="Vírgula 3 6 2 2 3" xfId="289" xr:uid="{00000000-0005-0000-0000-0000CE2D0000}"/>
    <cellStyle name="Vírgula 3 6 2 2 3 2" xfId="632" xr:uid="{00000000-0005-0000-0000-0000CF2D0000}"/>
    <cellStyle name="Vírgula 3 6 2 2 3 2 2" xfId="1156" xr:uid="{00000000-0005-0000-0000-0000D02D0000}"/>
    <cellStyle name="Vírgula 3 6 2 2 3 2 2 2" xfId="2184" xr:uid="{00000000-0005-0000-0000-0000D12D0000}"/>
    <cellStyle name="Vírgula 3 6 2 2 3 2 2 2 2" xfId="4242" xr:uid="{00000000-0005-0000-0000-0000D22D0000}"/>
    <cellStyle name="Vírgula 3 6 2 2 3 2 2 2 2 2" xfId="10758" xr:uid="{00000000-0005-0000-0000-0000D32D0000}"/>
    <cellStyle name="Vírgula 3 6 2 2 3 2 2 2 3" xfId="6472" xr:uid="{00000000-0005-0000-0000-0000D42D0000}"/>
    <cellStyle name="Vírgula 3 6 2 2 3 2 2 2 3 2" xfId="12986" xr:uid="{00000000-0005-0000-0000-0000D52D0000}"/>
    <cellStyle name="Vírgula 3 6 2 2 3 2 2 2 4" xfId="8702" xr:uid="{00000000-0005-0000-0000-0000D62D0000}"/>
    <cellStyle name="Vírgula 3 6 2 2 3 2 2 3" xfId="3214" xr:uid="{00000000-0005-0000-0000-0000D72D0000}"/>
    <cellStyle name="Vírgula 3 6 2 2 3 2 2 3 2" xfId="9730" xr:uid="{00000000-0005-0000-0000-0000D82D0000}"/>
    <cellStyle name="Vírgula 3 6 2 2 3 2 2 4" xfId="5444" xr:uid="{00000000-0005-0000-0000-0000D92D0000}"/>
    <cellStyle name="Vírgula 3 6 2 2 3 2 2 4 2" xfId="11958" xr:uid="{00000000-0005-0000-0000-0000DA2D0000}"/>
    <cellStyle name="Vírgula 3 6 2 2 3 2 2 5" xfId="7674" xr:uid="{00000000-0005-0000-0000-0000DB2D0000}"/>
    <cellStyle name="Vírgula 3 6 2 2 3 2 3" xfId="1670" xr:uid="{00000000-0005-0000-0000-0000DC2D0000}"/>
    <cellStyle name="Vírgula 3 6 2 2 3 2 3 2" xfId="3728" xr:uid="{00000000-0005-0000-0000-0000DD2D0000}"/>
    <cellStyle name="Vírgula 3 6 2 2 3 2 3 2 2" xfId="10244" xr:uid="{00000000-0005-0000-0000-0000DE2D0000}"/>
    <cellStyle name="Vírgula 3 6 2 2 3 2 3 3" xfId="5958" xr:uid="{00000000-0005-0000-0000-0000DF2D0000}"/>
    <cellStyle name="Vírgula 3 6 2 2 3 2 3 3 2" xfId="12472" xr:uid="{00000000-0005-0000-0000-0000E02D0000}"/>
    <cellStyle name="Vírgula 3 6 2 2 3 2 3 4" xfId="8188" xr:uid="{00000000-0005-0000-0000-0000E12D0000}"/>
    <cellStyle name="Vírgula 3 6 2 2 3 2 4" xfId="2700" xr:uid="{00000000-0005-0000-0000-0000E22D0000}"/>
    <cellStyle name="Vírgula 3 6 2 2 3 2 4 2" xfId="9216" xr:uid="{00000000-0005-0000-0000-0000E32D0000}"/>
    <cellStyle name="Vírgula 3 6 2 2 3 2 5" xfId="4928" xr:uid="{00000000-0005-0000-0000-0000E42D0000}"/>
    <cellStyle name="Vírgula 3 6 2 2 3 2 5 2" xfId="11442" xr:uid="{00000000-0005-0000-0000-0000E52D0000}"/>
    <cellStyle name="Vírgula 3 6 2 2 3 2 6" xfId="7158" xr:uid="{00000000-0005-0000-0000-0000E62D0000}"/>
    <cellStyle name="Vírgula 3 6 2 2 3 3" xfId="900" xr:uid="{00000000-0005-0000-0000-0000E72D0000}"/>
    <cellStyle name="Vírgula 3 6 2 2 3 3 2" xfId="1928" xr:uid="{00000000-0005-0000-0000-0000E82D0000}"/>
    <cellStyle name="Vírgula 3 6 2 2 3 3 2 2" xfId="3986" xr:uid="{00000000-0005-0000-0000-0000E92D0000}"/>
    <cellStyle name="Vírgula 3 6 2 2 3 3 2 2 2" xfId="10502" xr:uid="{00000000-0005-0000-0000-0000EA2D0000}"/>
    <cellStyle name="Vírgula 3 6 2 2 3 3 2 3" xfId="6216" xr:uid="{00000000-0005-0000-0000-0000EB2D0000}"/>
    <cellStyle name="Vírgula 3 6 2 2 3 3 2 3 2" xfId="12730" xr:uid="{00000000-0005-0000-0000-0000EC2D0000}"/>
    <cellStyle name="Vírgula 3 6 2 2 3 3 2 4" xfId="8446" xr:uid="{00000000-0005-0000-0000-0000ED2D0000}"/>
    <cellStyle name="Vírgula 3 6 2 2 3 3 3" xfId="2958" xr:uid="{00000000-0005-0000-0000-0000EE2D0000}"/>
    <cellStyle name="Vírgula 3 6 2 2 3 3 3 2" xfId="9474" xr:uid="{00000000-0005-0000-0000-0000EF2D0000}"/>
    <cellStyle name="Vírgula 3 6 2 2 3 3 4" xfId="5188" xr:uid="{00000000-0005-0000-0000-0000F02D0000}"/>
    <cellStyle name="Vírgula 3 6 2 2 3 3 4 2" xfId="11702" xr:uid="{00000000-0005-0000-0000-0000F12D0000}"/>
    <cellStyle name="Vírgula 3 6 2 2 3 3 5" xfId="7418" xr:uid="{00000000-0005-0000-0000-0000F22D0000}"/>
    <cellStyle name="Vírgula 3 6 2 2 3 4" xfId="1414" xr:uid="{00000000-0005-0000-0000-0000F32D0000}"/>
    <cellStyle name="Vírgula 3 6 2 2 3 4 2" xfId="3472" xr:uid="{00000000-0005-0000-0000-0000F42D0000}"/>
    <cellStyle name="Vírgula 3 6 2 2 3 4 2 2" xfId="9988" xr:uid="{00000000-0005-0000-0000-0000F52D0000}"/>
    <cellStyle name="Vírgula 3 6 2 2 3 4 3" xfId="5702" xr:uid="{00000000-0005-0000-0000-0000F62D0000}"/>
    <cellStyle name="Vírgula 3 6 2 2 3 4 3 2" xfId="12216" xr:uid="{00000000-0005-0000-0000-0000F72D0000}"/>
    <cellStyle name="Vírgula 3 6 2 2 3 4 4" xfId="7932" xr:uid="{00000000-0005-0000-0000-0000F82D0000}"/>
    <cellStyle name="Vírgula 3 6 2 2 3 5" xfId="2444" xr:uid="{00000000-0005-0000-0000-0000F92D0000}"/>
    <cellStyle name="Vírgula 3 6 2 2 3 5 2" xfId="8960" xr:uid="{00000000-0005-0000-0000-0000FA2D0000}"/>
    <cellStyle name="Vírgula 3 6 2 2 3 6" xfId="4586" xr:uid="{00000000-0005-0000-0000-0000FB2D0000}"/>
    <cellStyle name="Vírgula 3 6 2 2 3 6 2" xfId="11100" xr:uid="{00000000-0005-0000-0000-0000FC2D0000}"/>
    <cellStyle name="Vírgula 3 6 2 2 3 7" xfId="6816" xr:uid="{00000000-0005-0000-0000-0000FD2D0000}"/>
    <cellStyle name="Vírgula 3 6 2 2 4" xfId="504" xr:uid="{00000000-0005-0000-0000-0000FE2D0000}"/>
    <cellStyle name="Vírgula 3 6 2 2 4 2" xfId="1028" xr:uid="{00000000-0005-0000-0000-0000FF2D0000}"/>
    <cellStyle name="Vírgula 3 6 2 2 4 2 2" xfId="2056" xr:uid="{00000000-0005-0000-0000-0000002E0000}"/>
    <cellStyle name="Vírgula 3 6 2 2 4 2 2 2" xfId="4114" xr:uid="{00000000-0005-0000-0000-0000012E0000}"/>
    <cellStyle name="Vírgula 3 6 2 2 4 2 2 2 2" xfId="10630" xr:uid="{00000000-0005-0000-0000-0000022E0000}"/>
    <cellStyle name="Vírgula 3 6 2 2 4 2 2 3" xfId="6344" xr:uid="{00000000-0005-0000-0000-0000032E0000}"/>
    <cellStyle name="Vírgula 3 6 2 2 4 2 2 3 2" xfId="12858" xr:uid="{00000000-0005-0000-0000-0000042E0000}"/>
    <cellStyle name="Vírgula 3 6 2 2 4 2 2 4" xfId="8574" xr:uid="{00000000-0005-0000-0000-0000052E0000}"/>
    <cellStyle name="Vírgula 3 6 2 2 4 2 3" xfId="3086" xr:uid="{00000000-0005-0000-0000-0000062E0000}"/>
    <cellStyle name="Vírgula 3 6 2 2 4 2 3 2" xfId="9602" xr:uid="{00000000-0005-0000-0000-0000072E0000}"/>
    <cellStyle name="Vírgula 3 6 2 2 4 2 4" xfId="5316" xr:uid="{00000000-0005-0000-0000-0000082E0000}"/>
    <cellStyle name="Vírgula 3 6 2 2 4 2 4 2" xfId="11830" xr:uid="{00000000-0005-0000-0000-0000092E0000}"/>
    <cellStyle name="Vírgula 3 6 2 2 4 2 5" xfId="7546" xr:uid="{00000000-0005-0000-0000-00000A2E0000}"/>
    <cellStyle name="Vírgula 3 6 2 2 4 3" xfId="1542" xr:uid="{00000000-0005-0000-0000-00000B2E0000}"/>
    <cellStyle name="Vírgula 3 6 2 2 4 3 2" xfId="3600" xr:uid="{00000000-0005-0000-0000-00000C2E0000}"/>
    <cellStyle name="Vírgula 3 6 2 2 4 3 2 2" xfId="10116" xr:uid="{00000000-0005-0000-0000-00000D2E0000}"/>
    <cellStyle name="Vírgula 3 6 2 2 4 3 3" xfId="5830" xr:uid="{00000000-0005-0000-0000-00000E2E0000}"/>
    <cellStyle name="Vírgula 3 6 2 2 4 3 3 2" xfId="12344" xr:uid="{00000000-0005-0000-0000-00000F2E0000}"/>
    <cellStyle name="Vírgula 3 6 2 2 4 3 4" xfId="8060" xr:uid="{00000000-0005-0000-0000-0000102E0000}"/>
    <cellStyle name="Vírgula 3 6 2 2 4 4" xfId="2572" xr:uid="{00000000-0005-0000-0000-0000112E0000}"/>
    <cellStyle name="Vírgula 3 6 2 2 4 4 2" xfId="9088" xr:uid="{00000000-0005-0000-0000-0000122E0000}"/>
    <cellStyle name="Vírgula 3 6 2 2 4 5" xfId="4800" xr:uid="{00000000-0005-0000-0000-0000132E0000}"/>
    <cellStyle name="Vírgula 3 6 2 2 4 5 2" xfId="11314" xr:uid="{00000000-0005-0000-0000-0000142E0000}"/>
    <cellStyle name="Vírgula 3 6 2 2 4 6" xfId="7030" xr:uid="{00000000-0005-0000-0000-0000152E0000}"/>
    <cellStyle name="Vírgula 3 6 2 2 5" xfId="772" xr:uid="{00000000-0005-0000-0000-0000162E0000}"/>
    <cellStyle name="Vírgula 3 6 2 2 5 2" xfId="1800" xr:uid="{00000000-0005-0000-0000-0000172E0000}"/>
    <cellStyle name="Vírgula 3 6 2 2 5 2 2" xfId="3858" xr:uid="{00000000-0005-0000-0000-0000182E0000}"/>
    <cellStyle name="Vírgula 3 6 2 2 5 2 2 2" xfId="10374" xr:uid="{00000000-0005-0000-0000-0000192E0000}"/>
    <cellStyle name="Vírgula 3 6 2 2 5 2 3" xfId="6088" xr:uid="{00000000-0005-0000-0000-00001A2E0000}"/>
    <cellStyle name="Vírgula 3 6 2 2 5 2 3 2" xfId="12602" xr:uid="{00000000-0005-0000-0000-00001B2E0000}"/>
    <cellStyle name="Vírgula 3 6 2 2 5 2 4" xfId="8318" xr:uid="{00000000-0005-0000-0000-00001C2E0000}"/>
    <cellStyle name="Vírgula 3 6 2 2 5 3" xfId="2830" xr:uid="{00000000-0005-0000-0000-00001D2E0000}"/>
    <cellStyle name="Vírgula 3 6 2 2 5 3 2" xfId="9346" xr:uid="{00000000-0005-0000-0000-00001E2E0000}"/>
    <cellStyle name="Vírgula 3 6 2 2 5 4" xfId="5060" xr:uid="{00000000-0005-0000-0000-00001F2E0000}"/>
    <cellStyle name="Vírgula 3 6 2 2 5 4 2" xfId="11574" xr:uid="{00000000-0005-0000-0000-0000202E0000}"/>
    <cellStyle name="Vírgula 3 6 2 2 5 5" xfId="7290" xr:uid="{00000000-0005-0000-0000-0000212E0000}"/>
    <cellStyle name="Vírgula 3 6 2 2 6" xfId="1286" xr:uid="{00000000-0005-0000-0000-0000222E0000}"/>
    <cellStyle name="Vírgula 3 6 2 2 6 2" xfId="3344" xr:uid="{00000000-0005-0000-0000-0000232E0000}"/>
    <cellStyle name="Vírgula 3 6 2 2 6 2 2" xfId="9860" xr:uid="{00000000-0005-0000-0000-0000242E0000}"/>
    <cellStyle name="Vírgula 3 6 2 2 6 3" xfId="5574" xr:uid="{00000000-0005-0000-0000-0000252E0000}"/>
    <cellStyle name="Vírgula 3 6 2 2 6 3 2" xfId="12088" xr:uid="{00000000-0005-0000-0000-0000262E0000}"/>
    <cellStyle name="Vírgula 3 6 2 2 6 4" xfId="7804" xr:uid="{00000000-0005-0000-0000-0000272E0000}"/>
    <cellStyle name="Vírgula 3 6 2 2 7" xfId="2316" xr:uid="{00000000-0005-0000-0000-0000282E0000}"/>
    <cellStyle name="Vírgula 3 6 2 2 7 2" xfId="8832" xr:uid="{00000000-0005-0000-0000-0000292E0000}"/>
    <cellStyle name="Vírgula 3 6 2 2 8" xfId="4458" xr:uid="{00000000-0005-0000-0000-00002A2E0000}"/>
    <cellStyle name="Vírgula 3 6 2 2 8 2" xfId="10972" xr:uid="{00000000-0005-0000-0000-00002B2E0000}"/>
    <cellStyle name="Vírgula 3 6 2 2 9" xfId="6688" xr:uid="{00000000-0005-0000-0000-00002C2E0000}"/>
    <cellStyle name="Vírgula 3 6 2 3" xfId="193" xr:uid="{00000000-0005-0000-0000-00002D2E0000}"/>
    <cellStyle name="Vírgula 3 6 2 3 2" xfId="321" xr:uid="{00000000-0005-0000-0000-00002E2E0000}"/>
    <cellStyle name="Vírgula 3 6 2 3 2 2" xfId="664" xr:uid="{00000000-0005-0000-0000-00002F2E0000}"/>
    <cellStyle name="Vírgula 3 6 2 3 2 2 2" xfId="1188" xr:uid="{00000000-0005-0000-0000-0000302E0000}"/>
    <cellStyle name="Vírgula 3 6 2 3 2 2 2 2" xfId="2216" xr:uid="{00000000-0005-0000-0000-0000312E0000}"/>
    <cellStyle name="Vírgula 3 6 2 3 2 2 2 2 2" xfId="4274" xr:uid="{00000000-0005-0000-0000-0000322E0000}"/>
    <cellStyle name="Vírgula 3 6 2 3 2 2 2 2 2 2" xfId="10790" xr:uid="{00000000-0005-0000-0000-0000332E0000}"/>
    <cellStyle name="Vírgula 3 6 2 3 2 2 2 2 3" xfId="6504" xr:uid="{00000000-0005-0000-0000-0000342E0000}"/>
    <cellStyle name="Vírgula 3 6 2 3 2 2 2 2 3 2" xfId="13018" xr:uid="{00000000-0005-0000-0000-0000352E0000}"/>
    <cellStyle name="Vírgula 3 6 2 3 2 2 2 2 4" xfId="8734" xr:uid="{00000000-0005-0000-0000-0000362E0000}"/>
    <cellStyle name="Vírgula 3 6 2 3 2 2 2 3" xfId="3246" xr:uid="{00000000-0005-0000-0000-0000372E0000}"/>
    <cellStyle name="Vírgula 3 6 2 3 2 2 2 3 2" xfId="9762" xr:uid="{00000000-0005-0000-0000-0000382E0000}"/>
    <cellStyle name="Vírgula 3 6 2 3 2 2 2 4" xfId="5476" xr:uid="{00000000-0005-0000-0000-0000392E0000}"/>
    <cellStyle name="Vírgula 3 6 2 3 2 2 2 4 2" xfId="11990" xr:uid="{00000000-0005-0000-0000-00003A2E0000}"/>
    <cellStyle name="Vírgula 3 6 2 3 2 2 2 5" xfId="7706" xr:uid="{00000000-0005-0000-0000-00003B2E0000}"/>
    <cellStyle name="Vírgula 3 6 2 3 2 2 3" xfId="1702" xr:uid="{00000000-0005-0000-0000-00003C2E0000}"/>
    <cellStyle name="Vírgula 3 6 2 3 2 2 3 2" xfId="3760" xr:uid="{00000000-0005-0000-0000-00003D2E0000}"/>
    <cellStyle name="Vírgula 3 6 2 3 2 2 3 2 2" xfId="10276" xr:uid="{00000000-0005-0000-0000-00003E2E0000}"/>
    <cellStyle name="Vírgula 3 6 2 3 2 2 3 3" xfId="5990" xr:uid="{00000000-0005-0000-0000-00003F2E0000}"/>
    <cellStyle name="Vírgula 3 6 2 3 2 2 3 3 2" xfId="12504" xr:uid="{00000000-0005-0000-0000-0000402E0000}"/>
    <cellStyle name="Vírgula 3 6 2 3 2 2 3 4" xfId="8220" xr:uid="{00000000-0005-0000-0000-0000412E0000}"/>
    <cellStyle name="Vírgula 3 6 2 3 2 2 4" xfId="2732" xr:uid="{00000000-0005-0000-0000-0000422E0000}"/>
    <cellStyle name="Vírgula 3 6 2 3 2 2 4 2" xfId="9248" xr:uid="{00000000-0005-0000-0000-0000432E0000}"/>
    <cellStyle name="Vírgula 3 6 2 3 2 2 5" xfId="4960" xr:uid="{00000000-0005-0000-0000-0000442E0000}"/>
    <cellStyle name="Vírgula 3 6 2 3 2 2 5 2" xfId="11474" xr:uid="{00000000-0005-0000-0000-0000452E0000}"/>
    <cellStyle name="Vírgula 3 6 2 3 2 2 6" xfId="7190" xr:uid="{00000000-0005-0000-0000-0000462E0000}"/>
    <cellStyle name="Vírgula 3 6 2 3 2 3" xfId="932" xr:uid="{00000000-0005-0000-0000-0000472E0000}"/>
    <cellStyle name="Vírgula 3 6 2 3 2 3 2" xfId="1960" xr:uid="{00000000-0005-0000-0000-0000482E0000}"/>
    <cellStyle name="Vírgula 3 6 2 3 2 3 2 2" xfId="4018" xr:uid="{00000000-0005-0000-0000-0000492E0000}"/>
    <cellStyle name="Vírgula 3 6 2 3 2 3 2 2 2" xfId="10534" xr:uid="{00000000-0005-0000-0000-00004A2E0000}"/>
    <cellStyle name="Vírgula 3 6 2 3 2 3 2 3" xfId="6248" xr:uid="{00000000-0005-0000-0000-00004B2E0000}"/>
    <cellStyle name="Vírgula 3 6 2 3 2 3 2 3 2" xfId="12762" xr:uid="{00000000-0005-0000-0000-00004C2E0000}"/>
    <cellStyle name="Vírgula 3 6 2 3 2 3 2 4" xfId="8478" xr:uid="{00000000-0005-0000-0000-00004D2E0000}"/>
    <cellStyle name="Vírgula 3 6 2 3 2 3 3" xfId="2990" xr:uid="{00000000-0005-0000-0000-00004E2E0000}"/>
    <cellStyle name="Vírgula 3 6 2 3 2 3 3 2" xfId="9506" xr:uid="{00000000-0005-0000-0000-00004F2E0000}"/>
    <cellStyle name="Vírgula 3 6 2 3 2 3 4" xfId="5220" xr:uid="{00000000-0005-0000-0000-0000502E0000}"/>
    <cellStyle name="Vírgula 3 6 2 3 2 3 4 2" xfId="11734" xr:uid="{00000000-0005-0000-0000-0000512E0000}"/>
    <cellStyle name="Vírgula 3 6 2 3 2 3 5" xfId="7450" xr:uid="{00000000-0005-0000-0000-0000522E0000}"/>
    <cellStyle name="Vírgula 3 6 2 3 2 4" xfId="1446" xr:uid="{00000000-0005-0000-0000-0000532E0000}"/>
    <cellStyle name="Vírgula 3 6 2 3 2 4 2" xfId="3504" xr:uid="{00000000-0005-0000-0000-0000542E0000}"/>
    <cellStyle name="Vírgula 3 6 2 3 2 4 2 2" xfId="10020" xr:uid="{00000000-0005-0000-0000-0000552E0000}"/>
    <cellStyle name="Vírgula 3 6 2 3 2 4 3" xfId="5734" xr:uid="{00000000-0005-0000-0000-0000562E0000}"/>
    <cellStyle name="Vírgula 3 6 2 3 2 4 3 2" xfId="12248" xr:uid="{00000000-0005-0000-0000-0000572E0000}"/>
    <cellStyle name="Vírgula 3 6 2 3 2 4 4" xfId="7964" xr:uid="{00000000-0005-0000-0000-0000582E0000}"/>
    <cellStyle name="Vírgula 3 6 2 3 2 5" xfId="2476" xr:uid="{00000000-0005-0000-0000-0000592E0000}"/>
    <cellStyle name="Vírgula 3 6 2 3 2 5 2" xfId="8992" xr:uid="{00000000-0005-0000-0000-00005A2E0000}"/>
    <cellStyle name="Vírgula 3 6 2 3 2 6" xfId="4618" xr:uid="{00000000-0005-0000-0000-00005B2E0000}"/>
    <cellStyle name="Vírgula 3 6 2 3 2 6 2" xfId="11132" xr:uid="{00000000-0005-0000-0000-00005C2E0000}"/>
    <cellStyle name="Vírgula 3 6 2 3 2 7" xfId="6848" xr:uid="{00000000-0005-0000-0000-00005D2E0000}"/>
    <cellStyle name="Vírgula 3 6 2 3 3" xfId="536" xr:uid="{00000000-0005-0000-0000-00005E2E0000}"/>
    <cellStyle name="Vírgula 3 6 2 3 3 2" xfId="1060" xr:uid="{00000000-0005-0000-0000-00005F2E0000}"/>
    <cellStyle name="Vírgula 3 6 2 3 3 2 2" xfId="2088" xr:uid="{00000000-0005-0000-0000-0000602E0000}"/>
    <cellStyle name="Vírgula 3 6 2 3 3 2 2 2" xfId="4146" xr:uid="{00000000-0005-0000-0000-0000612E0000}"/>
    <cellStyle name="Vírgula 3 6 2 3 3 2 2 2 2" xfId="10662" xr:uid="{00000000-0005-0000-0000-0000622E0000}"/>
    <cellStyle name="Vírgula 3 6 2 3 3 2 2 3" xfId="6376" xr:uid="{00000000-0005-0000-0000-0000632E0000}"/>
    <cellStyle name="Vírgula 3 6 2 3 3 2 2 3 2" xfId="12890" xr:uid="{00000000-0005-0000-0000-0000642E0000}"/>
    <cellStyle name="Vírgula 3 6 2 3 3 2 2 4" xfId="8606" xr:uid="{00000000-0005-0000-0000-0000652E0000}"/>
    <cellStyle name="Vírgula 3 6 2 3 3 2 3" xfId="3118" xr:uid="{00000000-0005-0000-0000-0000662E0000}"/>
    <cellStyle name="Vírgula 3 6 2 3 3 2 3 2" xfId="9634" xr:uid="{00000000-0005-0000-0000-0000672E0000}"/>
    <cellStyle name="Vírgula 3 6 2 3 3 2 4" xfId="5348" xr:uid="{00000000-0005-0000-0000-0000682E0000}"/>
    <cellStyle name="Vírgula 3 6 2 3 3 2 4 2" xfId="11862" xr:uid="{00000000-0005-0000-0000-0000692E0000}"/>
    <cellStyle name="Vírgula 3 6 2 3 3 2 5" xfId="7578" xr:uid="{00000000-0005-0000-0000-00006A2E0000}"/>
    <cellStyle name="Vírgula 3 6 2 3 3 3" xfId="1574" xr:uid="{00000000-0005-0000-0000-00006B2E0000}"/>
    <cellStyle name="Vírgula 3 6 2 3 3 3 2" xfId="3632" xr:uid="{00000000-0005-0000-0000-00006C2E0000}"/>
    <cellStyle name="Vírgula 3 6 2 3 3 3 2 2" xfId="10148" xr:uid="{00000000-0005-0000-0000-00006D2E0000}"/>
    <cellStyle name="Vírgula 3 6 2 3 3 3 3" xfId="5862" xr:uid="{00000000-0005-0000-0000-00006E2E0000}"/>
    <cellStyle name="Vírgula 3 6 2 3 3 3 3 2" xfId="12376" xr:uid="{00000000-0005-0000-0000-00006F2E0000}"/>
    <cellStyle name="Vírgula 3 6 2 3 3 3 4" xfId="8092" xr:uid="{00000000-0005-0000-0000-0000702E0000}"/>
    <cellStyle name="Vírgula 3 6 2 3 3 4" xfId="2604" xr:uid="{00000000-0005-0000-0000-0000712E0000}"/>
    <cellStyle name="Vírgula 3 6 2 3 3 4 2" xfId="9120" xr:uid="{00000000-0005-0000-0000-0000722E0000}"/>
    <cellStyle name="Vírgula 3 6 2 3 3 5" xfId="4832" xr:uid="{00000000-0005-0000-0000-0000732E0000}"/>
    <cellStyle name="Vírgula 3 6 2 3 3 5 2" xfId="11346" xr:uid="{00000000-0005-0000-0000-0000742E0000}"/>
    <cellStyle name="Vírgula 3 6 2 3 3 6" xfId="7062" xr:uid="{00000000-0005-0000-0000-0000752E0000}"/>
    <cellStyle name="Vírgula 3 6 2 3 4" xfId="804" xr:uid="{00000000-0005-0000-0000-0000762E0000}"/>
    <cellStyle name="Vírgula 3 6 2 3 4 2" xfId="1832" xr:uid="{00000000-0005-0000-0000-0000772E0000}"/>
    <cellStyle name="Vírgula 3 6 2 3 4 2 2" xfId="3890" xr:uid="{00000000-0005-0000-0000-0000782E0000}"/>
    <cellStyle name="Vírgula 3 6 2 3 4 2 2 2" xfId="10406" xr:uid="{00000000-0005-0000-0000-0000792E0000}"/>
    <cellStyle name="Vírgula 3 6 2 3 4 2 3" xfId="6120" xr:uid="{00000000-0005-0000-0000-00007A2E0000}"/>
    <cellStyle name="Vírgula 3 6 2 3 4 2 3 2" xfId="12634" xr:uid="{00000000-0005-0000-0000-00007B2E0000}"/>
    <cellStyle name="Vírgula 3 6 2 3 4 2 4" xfId="8350" xr:uid="{00000000-0005-0000-0000-00007C2E0000}"/>
    <cellStyle name="Vírgula 3 6 2 3 4 3" xfId="2862" xr:uid="{00000000-0005-0000-0000-00007D2E0000}"/>
    <cellStyle name="Vírgula 3 6 2 3 4 3 2" xfId="9378" xr:uid="{00000000-0005-0000-0000-00007E2E0000}"/>
    <cellStyle name="Vírgula 3 6 2 3 4 4" xfId="5092" xr:uid="{00000000-0005-0000-0000-00007F2E0000}"/>
    <cellStyle name="Vírgula 3 6 2 3 4 4 2" xfId="11606" xr:uid="{00000000-0005-0000-0000-0000802E0000}"/>
    <cellStyle name="Vírgula 3 6 2 3 4 5" xfId="7322" xr:uid="{00000000-0005-0000-0000-0000812E0000}"/>
    <cellStyle name="Vírgula 3 6 2 3 5" xfId="1318" xr:uid="{00000000-0005-0000-0000-0000822E0000}"/>
    <cellStyle name="Vírgula 3 6 2 3 5 2" xfId="3376" xr:uid="{00000000-0005-0000-0000-0000832E0000}"/>
    <cellStyle name="Vírgula 3 6 2 3 5 2 2" xfId="9892" xr:uid="{00000000-0005-0000-0000-0000842E0000}"/>
    <cellStyle name="Vírgula 3 6 2 3 5 3" xfId="5606" xr:uid="{00000000-0005-0000-0000-0000852E0000}"/>
    <cellStyle name="Vírgula 3 6 2 3 5 3 2" xfId="12120" xr:uid="{00000000-0005-0000-0000-0000862E0000}"/>
    <cellStyle name="Vírgula 3 6 2 3 5 4" xfId="7836" xr:uid="{00000000-0005-0000-0000-0000872E0000}"/>
    <cellStyle name="Vírgula 3 6 2 3 6" xfId="2348" xr:uid="{00000000-0005-0000-0000-0000882E0000}"/>
    <cellStyle name="Vírgula 3 6 2 3 6 2" xfId="8864" xr:uid="{00000000-0005-0000-0000-0000892E0000}"/>
    <cellStyle name="Vírgula 3 6 2 3 7" xfId="4490" xr:uid="{00000000-0005-0000-0000-00008A2E0000}"/>
    <cellStyle name="Vírgula 3 6 2 3 7 2" xfId="11004" xr:uid="{00000000-0005-0000-0000-00008B2E0000}"/>
    <cellStyle name="Vírgula 3 6 2 3 8" xfId="6720" xr:uid="{00000000-0005-0000-0000-00008C2E0000}"/>
    <cellStyle name="Vírgula 3 6 2 4" xfId="257" xr:uid="{00000000-0005-0000-0000-00008D2E0000}"/>
    <cellStyle name="Vírgula 3 6 2 4 2" xfId="600" xr:uid="{00000000-0005-0000-0000-00008E2E0000}"/>
    <cellStyle name="Vírgula 3 6 2 4 2 2" xfId="1124" xr:uid="{00000000-0005-0000-0000-00008F2E0000}"/>
    <cellStyle name="Vírgula 3 6 2 4 2 2 2" xfId="2152" xr:uid="{00000000-0005-0000-0000-0000902E0000}"/>
    <cellStyle name="Vírgula 3 6 2 4 2 2 2 2" xfId="4210" xr:uid="{00000000-0005-0000-0000-0000912E0000}"/>
    <cellStyle name="Vírgula 3 6 2 4 2 2 2 2 2" xfId="10726" xr:uid="{00000000-0005-0000-0000-0000922E0000}"/>
    <cellStyle name="Vírgula 3 6 2 4 2 2 2 3" xfId="6440" xr:uid="{00000000-0005-0000-0000-0000932E0000}"/>
    <cellStyle name="Vírgula 3 6 2 4 2 2 2 3 2" xfId="12954" xr:uid="{00000000-0005-0000-0000-0000942E0000}"/>
    <cellStyle name="Vírgula 3 6 2 4 2 2 2 4" xfId="8670" xr:uid="{00000000-0005-0000-0000-0000952E0000}"/>
    <cellStyle name="Vírgula 3 6 2 4 2 2 3" xfId="3182" xr:uid="{00000000-0005-0000-0000-0000962E0000}"/>
    <cellStyle name="Vírgula 3 6 2 4 2 2 3 2" xfId="9698" xr:uid="{00000000-0005-0000-0000-0000972E0000}"/>
    <cellStyle name="Vírgula 3 6 2 4 2 2 4" xfId="5412" xr:uid="{00000000-0005-0000-0000-0000982E0000}"/>
    <cellStyle name="Vírgula 3 6 2 4 2 2 4 2" xfId="11926" xr:uid="{00000000-0005-0000-0000-0000992E0000}"/>
    <cellStyle name="Vírgula 3 6 2 4 2 2 5" xfId="7642" xr:uid="{00000000-0005-0000-0000-00009A2E0000}"/>
    <cellStyle name="Vírgula 3 6 2 4 2 3" xfId="1638" xr:uid="{00000000-0005-0000-0000-00009B2E0000}"/>
    <cellStyle name="Vírgula 3 6 2 4 2 3 2" xfId="3696" xr:uid="{00000000-0005-0000-0000-00009C2E0000}"/>
    <cellStyle name="Vírgula 3 6 2 4 2 3 2 2" xfId="10212" xr:uid="{00000000-0005-0000-0000-00009D2E0000}"/>
    <cellStyle name="Vírgula 3 6 2 4 2 3 3" xfId="5926" xr:uid="{00000000-0005-0000-0000-00009E2E0000}"/>
    <cellStyle name="Vírgula 3 6 2 4 2 3 3 2" xfId="12440" xr:uid="{00000000-0005-0000-0000-00009F2E0000}"/>
    <cellStyle name="Vírgula 3 6 2 4 2 3 4" xfId="8156" xr:uid="{00000000-0005-0000-0000-0000A02E0000}"/>
    <cellStyle name="Vírgula 3 6 2 4 2 4" xfId="2668" xr:uid="{00000000-0005-0000-0000-0000A12E0000}"/>
    <cellStyle name="Vírgula 3 6 2 4 2 4 2" xfId="9184" xr:uid="{00000000-0005-0000-0000-0000A22E0000}"/>
    <cellStyle name="Vírgula 3 6 2 4 2 5" xfId="4896" xr:uid="{00000000-0005-0000-0000-0000A32E0000}"/>
    <cellStyle name="Vírgula 3 6 2 4 2 5 2" xfId="11410" xr:uid="{00000000-0005-0000-0000-0000A42E0000}"/>
    <cellStyle name="Vírgula 3 6 2 4 2 6" xfId="7126" xr:uid="{00000000-0005-0000-0000-0000A52E0000}"/>
    <cellStyle name="Vírgula 3 6 2 4 3" xfId="868" xr:uid="{00000000-0005-0000-0000-0000A62E0000}"/>
    <cellStyle name="Vírgula 3 6 2 4 3 2" xfId="1896" xr:uid="{00000000-0005-0000-0000-0000A72E0000}"/>
    <cellStyle name="Vírgula 3 6 2 4 3 2 2" xfId="3954" xr:uid="{00000000-0005-0000-0000-0000A82E0000}"/>
    <cellStyle name="Vírgula 3 6 2 4 3 2 2 2" xfId="10470" xr:uid="{00000000-0005-0000-0000-0000A92E0000}"/>
    <cellStyle name="Vírgula 3 6 2 4 3 2 3" xfId="6184" xr:uid="{00000000-0005-0000-0000-0000AA2E0000}"/>
    <cellStyle name="Vírgula 3 6 2 4 3 2 3 2" xfId="12698" xr:uid="{00000000-0005-0000-0000-0000AB2E0000}"/>
    <cellStyle name="Vírgula 3 6 2 4 3 2 4" xfId="8414" xr:uid="{00000000-0005-0000-0000-0000AC2E0000}"/>
    <cellStyle name="Vírgula 3 6 2 4 3 3" xfId="2926" xr:uid="{00000000-0005-0000-0000-0000AD2E0000}"/>
    <cellStyle name="Vírgula 3 6 2 4 3 3 2" xfId="9442" xr:uid="{00000000-0005-0000-0000-0000AE2E0000}"/>
    <cellStyle name="Vírgula 3 6 2 4 3 4" xfId="5156" xr:uid="{00000000-0005-0000-0000-0000AF2E0000}"/>
    <cellStyle name="Vírgula 3 6 2 4 3 4 2" xfId="11670" xr:uid="{00000000-0005-0000-0000-0000B02E0000}"/>
    <cellStyle name="Vírgula 3 6 2 4 3 5" xfId="7386" xr:uid="{00000000-0005-0000-0000-0000B12E0000}"/>
    <cellStyle name="Vírgula 3 6 2 4 4" xfId="1382" xr:uid="{00000000-0005-0000-0000-0000B22E0000}"/>
    <cellStyle name="Vírgula 3 6 2 4 4 2" xfId="3440" xr:uid="{00000000-0005-0000-0000-0000B32E0000}"/>
    <cellStyle name="Vírgula 3 6 2 4 4 2 2" xfId="9956" xr:uid="{00000000-0005-0000-0000-0000B42E0000}"/>
    <cellStyle name="Vírgula 3 6 2 4 4 3" xfId="5670" xr:uid="{00000000-0005-0000-0000-0000B52E0000}"/>
    <cellStyle name="Vírgula 3 6 2 4 4 3 2" xfId="12184" xr:uid="{00000000-0005-0000-0000-0000B62E0000}"/>
    <cellStyle name="Vírgula 3 6 2 4 4 4" xfId="7900" xr:uid="{00000000-0005-0000-0000-0000B72E0000}"/>
    <cellStyle name="Vírgula 3 6 2 4 5" xfId="2412" xr:uid="{00000000-0005-0000-0000-0000B82E0000}"/>
    <cellStyle name="Vírgula 3 6 2 4 5 2" xfId="8928" xr:uid="{00000000-0005-0000-0000-0000B92E0000}"/>
    <cellStyle name="Vírgula 3 6 2 4 6" xfId="4554" xr:uid="{00000000-0005-0000-0000-0000BA2E0000}"/>
    <cellStyle name="Vírgula 3 6 2 4 6 2" xfId="11068" xr:uid="{00000000-0005-0000-0000-0000BB2E0000}"/>
    <cellStyle name="Vírgula 3 6 2 4 7" xfId="6784" xr:uid="{00000000-0005-0000-0000-0000BC2E0000}"/>
    <cellStyle name="Vírgula 3 6 2 5" xfId="430" xr:uid="{00000000-0005-0000-0000-0000BD2E0000}"/>
    <cellStyle name="Vírgula 3 6 2 5 2" xfId="996" xr:uid="{00000000-0005-0000-0000-0000BE2E0000}"/>
    <cellStyle name="Vírgula 3 6 2 5 2 2" xfId="2024" xr:uid="{00000000-0005-0000-0000-0000BF2E0000}"/>
    <cellStyle name="Vírgula 3 6 2 5 2 2 2" xfId="4082" xr:uid="{00000000-0005-0000-0000-0000C02E0000}"/>
    <cellStyle name="Vírgula 3 6 2 5 2 2 2 2" xfId="10598" xr:uid="{00000000-0005-0000-0000-0000C12E0000}"/>
    <cellStyle name="Vírgula 3 6 2 5 2 2 3" xfId="6312" xr:uid="{00000000-0005-0000-0000-0000C22E0000}"/>
    <cellStyle name="Vírgula 3 6 2 5 2 2 3 2" xfId="12826" xr:uid="{00000000-0005-0000-0000-0000C32E0000}"/>
    <cellStyle name="Vírgula 3 6 2 5 2 2 4" xfId="8542" xr:uid="{00000000-0005-0000-0000-0000C42E0000}"/>
    <cellStyle name="Vírgula 3 6 2 5 2 3" xfId="3054" xr:uid="{00000000-0005-0000-0000-0000C52E0000}"/>
    <cellStyle name="Vírgula 3 6 2 5 2 3 2" xfId="9570" xr:uid="{00000000-0005-0000-0000-0000C62E0000}"/>
    <cellStyle name="Vírgula 3 6 2 5 2 4" xfId="5284" xr:uid="{00000000-0005-0000-0000-0000C72E0000}"/>
    <cellStyle name="Vírgula 3 6 2 5 2 4 2" xfId="11798" xr:uid="{00000000-0005-0000-0000-0000C82E0000}"/>
    <cellStyle name="Vírgula 3 6 2 5 2 5" xfId="7514" xr:uid="{00000000-0005-0000-0000-0000C92E0000}"/>
    <cellStyle name="Vírgula 3 6 2 5 3" xfId="1510" xr:uid="{00000000-0005-0000-0000-0000CA2E0000}"/>
    <cellStyle name="Vírgula 3 6 2 5 3 2" xfId="3568" xr:uid="{00000000-0005-0000-0000-0000CB2E0000}"/>
    <cellStyle name="Vírgula 3 6 2 5 3 2 2" xfId="10084" xr:uid="{00000000-0005-0000-0000-0000CC2E0000}"/>
    <cellStyle name="Vírgula 3 6 2 5 3 3" xfId="5798" xr:uid="{00000000-0005-0000-0000-0000CD2E0000}"/>
    <cellStyle name="Vírgula 3 6 2 5 3 3 2" xfId="12312" xr:uid="{00000000-0005-0000-0000-0000CE2E0000}"/>
    <cellStyle name="Vírgula 3 6 2 5 3 4" xfId="8028" xr:uid="{00000000-0005-0000-0000-0000CF2E0000}"/>
    <cellStyle name="Vírgula 3 6 2 5 4" xfId="2540" xr:uid="{00000000-0005-0000-0000-0000D02E0000}"/>
    <cellStyle name="Vírgula 3 6 2 5 4 2" xfId="9056" xr:uid="{00000000-0005-0000-0000-0000D12E0000}"/>
    <cellStyle name="Vírgula 3 6 2 5 5" xfId="4726" xr:uid="{00000000-0005-0000-0000-0000D22E0000}"/>
    <cellStyle name="Vírgula 3 6 2 5 5 2" xfId="11240" xr:uid="{00000000-0005-0000-0000-0000D32E0000}"/>
    <cellStyle name="Vírgula 3 6 2 5 6" xfId="6956" xr:uid="{00000000-0005-0000-0000-0000D42E0000}"/>
    <cellStyle name="Vírgula 3 6 2 6" xfId="740" xr:uid="{00000000-0005-0000-0000-0000D52E0000}"/>
    <cellStyle name="Vírgula 3 6 2 6 2" xfId="1768" xr:uid="{00000000-0005-0000-0000-0000D62E0000}"/>
    <cellStyle name="Vírgula 3 6 2 6 2 2" xfId="3826" xr:uid="{00000000-0005-0000-0000-0000D72E0000}"/>
    <cellStyle name="Vírgula 3 6 2 6 2 2 2" xfId="10342" xr:uid="{00000000-0005-0000-0000-0000D82E0000}"/>
    <cellStyle name="Vírgula 3 6 2 6 2 3" xfId="6056" xr:uid="{00000000-0005-0000-0000-0000D92E0000}"/>
    <cellStyle name="Vírgula 3 6 2 6 2 3 2" xfId="12570" xr:uid="{00000000-0005-0000-0000-0000DA2E0000}"/>
    <cellStyle name="Vírgula 3 6 2 6 2 4" xfId="8286" xr:uid="{00000000-0005-0000-0000-0000DB2E0000}"/>
    <cellStyle name="Vírgula 3 6 2 6 3" xfId="2798" xr:uid="{00000000-0005-0000-0000-0000DC2E0000}"/>
    <cellStyle name="Vírgula 3 6 2 6 3 2" xfId="9314" xr:uid="{00000000-0005-0000-0000-0000DD2E0000}"/>
    <cellStyle name="Vírgula 3 6 2 6 4" xfId="5028" xr:uid="{00000000-0005-0000-0000-0000DE2E0000}"/>
    <cellStyle name="Vírgula 3 6 2 6 4 2" xfId="11542" xr:uid="{00000000-0005-0000-0000-0000DF2E0000}"/>
    <cellStyle name="Vírgula 3 6 2 6 5" xfId="7258" xr:uid="{00000000-0005-0000-0000-0000E02E0000}"/>
    <cellStyle name="Vírgula 3 6 2 7" xfId="1254" xr:uid="{00000000-0005-0000-0000-0000E12E0000}"/>
    <cellStyle name="Vírgula 3 6 2 7 2" xfId="3312" xr:uid="{00000000-0005-0000-0000-0000E22E0000}"/>
    <cellStyle name="Vírgula 3 6 2 7 2 2" xfId="9828" xr:uid="{00000000-0005-0000-0000-0000E32E0000}"/>
    <cellStyle name="Vírgula 3 6 2 7 3" xfId="5542" xr:uid="{00000000-0005-0000-0000-0000E42E0000}"/>
    <cellStyle name="Vírgula 3 6 2 7 3 2" xfId="12056" xr:uid="{00000000-0005-0000-0000-0000E52E0000}"/>
    <cellStyle name="Vírgula 3 6 2 7 4" xfId="7772" xr:uid="{00000000-0005-0000-0000-0000E62E0000}"/>
    <cellStyle name="Vírgula 3 6 2 8" xfId="2284" xr:uid="{00000000-0005-0000-0000-0000E72E0000}"/>
    <cellStyle name="Vírgula 3 6 2 8 2" xfId="8800" xr:uid="{00000000-0005-0000-0000-0000E82E0000}"/>
    <cellStyle name="Vírgula 3 6 2 9" xfId="4384" xr:uid="{00000000-0005-0000-0000-0000E92E0000}"/>
    <cellStyle name="Vírgula 3 6 2 9 2" xfId="10898" xr:uid="{00000000-0005-0000-0000-0000EA2E0000}"/>
    <cellStyle name="Vírgula 3 6 3" xfId="126" xr:uid="{00000000-0005-0000-0000-0000EB2E0000}"/>
    <cellStyle name="Vírgula 3 6 3 2" xfId="209" xr:uid="{00000000-0005-0000-0000-0000EC2E0000}"/>
    <cellStyle name="Vírgula 3 6 3 2 2" xfId="337" xr:uid="{00000000-0005-0000-0000-0000ED2E0000}"/>
    <cellStyle name="Vírgula 3 6 3 2 2 2" xfId="680" xr:uid="{00000000-0005-0000-0000-0000EE2E0000}"/>
    <cellStyle name="Vírgula 3 6 3 2 2 2 2" xfId="1204" xr:uid="{00000000-0005-0000-0000-0000EF2E0000}"/>
    <cellStyle name="Vírgula 3 6 3 2 2 2 2 2" xfId="2232" xr:uid="{00000000-0005-0000-0000-0000F02E0000}"/>
    <cellStyle name="Vírgula 3 6 3 2 2 2 2 2 2" xfId="4290" xr:uid="{00000000-0005-0000-0000-0000F12E0000}"/>
    <cellStyle name="Vírgula 3 6 3 2 2 2 2 2 2 2" xfId="10806" xr:uid="{00000000-0005-0000-0000-0000F22E0000}"/>
    <cellStyle name="Vírgula 3 6 3 2 2 2 2 2 3" xfId="6520" xr:uid="{00000000-0005-0000-0000-0000F32E0000}"/>
    <cellStyle name="Vírgula 3 6 3 2 2 2 2 2 3 2" xfId="13034" xr:uid="{00000000-0005-0000-0000-0000F42E0000}"/>
    <cellStyle name="Vírgula 3 6 3 2 2 2 2 2 4" xfId="8750" xr:uid="{00000000-0005-0000-0000-0000F52E0000}"/>
    <cellStyle name="Vírgula 3 6 3 2 2 2 2 3" xfId="3262" xr:uid="{00000000-0005-0000-0000-0000F62E0000}"/>
    <cellStyle name="Vírgula 3 6 3 2 2 2 2 3 2" xfId="9778" xr:uid="{00000000-0005-0000-0000-0000F72E0000}"/>
    <cellStyle name="Vírgula 3 6 3 2 2 2 2 4" xfId="5492" xr:uid="{00000000-0005-0000-0000-0000F82E0000}"/>
    <cellStyle name="Vírgula 3 6 3 2 2 2 2 4 2" xfId="12006" xr:uid="{00000000-0005-0000-0000-0000F92E0000}"/>
    <cellStyle name="Vírgula 3 6 3 2 2 2 2 5" xfId="7722" xr:uid="{00000000-0005-0000-0000-0000FA2E0000}"/>
    <cellStyle name="Vírgula 3 6 3 2 2 2 3" xfId="1718" xr:uid="{00000000-0005-0000-0000-0000FB2E0000}"/>
    <cellStyle name="Vírgula 3 6 3 2 2 2 3 2" xfId="3776" xr:uid="{00000000-0005-0000-0000-0000FC2E0000}"/>
    <cellStyle name="Vírgula 3 6 3 2 2 2 3 2 2" xfId="10292" xr:uid="{00000000-0005-0000-0000-0000FD2E0000}"/>
    <cellStyle name="Vírgula 3 6 3 2 2 2 3 3" xfId="6006" xr:uid="{00000000-0005-0000-0000-0000FE2E0000}"/>
    <cellStyle name="Vírgula 3 6 3 2 2 2 3 3 2" xfId="12520" xr:uid="{00000000-0005-0000-0000-0000FF2E0000}"/>
    <cellStyle name="Vírgula 3 6 3 2 2 2 3 4" xfId="8236" xr:uid="{00000000-0005-0000-0000-0000002F0000}"/>
    <cellStyle name="Vírgula 3 6 3 2 2 2 4" xfId="2748" xr:uid="{00000000-0005-0000-0000-0000012F0000}"/>
    <cellStyle name="Vírgula 3 6 3 2 2 2 4 2" xfId="9264" xr:uid="{00000000-0005-0000-0000-0000022F0000}"/>
    <cellStyle name="Vírgula 3 6 3 2 2 2 5" xfId="4976" xr:uid="{00000000-0005-0000-0000-0000032F0000}"/>
    <cellStyle name="Vírgula 3 6 3 2 2 2 5 2" xfId="11490" xr:uid="{00000000-0005-0000-0000-0000042F0000}"/>
    <cellStyle name="Vírgula 3 6 3 2 2 2 6" xfId="7206" xr:uid="{00000000-0005-0000-0000-0000052F0000}"/>
    <cellStyle name="Vírgula 3 6 3 2 2 3" xfId="948" xr:uid="{00000000-0005-0000-0000-0000062F0000}"/>
    <cellStyle name="Vírgula 3 6 3 2 2 3 2" xfId="1976" xr:uid="{00000000-0005-0000-0000-0000072F0000}"/>
    <cellStyle name="Vírgula 3 6 3 2 2 3 2 2" xfId="4034" xr:uid="{00000000-0005-0000-0000-0000082F0000}"/>
    <cellStyle name="Vírgula 3 6 3 2 2 3 2 2 2" xfId="10550" xr:uid="{00000000-0005-0000-0000-0000092F0000}"/>
    <cellStyle name="Vírgula 3 6 3 2 2 3 2 3" xfId="6264" xr:uid="{00000000-0005-0000-0000-00000A2F0000}"/>
    <cellStyle name="Vírgula 3 6 3 2 2 3 2 3 2" xfId="12778" xr:uid="{00000000-0005-0000-0000-00000B2F0000}"/>
    <cellStyle name="Vírgula 3 6 3 2 2 3 2 4" xfId="8494" xr:uid="{00000000-0005-0000-0000-00000C2F0000}"/>
    <cellStyle name="Vírgula 3 6 3 2 2 3 3" xfId="3006" xr:uid="{00000000-0005-0000-0000-00000D2F0000}"/>
    <cellStyle name="Vírgula 3 6 3 2 2 3 3 2" xfId="9522" xr:uid="{00000000-0005-0000-0000-00000E2F0000}"/>
    <cellStyle name="Vírgula 3 6 3 2 2 3 4" xfId="5236" xr:uid="{00000000-0005-0000-0000-00000F2F0000}"/>
    <cellStyle name="Vírgula 3 6 3 2 2 3 4 2" xfId="11750" xr:uid="{00000000-0005-0000-0000-0000102F0000}"/>
    <cellStyle name="Vírgula 3 6 3 2 2 3 5" xfId="7466" xr:uid="{00000000-0005-0000-0000-0000112F0000}"/>
    <cellStyle name="Vírgula 3 6 3 2 2 4" xfId="1462" xr:uid="{00000000-0005-0000-0000-0000122F0000}"/>
    <cellStyle name="Vírgula 3 6 3 2 2 4 2" xfId="3520" xr:uid="{00000000-0005-0000-0000-0000132F0000}"/>
    <cellStyle name="Vírgula 3 6 3 2 2 4 2 2" xfId="10036" xr:uid="{00000000-0005-0000-0000-0000142F0000}"/>
    <cellStyle name="Vírgula 3 6 3 2 2 4 3" xfId="5750" xr:uid="{00000000-0005-0000-0000-0000152F0000}"/>
    <cellStyle name="Vírgula 3 6 3 2 2 4 3 2" xfId="12264" xr:uid="{00000000-0005-0000-0000-0000162F0000}"/>
    <cellStyle name="Vírgula 3 6 3 2 2 4 4" xfId="7980" xr:uid="{00000000-0005-0000-0000-0000172F0000}"/>
    <cellStyle name="Vírgula 3 6 3 2 2 5" xfId="2492" xr:uid="{00000000-0005-0000-0000-0000182F0000}"/>
    <cellStyle name="Vírgula 3 6 3 2 2 5 2" xfId="9008" xr:uid="{00000000-0005-0000-0000-0000192F0000}"/>
    <cellStyle name="Vírgula 3 6 3 2 2 6" xfId="4634" xr:uid="{00000000-0005-0000-0000-00001A2F0000}"/>
    <cellStyle name="Vírgula 3 6 3 2 2 6 2" xfId="11148" xr:uid="{00000000-0005-0000-0000-00001B2F0000}"/>
    <cellStyle name="Vírgula 3 6 3 2 2 7" xfId="6864" xr:uid="{00000000-0005-0000-0000-00001C2F0000}"/>
    <cellStyle name="Vírgula 3 6 3 2 3" xfId="552" xr:uid="{00000000-0005-0000-0000-00001D2F0000}"/>
    <cellStyle name="Vírgula 3 6 3 2 3 2" xfId="1076" xr:uid="{00000000-0005-0000-0000-00001E2F0000}"/>
    <cellStyle name="Vírgula 3 6 3 2 3 2 2" xfId="2104" xr:uid="{00000000-0005-0000-0000-00001F2F0000}"/>
    <cellStyle name="Vírgula 3 6 3 2 3 2 2 2" xfId="4162" xr:uid="{00000000-0005-0000-0000-0000202F0000}"/>
    <cellStyle name="Vírgula 3 6 3 2 3 2 2 2 2" xfId="10678" xr:uid="{00000000-0005-0000-0000-0000212F0000}"/>
    <cellStyle name="Vírgula 3 6 3 2 3 2 2 3" xfId="6392" xr:uid="{00000000-0005-0000-0000-0000222F0000}"/>
    <cellStyle name="Vírgula 3 6 3 2 3 2 2 3 2" xfId="12906" xr:uid="{00000000-0005-0000-0000-0000232F0000}"/>
    <cellStyle name="Vírgula 3 6 3 2 3 2 2 4" xfId="8622" xr:uid="{00000000-0005-0000-0000-0000242F0000}"/>
    <cellStyle name="Vírgula 3 6 3 2 3 2 3" xfId="3134" xr:uid="{00000000-0005-0000-0000-0000252F0000}"/>
    <cellStyle name="Vírgula 3 6 3 2 3 2 3 2" xfId="9650" xr:uid="{00000000-0005-0000-0000-0000262F0000}"/>
    <cellStyle name="Vírgula 3 6 3 2 3 2 4" xfId="5364" xr:uid="{00000000-0005-0000-0000-0000272F0000}"/>
    <cellStyle name="Vírgula 3 6 3 2 3 2 4 2" xfId="11878" xr:uid="{00000000-0005-0000-0000-0000282F0000}"/>
    <cellStyle name="Vírgula 3 6 3 2 3 2 5" xfId="7594" xr:uid="{00000000-0005-0000-0000-0000292F0000}"/>
    <cellStyle name="Vírgula 3 6 3 2 3 3" xfId="1590" xr:uid="{00000000-0005-0000-0000-00002A2F0000}"/>
    <cellStyle name="Vírgula 3 6 3 2 3 3 2" xfId="3648" xr:uid="{00000000-0005-0000-0000-00002B2F0000}"/>
    <cellStyle name="Vírgula 3 6 3 2 3 3 2 2" xfId="10164" xr:uid="{00000000-0005-0000-0000-00002C2F0000}"/>
    <cellStyle name="Vírgula 3 6 3 2 3 3 3" xfId="5878" xr:uid="{00000000-0005-0000-0000-00002D2F0000}"/>
    <cellStyle name="Vírgula 3 6 3 2 3 3 3 2" xfId="12392" xr:uid="{00000000-0005-0000-0000-00002E2F0000}"/>
    <cellStyle name="Vírgula 3 6 3 2 3 3 4" xfId="8108" xr:uid="{00000000-0005-0000-0000-00002F2F0000}"/>
    <cellStyle name="Vírgula 3 6 3 2 3 4" xfId="2620" xr:uid="{00000000-0005-0000-0000-0000302F0000}"/>
    <cellStyle name="Vírgula 3 6 3 2 3 4 2" xfId="9136" xr:uid="{00000000-0005-0000-0000-0000312F0000}"/>
    <cellStyle name="Vírgula 3 6 3 2 3 5" xfId="4848" xr:uid="{00000000-0005-0000-0000-0000322F0000}"/>
    <cellStyle name="Vírgula 3 6 3 2 3 5 2" xfId="11362" xr:uid="{00000000-0005-0000-0000-0000332F0000}"/>
    <cellStyle name="Vírgula 3 6 3 2 3 6" xfId="7078" xr:uid="{00000000-0005-0000-0000-0000342F0000}"/>
    <cellStyle name="Vírgula 3 6 3 2 4" xfId="820" xr:uid="{00000000-0005-0000-0000-0000352F0000}"/>
    <cellStyle name="Vírgula 3 6 3 2 4 2" xfId="1848" xr:uid="{00000000-0005-0000-0000-0000362F0000}"/>
    <cellStyle name="Vírgula 3 6 3 2 4 2 2" xfId="3906" xr:uid="{00000000-0005-0000-0000-0000372F0000}"/>
    <cellStyle name="Vírgula 3 6 3 2 4 2 2 2" xfId="10422" xr:uid="{00000000-0005-0000-0000-0000382F0000}"/>
    <cellStyle name="Vírgula 3 6 3 2 4 2 3" xfId="6136" xr:uid="{00000000-0005-0000-0000-0000392F0000}"/>
    <cellStyle name="Vírgula 3 6 3 2 4 2 3 2" xfId="12650" xr:uid="{00000000-0005-0000-0000-00003A2F0000}"/>
    <cellStyle name="Vírgula 3 6 3 2 4 2 4" xfId="8366" xr:uid="{00000000-0005-0000-0000-00003B2F0000}"/>
    <cellStyle name="Vírgula 3 6 3 2 4 3" xfId="2878" xr:uid="{00000000-0005-0000-0000-00003C2F0000}"/>
    <cellStyle name="Vírgula 3 6 3 2 4 3 2" xfId="9394" xr:uid="{00000000-0005-0000-0000-00003D2F0000}"/>
    <cellStyle name="Vírgula 3 6 3 2 4 4" xfId="5108" xr:uid="{00000000-0005-0000-0000-00003E2F0000}"/>
    <cellStyle name="Vírgula 3 6 3 2 4 4 2" xfId="11622" xr:uid="{00000000-0005-0000-0000-00003F2F0000}"/>
    <cellStyle name="Vírgula 3 6 3 2 4 5" xfId="7338" xr:uid="{00000000-0005-0000-0000-0000402F0000}"/>
    <cellStyle name="Vírgula 3 6 3 2 5" xfId="1334" xr:uid="{00000000-0005-0000-0000-0000412F0000}"/>
    <cellStyle name="Vírgula 3 6 3 2 5 2" xfId="3392" xr:uid="{00000000-0005-0000-0000-0000422F0000}"/>
    <cellStyle name="Vírgula 3 6 3 2 5 2 2" xfId="9908" xr:uid="{00000000-0005-0000-0000-0000432F0000}"/>
    <cellStyle name="Vírgula 3 6 3 2 5 3" xfId="5622" xr:uid="{00000000-0005-0000-0000-0000442F0000}"/>
    <cellStyle name="Vírgula 3 6 3 2 5 3 2" xfId="12136" xr:uid="{00000000-0005-0000-0000-0000452F0000}"/>
    <cellStyle name="Vírgula 3 6 3 2 5 4" xfId="7852" xr:uid="{00000000-0005-0000-0000-0000462F0000}"/>
    <cellStyle name="Vírgula 3 6 3 2 6" xfId="2364" xr:uid="{00000000-0005-0000-0000-0000472F0000}"/>
    <cellStyle name="Vírgula 3 6 3 2 6 2" xfId="8880" xr:uid="{00000000-0005-0000-0000-0000482F0000}"/>
    <cellStyle name="Vírgula 3 6 3 2 7" xfId="4506" xr:uid="{00000000-0005-0000-0000-0000492F0000}"/>
    <cellStyle name="Vírgula 3 6 3 2 7 2" xfId="11020" xr:uid="{00000000-0005-0000-0000-00004A2F0000}"/>
    <cellStyle name="Vírgula 3 6 3 2 8" xfId="6736" xr:uid="{00000000-0005-0000-0000-00004B2F0000}"/>
    <cellStyle name="Vírgula 3 6 3 3" xfId="273" xr:uid="{00000000-0005-0000-0000-00004C2F0000}"/>
    <cellStyle name="Vírgula 3 6 3 3 2" xfId="616" xr:uid="{00000000-0005-0000-0000-00004D2F0000}"/>
    <cellStyle name="Vírgula 3 6 3 3 2 2" xfId="1140" xr:uid="{00000000-0005-0000-0000-00004E2F0000}"/>
    <cellStyle name="Vírgula 3 6 3 3 2 2 2" xfId="2168" xr:uid="{00000000-0005-0000-0000-00004F2F0000}"/>
    <cellStyle name="Vírgula 3 6 3 3 2 2 2 2" xfId="4226" xr:uid="{00000000-0005-0000-0000-0000502F0000}"/>
    <cellStyle name="Vírgula 3 6 3 3 2 2 2 2 2" xfId="10742" xr:uid="{00000000-0005-0000-0000-0000512F0000}"/>
    <cellStyle name="Vírgula 3 6 3 3 2 2 2 3" xfId="6456" xr:uid="{00000000-0005-0000-0000-0000522F0000}"/>
    <cellStyle name="Vírgula 3 6 3 3 2 2 2 3 2" xfId="12970" xr:uid="{00000000-0005-0000-0000-0000532F0000}"/>
    <cellStyle name="Vírgula 3 6 3 3 2 2 2 4" xfId="8686" xr:uid="{00000000-0005-0000-0000-0000542F0000}"/>
    <cellStyle name="Vírgula 3 6 3 3 2 2 3" xfId="3198" xr:uid="{00000000-0005-0000-0000-0000552F0000}"/>
    <cellStyle name="Vírgula 3 6 3 3 2 2 3 2" xfId="9714" xr:uid="{00000000-0005-0000-0000-0000562F0000}"/>
    <cellStyle name="Vírgula 3 6 3 3 2 2 4" xfId="5428" xr:uid="{00000000-0005-0000-0000-0000572F0000}"/>
    <cellStyle name="Vírgula 3 6 3 3 2 2 4 2" xfId="11942" xr:uid="{00000000-0005-0000-0000-0000582F0000}"/>
    <cellStyle name="Vírgula 3 6 3 3 2 2 5" xfId="7658" xr:uid="{00000000-0005-0000-0000-0000592F0000}"/>
    <cellStyle name="Vírgula 3 6 3 3 2 3" xfId="1654" xr:uid="{00000000-0005-0000-0000-00005A2F0000}"/>
    <cellStyle name="Vírgula 3 6 3 3 2 3 2" xfId="3712" xr:uid="{00000000-0005-0000-0000-00005B2F0000}"/>
    <cellStyle name="Vírgula 3 6 3 3 2 3 2 2" xfId="10228" xr:uid="{00000000-0005-0000-0000-00005C2F0000}"/>
    <cellStyle name="Vírgula 3 6 3 3 2 3 3" xfId="5942" xr:uid="{00000000-0005-0000-0000-00005D2F0000}"/>
    <cellStyle name="Vírgula 3 6 3 3 2 3 3 2" xfId="12456" xr:uid="{00000000-0005-0000-0000-00005E2F0000}"/>
    <cellStyle name="Vírgula 3 6 3 3 2 3 4" xfId="8172" xr:uid="{00000000-0005-0000-0000-00005F2F0000}"/>
    <cellStyle name="Vírgula 3 6 3 3 2 4" xfId="2684" xr:uid="{00000000-0005-0000-0000-0000602F0000}"/>
    <cellStyle name="Vírgula 3 6 3 3 2 4 2" xfId="9200" xr:uid="{00000000-0005-0000-0000-0000612F0000}"/>
    <cellStyle name="Vírgula 3 6 3 3 2 5" xfId="4912" xr:uid="{00000000-0005-0000-0000-0000622F0000}"/>
    <cellStyle name="Vírgula 3 6 3 3 2 5 2" xfId="11426" xr:uid="{00000000-0005-0000-0000-0000632F0000}"/>
    <cellStyle name="Vírgula 3 6 3 3 2 6" xfId="7142" xr:uid="{00000000-0005-0000-0000-0000642F0000}"/>
    <cellStyle name="Vírgula 3 6 3 3 3" xfId="884" xr:uid="{00000000-0005-0000-0000-0000652F0000}"/>
    <cellStyle name="Vírgula 3 6 3 3 3 2" xfId="1912" xr:uid="{00000000-0005-0000-0000-0000662F0000}"/>
    <cellStyle name="Vírgula 3 6 3 3 3 2 2" xfId="3970" xr:uid="{00000000-0005-0000-0000-0000672F0000}"/>
    <cellStyle name="Vírgula 3 6 3 3 3 2 2 2" xfId="10486" xr:uid="{00000000-0005-0000-0000-0000682F0000}"/>
    <cellStyle name="Vírgula 3 6 3 3 3 2 3" xfId="6200" xr:uid="{00000000-0005-0000-0000-0000692F0000}"/>
    <cellStyle name="Vírgula 3 6 3 3 3 2 3 2" xfId="12714" xr:uid="{00000000-0005-0000-0000-00006A2F0000}"/>
    <cellStyle name="Vírgula 3 6 3 3 3 2 4" xfId="8430" xr:uid="{00000000-0005-0000-0000-00006B2F0000}"/>
    <cellStyle name="Vírgula 3 6 3 3 3 3" xfId="2942" xr:uid="{00000000-0005-0000-0000-00006C2F0000}"/>
    <cellStyle name="Vírgula 3 6 3 3 3 3 2" xfId="9458" xr:uid="{00000000-0005-0000-0000-00006D2F0000}"/>
    <cellStyle name="Vírgula 3 6 3 3 3 4" xfId="5172" xr:uid="{00000000-0005-0000-0000-00006E2F0000}"/>
    <cellStyle name="Vírgula 3 6 3 3 3 4 2" xfId="11686" xr:uid="{00000000-0005-0000-0000-00006F2F0000}"/>
    <cellStyle name="Vírgula 3 6 3 3 3 5" xfId="7402" xr:uid="{00000000-0005-0000-0000-0000702F0000}"/>
    <cellStyle name="Vírgula 3 6 3 3 4" xfId="1398" xr:uid="{00000000-0005-0000-0000-0000712F0000}"/>
    <cellStyle name="Vírgula 3 6 3 3 4 2" xfId="3456" xr:uid="{00000000-0005-0000-0000-0000722F0000}"/>
    <cellStyle name="Vírgula 3 6 3 3 4 2 2" xfId="9972" xr:uid="{00000000-0005-0000-0000-0000732F0000}"/>
    <cellStyle name="Vírgula 3 6 3 3 4 3" xfId="5686" xr:uid="{00000000-0005-0000-0000-0000742F0000}"/>
    <cellStyle name="Vírgula 3 6 3 3 4 3 2" xfId="12200" xr:uid="{00000000-0005-0000-0000-0000752F0000}"/>
    <cellStyle name="Vírgula 3 6 3 3 4 4" xfId="7916" xr:uid="{00000000-0005-0000-0000-0000762F0000}"/>
    <cellStyle name="Vírgula 3 6 3 3 5" xfId="2428" xr:uid="{00000000-0005-0000-0000-0000772F0000}"/>
    <cellStyle name="Vírgula 3 6 3 3 5 2" xfId="8944" xr:uid="{00000000-0005-0000-0000-0000782F0000}"/>
    <cellStyle name="Vírgula 3 6 3 3 6" xfId="4570" xr:uid="{00000000-0005-0000-0000-0000792F0000}"/>
    <cellStyle name="Vírgula 3 6 3 3 6 2" xfId="11084" xr:uid="{00000000-0005-0000-0000-00007A2F0000}"/>
    <cellStyle name="Vírgula 3 6 3 3 7" xfId="6800" xr:uid="{00000000-0005-0000-0000-00007B2F0000}"/>
    <cellStyle name="Vírgula 3 6 3 4" xfId="469" xr:uid="{00000000-0005-0000-0000-00007C2F0000}"/>
    <cellStyle name="Vírgula 3 6 3 4 2" xfId="1012" xr:uid="{00000000-0005-0000-0000-00007D2F0000}"/>
    <cellStyle name="Vírgula 3 6 3 4 2 2" xfId="2040" xr:uid="{00000000-0005-0000-0000-00007E2F0000}"/>
    <cellStyle name="Vírgula 3 6 3 4 2 2 2" xfId="4098" xr:uid="{00000000-0005-0000-0000-00007F2F0000}"/>
    <cellStyle name="Vírgula 3 6 3 4 2 2 2 2" xfId="10614" xr:uid="{00000000-0005-0000-0000-0000802F0000}"/>
    <cellStyle name="Vírgula 3 6 3 4 2 2 3" xfId="6328" xr:uid="{00000000-0005-0000-0000-0000812F0000}"/>
    <cellStyle name="Vírgula 3 6 3 4 2 2 3 2" xfId="12842" xr:uid="{00000000-0005-0000-0000-0000822F0000}"/>
    <cellStyle name="Vírgula 3 6 3 4 2 2 4" xfId="8558" xr:uid="{00000000-0005-0000-0000-0000832F0000}"/>
    <cellStyle name="Vírgula 3 6 3 4 2 3" xfId="3070" xr:uid="{00000000-0005-0000-0000-0000842F0000}"/>
    <cellStyle name="Vírgula 3 6 3 4 2 3 2" xfId="9586" xr:uid="{00000000-0005-0000-0000-0000852F0000}"/>
    <cellStyle name="Vírgula 3 6 3 4 2 4" xfId="5300" xr:uid="{00000000-0005-0000-0000-0000862F0000}"/>
    <cellStyle name="Vírgula 3 6 3 4 2 4 2" xfId="11814" xr:uid="{00000000-0005-0000-0000-0000872F0000}"/>
    <cellStyle name="Vírgula 3 6 3 4 2 5" xfId="7530" xr:uid="{00000000-0005-0000-0000-0000882F0000}"/>
    <cellStyle name="Vírgula 3 6 3 4 3" xfId="1526" xr:uid="{00000000-0005-0000-0000-0000892F0000}"/>
    <cellStyle name="Vírgula 3 6 3 4 3 2" xfId="3584" xr:uid="{00000000-0005-0000-0000-00008A2F0000}"/>
    <cellStyle name="Vírgula 3 6 3 4 3 2 2" xfId="10100" xr:uid="{00000000-0005-0000-0000-00008B2F0000}"/>
    <cellStyle name="Vírgula 3 6 3 4 3 3" xfId="5814" xr:uid="{00000000-0005-0000-0000-00008C2F0000}"/>
    <cellStyle name="Vírgula 3 6 3 4 3 3 2" xfId="12328" xr:uid="{00000000-0005-0000-0000-00008D2F0000}"/>
    <cellStyle name="Vírgula 3 6 3 4 3 4" xfId="8044" xr:uid="{00000000-0005-0000-0000-00008E2F0000}"/>
    <cellStyle name="Vírgula 3 6 3 4 4" xfId="2556" xr:uid="{00000000-0005-0000-0000-00008F2F0000}"/>
    <cellStyle name="Vírgula 3 6 3 4 4 2" xfId="9072" xr:uid="{00000000-0005-0000-0000-0000902F0000}"/>
    <cellStyle name="Vírgula 3 6 3 4 5" xfId="4765" xr:uid="{00000000-0005-0000-0000-0000912F0000}"/>
    <cellStyle name="Vírgula 3 6 3 4 5 2" xfId="11279" xr:uid="{00000000-0005-0000-0000-0000922F0000}"/>
    <cellStyle name="Vírgula 3 6 3 4 6" xfId="6995" xr:uid="{00000000-0005-0000-0000-0000932F0000}"/>
    <cellStyle name="Vírgula 3 6 3 5" xfId="756" xr:uid="{00000000-0005-0000-0000-0000942F0000}"/>
    <cellStyle name="Vírgula 3 6 3 5 2" xfId="1784" xr:uid="{00000000-0005-0000-0000-0000952F0000}"/>
    <cellStyle name="Vírgula 3 6 3 5 2 2" xfId="3842" xr:uid="{00000000-0005-0000-0000-0000962F0000}"/>
    <cellStyle name="Vírgula 3 6 3 5 2 2 2" xfId="10358" xr:uid="{00000000-0005-0000-0000-0000972F0000}"/>
    <cellStyle name="Vírgula 3 6 3 5 2 3" xfId="6072" xr:uid="{00000000-0005-0000-0000-0000982F0000}"/>
    <cellStyle name="Vírgula 3 6 3 5 2 3 2" xfId="12586" xr:uid="{00000000-0005-0000-0000-0000992F0000}"/>
    <cellStyle name="Vírgula 3 6 3 5 2 4" xfId="8302" xr:uid="{00000000-0005-0000-0000-00009A2F0000}"/>
    <cellStyle name="Vírgula 3 6 3 5 3" xfId="2814" xr:uid="{00000000-0005-0000-0000-00009B2F0000}"/>
    <cellStyle name="Vírgula 3 6 3 5 3 2" xfId="9330" xr:uid="{00000000-0005-0000-0000-00009C2F0000}"/>
    <cellStyle name="Vírgula 3 6 3 5 4" xfId="5044" xr:uid="{00000000-0005-0000-0000-00009D2F0000}"/>
    <cellStyle name="Vírgula 3 6 3 5 4 2" xfId="11558" xr:uid="{00000000-0005-0000-0000-00009E2F0000}"/>
    <cellStyle name="Vírgula 3 6 3 5 5" xfId="7274" xr:uid="{00000000-0005-0000-0000-00009F2F0000}"/>
    <cellStyle name="Vírgula 3 6 3 6" xfId="1270" xr:uid="{00000000-0005-0000-0000-0000A02F0000}"/>
    <cellStyle name="Vírgula 3 6 3 6 2" xfId="3328" xr:uid="{00000000-0005-0000-0000-0000A12F0000}"/>
    <cellStyle name="Vírgula 3 6 3 6 2 2" xfId="9844" xr:uid="{00000000-0005-0000-0000-0000A22F0000}"/>
    <cellStyle name="Vírgula 3 6 3 6 3" xfId="5558" xr:uid="{00000000-0005-0000-0000-0000A32F0000}"/>
    <cellStyle name="Vírgula 3 6 3 6 3 2" xfId="12072" xr:uid="{00000000-0005-0000-0000-0000A42F0000}"/>
    <cellStyle name="Vírgula 3 6 3 6 4" xfId="7788" xr:uid="{00000000-0005-0000-0000-0000A52F0000}"/>
    <cellStyle name="Vírgula 3 6 3 7" xfId="2300" xr:uid="{00000000-0005-0000-0000-0000A62F0000}"/>
    <cellStyle name="Vírgula 3 6 3 7 2" xfId="8816" xr:uid="{00000000-0005-0000-0000-0000A72F0000}"/>
    <cellStyle name="Vírgula 3 6 3 8" xfId="4423" xr:uid="{00000000-0005-0000-0000-0000A82F0000}"/>
    <cellStyle name="Vírgula 3 6 3 8 2" xfId="10937" xr:uid="{00000000-0005-0000-0000-0000A92F0000}"/>
    <cellStyle name="Vírgula 3 6 3 9" xfId="6653" xr:uid="{00000000-0005-0000-0000-0000AA2F0000}"/>
    <cellStyle name="Vírgula 3 6 4" xfId="177" xr:uid="{00000000-0005-0000-0000-0000AB2F0000}"/>
    <cellStyle name="Vírgula 3 6 4 2" xfId="305" xr:uid="{00000000-0005-0000-0000-0000AC2F0000}"/>
    <cellStyle name="Vírgula 3 6 4 2 2" xfId="648" xr:uid="{00000000-0005-0000-0000-0000AD2F0000}"/>
    <cellStyle name="Vírgula 3 6 4 2 2 2" xfId="1172" xr:uid="{00000000-0005-0000-0000-0000AE2F0000}"/>
    <cellStyle name="Vírgula 3 6 4 2 2 2 2" xfId="2200" xr:uid="{00000000-0005-0000-0000-0000AF2F0000}"/>
    <cellStyle name="Vírgula 3 6 4 2 2 2 2 2" xfId="4258" xr:uid="{00000000-0005-0000-0000-0000B02F0000}"/>
    <cellStyle name="Vírgula 3 6 4 2 2 2 2 2 2" xfId="10774" xr:uid="{00000000-0005-0000-0000-0000B12F0000}"/>
    <cellStyle name="Vírgula 3 6 4 2 2 2 2 3" xfId="6488" xr:uid="{00000000-0005-0000-0000-0000B22F0000}"/>
    <cellStyle name="Vírgula 3 6 4 2 2 2 2 3 2" xfId="13002" xr:uid="{00000000-0005-0000-0000-0000B32F0000}"/>
    <cellStyle name="Vírgula 3 6 4 2 2 2 2 4" xfId="8718" xr:uid="{00000000-0005-0000-0000-0000B42F0000}"/>
    <cellStyle name="Vírgula 3 6 4 2 2 2 3" xfId="3230" xr:uid="{00000000-0005-0000-0000-0000B52F0000}"/>
    <cellStyle name="Vírgula 3 6 4 2 2 2 3 2" xfId="9746" xr:uid="{00000000-0005-0000-0000-0000B62F0000}"/>
    <cellStyle name="Vírgula 3 6 4 2 2 2 4" xfId="5460" xr:uid="{00000000-0005-0000-0000-0000B72F0000}"/>
    <cellStyle name="Vírgula 3 6 4 2 2 2 4 2" xfId="11974" xr:uid="{00000000-0005-0000-0000-0000B82F0000}"/>
    <cellStyle name="Vírgula 3 6 4 2 2 2 5" xfId="7690" xr:uid="{00000000-0005-0000-0000-0000B92F0000}"/>
    <cellStyle name="Vírgula 3 6 4 2 2 3" xfId="1686" xr:uid="{00000000-0005-0000-0000-0000BA2F0000}"/>
    <cellStyle name="Vírgula 3 6 4 2 2 3 2" xfId="3744" xr:uid="{00000000-0005-0000-0000-0000BB2F0000}"/>
    <cellStyle name="Vírgula 3 6 4 2 2 3 2 2" xfId="10260" xr:uid="{00000000-0005-0000-0000-0000BC2F0000}"/>
    <cellStyle name="Vírgula 3 6 4 2 2 3 3" xfId="5974" xr:uid="{00000000-0005-0000-0000-0000BD2F0000}"/>
    <cellStyle name="Vírgula 3 6 4 2 2 3 3 2" xfId="12488" xr:uid="{00000000-0005-0000-0000-0000BE2F0000}"/>
    <cellStyle name="Vírgula 3 6 4 2 2 3 4" xfId="8204" xr:uid="{00000000-0005-0000-0000-0000BF2F0000}"/>
    <cellStyle name="Vírgula 3 6 4 2 2 4" xfId="2716" xr:uid="{00000000-0005-0000-0000-0000C02F0000}"/>
    <cellStyle name="Vírgula 3 6 4 2 2 4 2" xfId="9232" xr:uid="{00000000-0005-0000-0000-0000C12F0000}"/>
    <cellStyle name="Vírgula 3 6 4 2 2 5" xfId="4944" xr:uid="{00000000-0005-0000-0000-0000C22F0000}"/>
    <cellStyle name="Vírgula 3 6 4 2 2 5 2" xfId="11458" xr:uid="{00000000-0005-0000-0000-0000C32F0000}"/>
    <cellStyle name="Vírgula 3 6 4 2 2 6" xfId="7174" xr:uid="{00000000-0005-0000-0000-0000C42F0000}"/>
    <cellStyle name="Vírgula 3 6 4 2 3" xfId="916" xr:uid="{00000000-0005-0000-0000-0000C52F0000}"/>
    <cellStyle name="Vírgula 3 6 4 2 3 2" xfId="1944" xr:uid="{00000000-0005-0000-0000-0000C62F0000}"/>
    <cellStyle name="Vírgula 3 6 4 2 3 2 2" xfId="4002" xr:uid="{00000000-0005-0000-0000-0000C72F0000}"/>
    <cellStyle name="Vírgula 3 6 4 2 3 2 2 2" xfId="10518" xr:uid="{00000000-0005-0000-0000-0000C82F0000}"/>
    <cellStyle name="Vírgula 3 6 4 2 3 2 3" xfId="6232" xr:uid="{00000000-0005-0000-0000-0000C92F0000}"/>
    <cellStyle name="Vírgula 3 6 4 2 3 2 3 2" xfId="12746" xr:uid="{00000000-0005-0000-0000-0000CA2F0000}"/>
    <cellStyle name="Vírgula 3 6 4 2 3 2 4" xfId="8462" xr:uid="{00000000-0005-0000-0000-0000CB2F0000}"/>
    <cellStyle name="Vírgula 3 6 4 2 3 3" xfId="2974" xr:uid="{00000000-0005-0000-0000-0000CC2F0000}"/>
    <cellStyle name="Vírgula 3 6 4 2 3 3 2" xfId="9490" xr:uid="{00000000-0005-0000-0000-0000CD2F0000}"/>
    <cellStyle name="Vírgula 3 6 4 2 3 4" xfId="5204" xr:uid="{00000000-0005-0000-0000-0000CE2F0000}"/>
    <cellStyle name="Vírgula 3 6 4 2 3 4 2" xfId="11718" xr:uid="{00000000-0005-0000-0000-0000CF2F0000}"/>
    <cellStyle name="Vírgula 3 6 4 2 3 5" xfId="7434" xr:uid="{00000000-0005-0000-0000-0000D02F0000}"/>
    <cellStyle name="Vírgula 3 6 4 2 4" xfId="1430" xr:uid="{00000000-0005-0000-0000-0000D12F0000}"/>
    <cellStyle name="Vírgula 3 6 4 2 4 2" xfId="3488" xr:uid="{00000000-0005-0000-0000-0000D22F0000}"/>
    <cellStyle name="Vírgula 3 6 4 2 4 2 2" xfId="10004" xr:uid="{00000000-0005-0000-0000-0000D32F0000}"/>
    <cellStyle name="Vírgula 3 6 4 2 4 3" xfId="5718" xr:uid="{00000000-0005-0000-0000-0000D42F0000}"/>
    <cellStyle name="Vírgula 3 6 4 2 4 3 2" xfId="12232" xr:uid="{00000000-0005-0000-0000-0000D52F0000}"/>
    <cellStyle name="Vírgula 3 6 4 2 4 4" xfId="7948" xr:uid="{00000000-0005-0000-0000-0000D62F0000}"/>
    <cellStyle name="Vírgula 3 6 4 2 5" xfId="2460" xr:uid="{00000000-0005-0000-0000-0000D72F0000}"/>
    <cellStyle name="Vírgula 3 6 4 2 5 2" xfId="8976" xr:uid="{00000000-0005-0000-0000-0000D82F0000}"/>
    <cellStyle name="Vírgula 3 6 4 2 6" xfId="4602" xr:uid="{00000000-0005-0000-0000-0000D92F0000}"/>
    <cellStyle name="Vírgula 3 6 4 2 6 2" xfId="11116" xr:uid="{00000000-0005-0000-0000-0000DA2F0000}"/>
    <cellStyle name="Vírgula 3 6 4 2 7" xfId="6832" xr:uid="{00000000-0005-0000-0000-0000DB2F0000}"/>
    <cellStyle name="Vírgula 3 6 4 3" xfId="520" xr:uid="{00000000-0005-0000-0000-0000DC2F0000}"/>
    <cellStyle name="Vírgula 3 6 4 3 2" xfId="1044" xr:uid="{00000000-0005-0000-0000-0000DD2F0000}"/>
    <cellStyle name="Vírgula 3 6 4 3 2 2" xfId="2072" xr:uid="{00000000-0005-0000-0000-0000DE2F0000}"/>
    <cellStyle name="Vírgula 3 6 4 3 2 2 2" xfId="4130" xr:uid="{00000000-0005-0000-0000-0000DF2F0000}"/>
    <cellStyle name="Vírgula 3 6 4 3 2 2 2 2" xfId="10646" xr:uid="{00000000-0005-0000-0000-0000E02F0000}"/>
    <cellStyle name="Vírgula 3 6 4 3 2 2 3" xfId="6360" xr:uid="{00000000-0005-0000-0000-0000E12F0000}"/>
    <cellStyle name="Vírgula 3 6 4 3 2 2 3 2" xfId="12874" xr:uid="{00000000-0005-0000-0000-0000E22F0000}"/>
    <cellStyle name="Vírgula 3 6 4 3 2 2 4" xfId="8590" xr:uid="{00000000-0005-0000-0000-0000E32F0000}"/>
    <cellStyle name="Vírgula 3 6 4 3 2 3" xfId="3102" xr:uid="{00000000-0005-0000-0000-0000E42F0000}"/>
    <cellStyle name="Vírgula 3 6 4 3 2 3 2" xfId="9618" xr:uid="{00000000-0005-0000-0000-0000E52F0000}"/>
    <cellStyle name="Vírgula 3 6 4 3 2 4" xfId="5332" xr:uid="{00000000-0005-0000-0000-0000E62F0000}"/>
    <cellStyle name="Vírgula 3 6 4 3 2 4 2" xfId="11846" xr:uid="{00000000-0005-0000-0000-0000E72F0000}"/>
    <cellStyle name="Vírgula 3 6 4 3 2 5" xfId="7562" xr:uid="{00000000-0005-0000-0000-0000E82F0000}"/>
    <cellStyle name="Vírgula 3 6 4 3 3" xfId="1558" xr:uid="{00000000-0005-0000-0000-0000E92F0000}"/>
    <cellStyle name="Vírgula 3 6 4 3 3 2" xfId="3616" xr:uid="{00000000-0005-0000-0000-0000EA2F0000}"/>
    <cellStyle name="Vírgula 3 6 4 3 3 2 2" xfId="10132" xr:uid="{00000000-0005-0000-0000-0000EB2F0000}"/>
    <cellStyle name="Vírgula 3 6 4 3 3 3" xfId="5846" xr:uid="{00000000-0005-0000-0000-0000EC2F0000}"/>
    <cellStyle name="Vírgula 3 6 4 3 3 3 2" xfId="12360" xr:uid="{00000000-0005-0000-0000-0000ED2F0000}"/>
    <cellStyle name="Vírgula 3 6 4 3 3 4" xfId="8076" xr:uid="{00000000-0005-0000-0000-0000EE2F0000}"/>
    <cellStyle name="Vírgula 3 6 4 3 4" xfId="2588" xr:uid="{00000000-0005-0000-0000-0000EF2F0000}"/>
    <cellStyle name="Vírgula 3 6 4 3 4 2" xfId="9104" xr:uid="{00000000-0005-0000-0000-0000F02F0000}"/>
    <cellStyle name="Vírgula 3 6 4 3 5" xfId="4816" xr:uid="{00000000-0005-0000-0000-0000F12F0000}"/>
    <cellStyle name="Vírgula 3 6 4 3 5 2" xfId="11330" xr:uid="{00000000-0005-0000-0000-0000F22F0000}"/>
    <cellStyle name="Vírgula 3 6 4 3 6" xfId="7046" xr:uid="{00000000-0005-0000-0000-0000F32F0000}"/>
    <cellStyle name="Vírgula 3 6 4 4" xfId="788" xr:uid="{00000000-0005-0000-0000-0000F42F0000}"/>
    <cellStyle name="Vírgula 3 6 4 4 2" xfId="1816" xr:uid="{00000000-0005-0000-0000-0000F52F0000}"/>
    <cellStyle name="Vírgula 3 6 4 4 2 2" xfId="3874" xr:uid="{00000000-0005-0000-0000-0000F62F0000}"/>
    <cellStyle name="Vírgula 3 6 4 4 2 2 2" xfId="10390" xr:uid="{00000000-0005-0000-0000-0000F72F0000}"/>
    <cellStyle name="Vírgula 3 6 4 4 2 3" xfId="6104" xr:uid="{00000000-0005-0000-0000-0000F82F0000}"/>
    <cellStyle name="Vírgula 3 6 4 4 2 3 2" xfId="12618" xr:uid="{00000000-0005-0000-0000-0000F92F0000}"/>
    <cellStyle name="Vírgula 3 6 4 4 2 4" xfId="8334" xr:uid="{00000000-0005-0000-0000-0000FA2F0000}"/>
    <cellStyle name="Vírgula 3 6 4 4 3" xfId="2846" xr:uid="{00000000-0005-0000-0000-0000FB2F0000}"/>
    <cellStyle name="Vírgula 3 6 4 4 3 2" xfId="9362" xr:uid="{00000000-0005-0000-0000-0000FC2F0000}"/>
    <cellStyle name="Vírgula 3 6 4 4 4" xfId="5076" xr:uid="{00000000-0005-0000-0000-0000FD2F0000}"/>
    <cellStyle name="Vírgula 3 6 4 4 4 2" xfId="11590" xr:uid="{00000000-0005-0000-0000-0000FE2F0000}"/>
    <cellStyle name="Vírgula 3 6 4 4 5" xfId="7306" xr:uid="{00000000-0005-0000-0000-0000FF2F0000}"/>
    <cellStyle name="Vírgula 3 6 4 5" xfId="1302" xr:uid="{00000000-0005-0000-0000-000000300000}"/>
    <cellStyle name="Vírgula 3 6 4 5 2" xfId="3360" xr:uid="{00000000-0005-0000-0000-000001300000}"/>
    <cellStyle name="Vírgula 3 6 4 5 2 2" xfId="9876" xr:uid="{00000000-0005-0000-0000-000002300000}"/>
    <cellStyle name="Vírgula 3 6 4 5 3" xfId="5590" xr:uid="{00000000-0005-0000-0000-000003300000}"/>
    <cellStyle name="Vírgula 3 6 4 5 3 2" xfId="12104" xr:uid="{00000000-0005-0000-0000-000004300000}"/>
    <cellStyle name="Vírgula 3 6 4 5 4" xfId="7820" xr:uid="{00000000-0005-0000-0000-000005300000}"/>
    <cellStyle name="Vírgula 3 6 4 6" xfId="2332" xr:uid="{00000000-0005-0000-0000-000006300000}"/>
    <cellStyle name="Vírgula 3 6 4 6 2" xfId="8848" xr:uid="{00000000-0005-0000-0000-000007300000}"/>
    <cellStyle name="Vírgula 3 6 4 7" xfId="4474" xr:uid="{00000000-0005-0000-0000-000008300000}"/>
    <cellStyle name="Vírgula 3 6 4 7 2" xfId="10988" xr:uid="{00000000-0005-0000-0000-000009300000}"/>
    <cellStyle name="Vírgula 3 6 4 8" xfId="6704" xr:uid="{00000000-0005-0000-0000-00000A300000}"/>
    <cellStyle name="Vírgula 3 6 5" xfId="241" xr:uid="{00000000-0005-0000-0000-00000B300000}"/>
    <cellStyle name="Vírgula 3 6 5 2" xfId="584" xr:uid="{00000000-0005-0000-0000-00000C300000}"/>
    <cellStyle name="Vírgula 3 6 5 2 2" xfId="1108" xr:uid="{00000000-0005-0000-0000-00000D300000}"/>
    <cellStyle name="Vírgula 3 6 5 2 2 2" xfId="2136" xr:uid="{00000000-0005-0000-0000-00000E300000}"/>
    <cellStyle name="Vírgula 3 6 5 2 2 2 2" xfId="4194" xr:uid="{00000000-0005-0000-0000-00000F300000}"/>
    <cellStyle name="Vírgula 3 6 5 2 2 2 2 2" xfId="10710" xr:uid="{00000000-0005-0000-0000-000010300000}"/>
    <cellStyle name="Vírgula 3 6 5 2 2 2 3" xfId="6424" xr:uid="{00000000-0005-0000-0000-000011300000}"/>
    <cellStyle name="Vírgula 3 6 5 2 2 2 3 2" xfId="12938" xr:uid="{00000000-0005-0000-0000-000012300000}"/>
    <cellStyle name="Vírgula 3 6 5 2 2 2 4" xfId="8654" xr:uid="{00000000-0005-0000-0000-000013300000}"/>
    <cellStyle name="Vírgula 3 6 5 2 2 3" xfId="3166" xr:uid="{00000000-0005-0000-0000-000014300000}"/>
    <cellStyle name="Vírgula 3 6 5 2 2 3 2" xfId="9682" xr:uid="{00000000-0005-0000-0000-000015300000}"/>
    <cellStyle name="Vírgula 3 6 5 2 2 4" xfId="5396" xr:uid="{00000000-0005-0000-0000-000016300000}"/>
    <cellStyle name="Vírgula 3 6 5 2 2 4 2" xfId="11910" xr:uid="{00000000-0005-0000-0000-000017300000}"/>
    <cellStyle name="Vírgula 3 6 5 2 2 5" xfId="7626" xr:uid="{00000000-0005-0000-0000-000018300000}"/>
    <cellStyle name="Vírgula 3 6 5 2 3" xfId="1622" xr:uid="{00000000-0005-0000-0000-000019300000}"/>
    <cellStyle name="Vírgula 3 6 5 2 3 2" xfId="3680" xr:uid="{00000000-0005-0000-0000-00001A300000}"/>
    <cellStyle name="Vírgula 3 6 5 2 3 2 2" xfId="10196" xr:uid="{00000000-0005-0000-0000-00001B300000}"/>
    <cellStyle name="Vírgula 3 6 5 2 3 3" xfId="5910" xr:uid="{00000000-0005-0000-0000-00001C300000}"/>
    <cellStyle name="Vírgula 3 6 5 2 3 3 2" xfId="12424" xr:uid="{00000000-0005-0000-0000-00001D300000}"/>
    <cellStyle name="Vírgula 3 6 5 2 3 4" xfId="8140" xr:uid="{00000000-0005-0000-0000-00001E300000}"/>
    <cellStyle name="Vírgula 3 6 5 2 4" xfId="2652" xr:uid="{00000000-0005-0000-0000-00001F300000}"/>
    <cellStyle name="Vírgula 3 6 5 2 4 2" xfId="9168" xr:uid="{00000000-0005-0000-0000-000020300000}"/>
    <cellStyle name="Vírgula 3 6 5 2 5" xfId="4880" xr:uid="{00000000-0005-0000-0000-000021300000}"/>
    <cellStyle name="Vírgula 3 6 5 2 5 2" xfId="11394" xr:uid="{00000000-0005-0000-0000-000022300000}"/>
    <cellStyle name="Vírgula 3 6 5 2 6" xfId="7110" xr:uid="{00000000-0005-0000-0000-000023300000}"/>
    <cellStyle name="Vírgula 3 6 5 3" xfId="852" xr:uid="{00000000-0005-0000-0000-000024300000}"/>
    <cellStyle name="Vírgula 3 6 5 3 2" xfId="1880" xr:uid="{00000000-0005-0000-0000-000025300000}"/>
    <cellStyle name="Vírgula 3 6 5 3 2 2" xfId="3938" xr:uid="{00000000-0005-0000-0000-000026300000}"/>
    <cellStyle name="Vírgula 3 6 5 3 2 2 2" xfId="10454" xr:uid="{00000000-0005-0000-0000-000027300000}"/>
    <cellStyle name="Vírgula 3 6 5 3 2 3" xfId="6168" xr:uid="{00000000-0005-0000-0000-000028300000}"/>
    <cellStyle name="Vírgula 3 6 5 3 2 3 2" xfId="12682" xr:uid="{00000000-0005-0000-0000-000029300000}"/>
    <cellStyle name="Vírgula 3 6 5 3 2 4" xfId="8398" xr:uid="{00000000-0005-0000-0000-00002A300000}"/>
    <cellStyle name="Vírgula 3 6 5 3 3" xfId="2910" xr:uid="{00000000-0005-0000-0000-00002B300000}"/>
    <cellStyle name="Vírgula 3 6 5 3 3 2" xfId="9426" xr:uid="{00000000-0005-0000-0000-00002C300000}"/>
    <cellStyle name="Vírgula 3 6 5 3 4" xfId="5140" xr:uid="{00000000-0005-0000-0000-00002D300000}"/>
    <cellStyle name="Vírgula 3 6 5 3 4 2" xfId="11654" xr:uid="{00000000-0005-0000-0000-00002E300000}"/>
    <cellStyle name="Vírgula 3 6 5 3 5" xfId="7370" xr:uid="{00000000-0005-0000-0000-00002F300000}"/>
    <cellStyle name="Vírgula 3 6 5 4" xfId="1366" xr:uid="{00000000-0005-0000-0000-000030300000}"/>
    <cellStyle name="Vírgula 3 6 5 4 2" xfId="3424" xr:uid="{00000000-0005-0000-0000-000031300000}"/>
    <cellStyle name="Vírgula 3 6 5 4 2 2" xfId="9940" xr:uid="{00000000-0005-0000-0000-000032300000}"/>
    <cellStyle name="Vírgula 3 6 5 4 3" xfId="5654" xr:uid="{00000000-0005-0000-0000-000033300000}"/>
    <cellStyle name="Vírgula 3 6 5 4 3 2" xfId="12168" xr:uid="{00000000-0005-0000-0000-000034300000}"/>
    <cellStyle name="Vírgula 3 6 5 4 4" xfId="7884" xr:uid="{00000000-0005-0000-0000-000035300000}"/>
    <cellStyle name="Vírgula 3 6 5 5" xfId="2396" xr:uid="{00000000-0005-0000-0000-000036300000}"/>
    <cellStyle name="Vírgula 3 6 5 5 2" xfId="8912" xr:uid="{00000000-0005-0000-0000-000037300000}"/>
    <cellStyle name="Vírgula 3 6 5 6" xfId="4538" xr:uid="{00000000-0005-0000-0000-000038300000}"/>
    <cellStyle name="Vírgula 3 6 5 6 2" xfId="11052" xr:uid="{00000000-0005-0000-0000-000039300000}"/>
    <cellStyle name="Vírgula 3 6 5 7" xfId="6768" xr:uid="{00000000-0005-0000-0000-00003A300000}"/>
    <cellStyle name="Vírgula 3 6 6" xfId="395" xr:uid="{00000000-0005-0000-0000-00003B300000}"/>
    <cellStyle name="Vírgula 3 6 6 2" xfId="980" xr:uid="{00000000-0005-0000-0000-00003C300000}"/>
    <cellStyle name="Vírgula 3 6 6 2 2" xfId="2008" xr:uid="{00000000-0005-0000-0000-00003D300000}"/>
    <cellStyle name="Vírgula 3 6 6 2 2 2" xfId="4066" xr:uid="{00000000-0005-0000-0000-00003E300000}"/>
    <cellStyle name="Vírgula 3 6 6 2 2 2 2" xfId="10582" xr:uid="{00000000-0005-0000-0000-00003F300000}"/>
    <cellStyle name="Vírgula 3 6 6 2 2 3" xfId="6296" xr:uid="{00000000-0005-0000-0000-000040300000}"/>
    <cellStyle name="Vírgula 3 6 6 2 2 3 2" xfId="12810" xr:uid="{00000000-0005-0000-0000-000041300000}"/>
    <cellStyle name="Vírgula 3 6 6 2 2 4" xfId="8526" xr:uid="{00000000-0005-0000-0000-000042300000}"/>
    <cellStyle name="Vírgula 3 6 6 2 3" xfId="3038" xr:uid="{00000000-0005-0000-0000-000043300000}"/>
    <cellStyle name="Vírgula 3 6 6 2 3 2" xfId="9554" xr:uid="{00000000-0005-0000-0000-000044300000}"/>
    <cellStyle name="Vírgula 3 6 6 2 4" xfId="5268" xr:uid="{00000000-0005-0000-0000-000045300000}"/>
    <cellStyle name="Vírgula 3 6 6 2 4 2" xfId="11782" xr:uid="{00000000-0005-0000-0000-000046300000}"/>
    <cellStyle name="Vírgula 3 6 6 2 5" xfId="7498" xr:uid="{00000000-0005-0000-0000-000047300000}"/>
    <cellStyle name="Vírgula 3 6 6 3" xfId="1494" xr:uid="{00000000-0005-0000-0000-000048300000}"/>
    <cellStyle name="Vírgula 3 6 6 3 2" xfId="3552" xr:uid="{00000000-0005-0000-0000-000049300000}"/>
    <cellStyle name="Vírgula 3 6 6 3 2 2" xfId="10068" xr:uid="{00000000-0005-0000-0000-00004A300000}"/>
    <cellStyle name="Vírgula 3 6 6 3 3" xfId="5782" xr:uid="{00000000-0005-0000-0000-00004B300000}"/>
    <cellStyle name="Vírgula 3 6 6 3 3 2" xfId="12296" xr:uid="{00000000-0005-0000-0000-00004C300000}"/>
    <cellStyle name="Vírgula 3 6 6 3 4" xfId="8012" xr:uid="{00000000-0005-0000-0000-00004D300000}"/>
    <cellStyle name="Vírgula 3 6 6 4" xfId="2524" xr:uid="{00000000-0005-0000-0000-00004E300000}"/>
    <cellStyle name="Vírgula 3 6 6 4 2" xfId="9040" xr:uid="{00000000-0005-0000-0000-00004F300000}"/>
    <cellStyle name="Vírgula 3 6 6 5" xfId="4691" xr:uid="{00000000-0005-0000-0000-000050300000}"/>
    <cellStyle name="Vírgula 3 6 6 5 2" xfId="11205" xr:uid="{00000000-0005-0000-0000-000051300000}"/>
    <cellStyle name="Vírgula 3 6 6 6" xfId="6921" xr:uid="{00000000-0005-0000-0000-000052300000}"/>
    <cellStyle name="Vírgula 3 6 7" xfId="724" xr:uid="{00000000-0005-0000-0000-000053300000}"/>
    <cellStyle name="Vírgula 3 6 7 2" xfId="1752" xr:uid="{00000000-0005-0000-0000-000054300000}"/>
    <cellStyle name="Vírgula 3 6 7 2 2" xfId="3810" xr:uid="{00000000-0005-0000-0000-000055300000}"/>
    <cellStyle name="Vírgula 3 6 7 2 2 2" xfId="10326" xr:uid="{00000000-0005-0000-0000-000056300000}"/>
    <cellStyle name="Vírgula 3 6 7 2 3" xfId="6040" xr:uid="{00000000-0005-0000-0000-000057300000}"/>
    <cellStyle name="Vírgula 3 6 7 2 3 2" xfId="12554" xr:uid="{00000000-0005-0000-0000-000058300000}"/>
    <cellStyle name="Vírgula 3 6 7 2 4" xfId="8270" xr:uid="{00000000-0005-0000-0000-000059300000}"/>
    <cellStyle name="Vírgula 3 6 7 3" xfId="2782" xr:uid="{00000000-0005-0000-0000-00005A300000}"/>
    <cellStyle name="Vírgula 3 6 7 3 2" xfId="9298" xr:uid="{00000000-0005-0000-0000-00005B300000}"/>
    <cellStyle name="Vírgula 3 6 7 4" xfId="5012" xr:uid="{00000000-0005-0000-0000-00005C300000}"/>
    <cellStyle name="Vírgula 3 6 7 4 2" xfId="11526" xr:uid="{00000000-0005-0000-0000-00005D300000}"/>
    <cellStyle name="Vírgula 3 6 7 5" xfId="7242" xr:uid="{00000000-0005-0000-0000-00005E300000}"/>
    <cellStyle name="Vírgula 3 6 8" xfId="1238" xr:uid="{00000000-0005-0000-0000-00005F300000}"/>
    <cellStyle name="Vírgula 3 6 8 2" xfId="3296" xr:uid="{00000000-0005-0000-0000-000060300000}"/>
    <cellStyle name="Vírgula 3 6 8 2 2" xfId="9812" xr:uid="{00000000-0005-0000-0000-000061300000}"/>
    <cellStyle name="Vírgula 3 6 8 3" xfId="5526" xr:uid="{00000000-0005-0000-0000-000062300000}"/>
    <cellStyle name="Vírgula 3 6 8 3 2" xfId="12040" xr:uid="{00000000-0005-0000-0000-000063300000}"/>
    <cellStyle name="Vírgula 3 6 8 4" xfId="7756" xr:uid="{00000000-0005-0000-0000-000064300000}"/>
    <cellStyle name="Vírgula 3 6 9" xfId="2268" xr:uid="{00000000-0005-0000-0000-000065300000}"/>
    <cellStyle name="Vírgula 3 6 9 2" xfId="8784" xr:uid="{00000000-0005-0000-0000-000066300000}"/>
    <cellStyle name="Vírgula 3 7" xfId="62" xr:uid="{00000000-0005-0000-0000-000067300000}"/>
    <cellStyle name="Vírgula 3 7 10" xfId="6589" xr:uid="{00000000-0005-0000-0000-000068300000}"/>
    <cellStyle name="Vírgula 3 7 2" xfId="136" xr:uid="{00000000-0005-0000-0000-000069300000}"/>
    <cellStyle name="Vírgula 3 7 2 2" xfId="213" xr:uid="{00000000-0005-0000-0000-00006A300000}"/>
    <cellStyle name="Vírgula 3 7 2 2 2" xfId="341" xr:uid="{00000000-0005-0000-0000-00006B300000}"/>
    <cellStyle name="Vírgula 3 7 2 2 2 2" xfId="684" xr:uid="{00000000-0005-0000-0000-00006C300000}"/>
    <cellStyle name="Vírgula 3 7 2 2 2 2 2" xfId="1208" xr:uid="{00000000-0005-0000-0000-00006D300000}"/>
    <cellStyle name="Vírgula 3 7 2 2 2 2 2 2" xfId="2236" xr:uid="{00000000-0005-0000-0000-00006E300000}"/>
    <cellStyle name="Vírgula 3 7 2 2 2 2 2 2 2" xfId="4294" xr:uid="{00000000-0005-0000-0000-00006F300000}"/>
    <cellStyle name="Vírgula 3 7 2 2 2 2 2 2 2 2" xfId="10810" xr:uid="{00000000-0005-0000-0000-000070300000}"/>
    <cellStyle name="Vírgula 3 7 2 2 2 2 2 2 3" xfId="6524" xr:uid="{00000000-0005-0000-0000-000071300000}"/>
    <cellStyle name="Vírgula 3 7 2 2 2 2 2 2 3 2" xfId="13038" xr:uid="{00000000-0005-0000-0000-000072300000}"/>
    <cellStyle name="Vírgula 3 7 2 2 2 2 2 2 4" xfId="8754" xr:uid="{00000000-0005-0000-0000-000073300000}"/>
    <cellStyle name="Vírgula 3 7 2 2 2 2 2 3" xfId="3266" xr:uid="{00000000-0005-0000-0000-000074300000}"/>
    <cellStyle name="Vírgula 3 7 2 2 2 2 2 3 2" xfId="9782" xr:uid="{00000000-0005-0000-0000-000075300000}"/>
    <cellStyle name="Vírgula 3 7 2 2 2 2 2 4" xfId="5496" xr:uid="{00000000-0005-0000-0000-000076300000}"/>
    <cellStyle name="Vírgula 3 7 2 2 2 2 2 4 2" xfId="12010" xr:uid="{00000000-0005-0000-0000-000077300000}"/>
    <cellStyle name="Vírgula 3 7 2 2 2 2 2 5" xfId="7726" xr:uid="{00000000-0005-0000-0000-000078300000}"/>
    <cellStyle name="Vírgula 3 7 2 2 2 2 3" xfId="1722" xr:uid="{00000000-0005-0000-0000-000079300000}"/>
    <cellStyle name="Vírgula 3 7 2 2 2 2 3 2" xfId="3780" xr:uid="{00000000-0005-0000-0000-00007A300000}"/>
    <cellStyle name="Vírgula 3 7 2 2 2 2 3 2 2" xfId="10296" xr:uid="{00000000-0005-0000-0000-00007B300000}"/>
    <cellStyle name="Vírgula 3 7 2 2 2 2 3 3" xfId="6010" xr:uid="{00000000-0005-0000-0000-00007C300000}"/>
    <cellStyle name="Vírgula 3 7 2 2 2 2 3 3 2" xfId="12524" xr:uid="{00000000-0005-0000-0000-00007D300000}"/>
    <cellStyle name="Vírgula 3 7 2 2 2 2 3 4" xfId="8240" xr:uid="{00000000-0005-0000-0000-00007E300000}"/>
    <cellStyle name="Vírgula 3 7 2 2 2 2 4" xfId="2752" xr:uid="{00000000-0005-0000-0000-00007F300000}"/>
    <cellStyle name="Vírgula 3 7 2 2 2 2 4 2" xfId="9268" xr:uid="{00000000-0005-0000-0000-000080300000}"/>
    <cellStyle name="Vírgula 3 7 2 2 2 2 5" xfId="4980" xr:uid="{00000000-0005-0000-0000-000081300000}"/>
    <cellStyle name="Vírgula 3 7 2 2 2 2 5 2" xfId="11494" xr:uid="{00000000-0005-0000-0000-000082300000}"/>
    <cellStyle name="Vírgula 3 7 2 2 2 2 6" xfId="7210" xr:uid="{00000000-0005-0000-0000-000083300000}"/>
    <cellStyle name="Vírgula 3 7 2 2 2 3" xfId="952" xr:uid="{00000000-0005-0000-0000-000084300000}"/>
    <cellStyle name="Vírgula 3 7 2 2 2 3 2" xfId="1980" xr:uid="{00000000-0005-0000-0000-000085300000}"/>
    <cellStyle name="Vírgula 3 7 2 2 2 3 2 2" xfId="4038" xr:uid="{00000000-0005-0000-0000-000086300000}"/>
    <cellStyle name="Vírgula 3 7 2 2 2 3 2 2 2" xfId="10554" xr:uid="{00000000-0005-0000-0000-000087300000}"/>
    <cellStyle name="Vírgula 3 7 2 2 2 3 2 3" xfId="6268" xr:uid="{00000000-0005-0000-0000-000088300000}"/>
    <cellStyle name="Vírgula 3 7 2 2 2 3 2 3 2" xfId="12782" xr:uid="{00000000-0005-0000-0000-000089300000}"/>
    <cellStyle name="Vírgula 3 7 2 2 2 3 2 4" xfId="8498" xr:uid="{00000000-0005-0000-0000-00008A300000}"/>
    <cellStyle name="Vírgula 3 7 2 2 2 3 3" xfId="3010" xr:uid="{00000000-0005-0000-0000-00008B300000}"/>
    <cellStyle name="Vírgula 3 7 2 2 2 3 3 2" xfId="9526" xr:uid="{00000000-0005-0000-0000-00008C300000}"/>
    <cellStyle name="Vírgula 3 7 2 2 2 3 4" xfId="5240" xr:uid="{00000000-0005-0000-0000-00008D300000}"/>
    <cellStyle name="Vírgula 3 7 2 2 2 3 4 2" xfId="11754" xr:uid="{00000000-0005-0000-0000-00008E300000}"/>
    <cellStyle name="Vírgula 3 7 2 2 2 3 5" xfId="7470" xr:uid="{00000000-0005-0000-0000-00008F300000}"/>
    <cellStyle name="Vírgula 3 7 2 2 2 4" xfId="1466" xr:uid="{00000000-0005-0000-0000-000090300000}"/>
    <cellStyle name="Vírgula 3 7 2 2 2 4 2" xfId="3524" xr:uid="{00000000-0005-0000-0000-000091300000}"/>
    <cellStyle name="Vírgula 3 7 2 2 2 4 2 2" xfId="10040" xr:uid="{00000000-0005-0000-0000-000092300000}"/>
    <cellStyle name="Vírgula 3 7 2 2 2 4 3" xfId="5754" xr:uid="{00000000-0005-0000-0000-000093300000}"/>
    <cellStyle name="Vírgula 3 7 2 2 2 4 3 2" xfId="12268" xr:uid="{00000000-0005-0000-0000-000094300000}"/>
    <cellStyle name="Vírgula 3 7 2 2 2 4 4" xfId="7984" xr:uid="{00000000-0005-0000-0000-000095300000}"/>
    <cellStyle name="Vírgula 3 7 2 2 2 5" xfId="2496" xr:uid="{00000000-0005-0000-0000-000096300000}"/>
    <cellStyle name="Vírgula 3 7 2 2 2 5 2" xfId="9012" xr:uid="{00000000-0005-0000-0000-000097300000}"/>
    <cellStyle name="Vírgula 3 7 2 2 2 6" xfId="4638" xr:uid="{00000000-0005-0000-0000-000098300000}"/>
    <cellStyle name="Vírgula 3 7 2 2 2 6 2" xfId="11152" xr:uid="{00000000-0005-0000-0000-000099300000}"/>
    <cellStyle name="Vírgula 3 7 2 2 2 7" xfId="6868" xr:uid="{00000000-0005-0000-0000-00009A300000}"/>
    <cellStyle name="Vírgula 3 7 2 2 3" xfId="556" xr:uid="{00000000-0005-0000-0000-00009B300000}"/>
    <cellStyle name="Vírgula 3 7 2 2 3 2" xfId="1080" xr:uid="{00000000-0005-0000-0000-00009C300000}"/>
    <cellStyle name="Vírgula 3 7 2 2 3 2 2" xfId="2108" xr:uid="{00000000-0005-0000-0000-00009D300000}"/>
    <cellStyle name="Vírgula 3 7 2 2 3 2 2 2" xfId="4166" xr:uid="{00000000-0005-0000-0000-00009E300000}"/>
    <cellStyle name="Vírgula 3 7 2 2 3 2 2 2 2" xfId="10682" xr:uid="{00000000-0005-0000-0000-00009F300000}"/>
    <cellStyle name="Vírgula 3 7 2 2 3 2 2 3" xfId="6396" xr:uid="{00000000-0005-0000-0000-0000A0300000}"/>
    <cellStyle name="Vírgula 3 7 2 2 3 2 2 3 2" xfId="12910" xr:uid="{00000000-0005-0000-0000-0000A1300000}"/>
    <cellStyle name="Vírgula 3 7 2 2 3 2 2 4" xfId="8626" xr:uid="{00000000-0005-0000-0000-0000A2300000}"/>
    <cellStyle name="Vírgula 3 7 2 2 3 2 3" xfId="3138" xr:uid="{00000000-0005-0000-0000-0000A3300000}"/>
    <cellStyle name="Vírgula 3 7 2 2 3 2 3 2" xfId="9654" xr:uid="{00000000-0005-0000-0000-0000A4300000}"/>
    <cellStyle name="Vírgula 3 7 2 2 3 2 4" xfId="5368" xr:uid="{00000000-0005-0000-0000-0000A5300000}"/>
    <cellStyle name="Vírgula 3 7 2 2 3 2 4 2" xfId="11882" xr:uid="{00000000-0005-0000-0000-0000A6300000}"/>
    <cellStyle name="Vírgula 3 7 2 2 3 2 5" xfId="7598" xr:uid="{00000000-0005-0000-0000-0000A7300000}"/>
    <cellStyle name="Vírgula 3 7 2 2 3 3" xfId="1594" xr:uid="{00000000-0005-0000-0000-0000A8300000}"/>
    <cellStyle name="Vírgula 3 7 2 2 3 3 2" xfId="3652" xr:uid="{00000000-0005-0000-0000-0000A9300000}"/>
    <cellStyle name="Vírgula 3 7 2 2 3 3 2 2" xfId="10168" xr:uid="{00000000-0005-0000-0000-0000AA300000}"/>
    <cellStyle name="Vírgula 3 7 2 2 3 3 3" xfId="5882" xr:uid="{00000000-0005-0000-0000-0000AB300000}"/>
    <cellStyle name="Vírgula 3 7 2 2 3 3 3 2" xfId="12396" xr:uid="{00000000-0005-0000-0000-0000AC300000}"/>
    <cellStyle name="Vírgula 3 7 2 2 3 3 4" xfId="8112" xr:uid="{00000000-0005-0000-0000-0000AD300000}"/>
    <cellStyle name="Vírgula 3 7 2 2 3 4" xfId="2624" xr:uid="{00000000-0005-0000-0000-0000AE300000}"/>
    <cellStyle name="Vírgula 3 7 2 2 3 4 2" xfId="9140" xr:uid="{00000000-0005-0000-0000-0000AF300000}"/>
    <cellStyle name="Vírgula 3 7 2 2 3 5" xfId="4852" xr:uid="{00000000-0005-0000-0000-0000B0300000}"/>
    <cellStyle name="Vírgula 3 7 2 2 3 5 2" xfId="11366" xr:uid="{00000000-0005-0000-0000-0000B1300000}"/>
    <cellStyle name="Vírgula 3 7 2 2 3 6" xfId="7082" xr:uid="{00000000-0005-0000-0000-0000B2300000}"/>
    <cellStyle name="Vírgula 3 7 2 2 4" xfId="824" xr:uid="{00000000-0005-0000-0000-0000B3300000}"/>
    <cellStyle name="Vírgula 3 7 2 2 4 2" xfId="1852" xr:uid="{00000000-0005-0000-0000-0000B4300000}"/>
    <cellStyle name="Vírgula 3 7 2 2 4 2 2" xfId="3910" xr:uid="{00000000-0005-0000-0000-0000B5300000}"/>
    <cellStyle name="Vírgula 3 7 2 2 4 2 2 2" xfId="10426" xr:uid="{00000000-0005-0000-0000-0000B6300000}"/>
    <cellStyle name="Vírgula 3 7 2 2 4 2 3" xfId="6140" xr:uid="{00000000-0005-0000-0000-0000B7300000}"/>
    <cellStyle name="Vírgula 3 7 2 2 4 2 3 2" xfId="12654" xr:uid="{00000000-0005-0000-0000-0000B8300000}"/>
    <cellStyle name="Vírgula 3 7 2 2 4 2 4" xfId="8370" xr:uid="{00000000-0005-0000-0000-0000B9300000}"/>
    <cellStyle name="Vírgula 3 7 2 2 4 3" xfId="2882" xr:uid="{00000000-0005-0000-0000-0000BA300000}"/>
    <cellStyle name="Vírgula 3 7 2 2 4 3 2" xfId="9398" xr:uid="{00000000-0005-0000-0000-0000BB300000}"/>
    <cellStyle name="Vírgula 3 7 2 2 4 4" xfId="5112" xr:uid="{00000000-0005-0000-0000-0000BC300000}"/>
    <cellStyle name="Vírgula 3 7 2 2 4 4 2" xfId="11626" xr:uid="{00000000-0005-0000-0000-0000BD300000}"/>
    <cellStyle name="Vírgula 3 7 2 2 4 5" xfId="7342" xr:uid="{00000000-0005-0000-0000-0000BE300000}"/>
    <cellStyle name="Vírgula 3 7 2 2 5" xfId="1338" xr:uid="{00000000-0005-0000-0000-0000BF300000}"/>
    <cellStyle name="Vírgula 3 7 2 2 5 2" xfId="3396" xr:uid="{00000000-0005-0000-0000-0000C0300000}"/>
    <cellStyle name="Vírgula 3 7 2 2 5 2 2" xfId="9912" xr:uid="{00000000-0005-0000-0000-0000C1300000}"/>
    <cellStyle name="Vírgula 3 7 2 2 5 3" xfId="5626" xr:uid="{00000000-0005-0000-0000-0000C2300000}"/>
    <cellStyle name="Vírgula 3 7 2 2 5 3 2" xfId="12140" xr:uid="{00000000-0005-0000-0000-0000C3300000}"/>
    <cellStyle name="Vírgula 3 7 2 2 5 4" xfId="7856" xr:uid="{00000000-0005-0000-0000-0000C4300000}"/>
    <cellStyle name="Vírgula 3 7 2 2 6" xfId="2368" xr:uid="{00000000-0005-0000-0000-0000C5300000}"/>
    <cellStyle name="Vírgula 3 7 2 2 6 2" xfId="8884" xr:uid="{00000000-0005-0000-0000-0000C6300000}"/>
    <cellStyle name="Vírgula 3 7 2 2 7" xfId="4510" xr:uid="{00000000-0005-0000-0000-0000C7300000}"/>
    <cellStyle name="Vírgula 3 7 2 2 7 2" xfId="11024" xr:uid="{00000000-0005-0000-0000-0000C8300000}"/>
    <cellStyle name="Vírgula 3 7 2 2 8" xfId="6740" xr:uid="{00000000-0005-0000-0000-0000C9300000}"/>
    <cellStyle name="Vírgula 3 7 2 3" xfId="277" xr:uid="{00000000-0005-0000-0000-0000CA300000}"/>
    <cellStyle name="Vírgula 3 7 2 3 2" xfId="620" xr:uid="{00000000-0005-0000-0000-0000CB300000}"/>
    <cellStyle name="Vírgula 3 7 2 3 2 2" xfId="1144" xr:uid="{00000000-0005-0000-0000-0000CC300000}"/>
    <cellStyle name="Vírgula 3 7 2 3 2 2 2" xfId="2172" xr:uid="{00000000-0005-0000-0000-0000CD300000}"/>
    <cellStyle name="Vírgula 3 7 2 3 2 2 2 2" xfId="4230" xr:uid="{00000000-0005-0000-0000-0000CE300000}"/>
    <cellStyle name="Vírgula 3 7 2 3 2 2 2 2 2" xfId="10746" xr:uid="{00000000-0005-0000-0000-0000CF300000}"/>
    <cellStyle name="Vírgula 3 7 2 3 2 2 2 3" xfId="6460" xr:uid="{00000000-0005-0000-0000-0000D0300000}"/>
    <cellStyle name="Vírgula 3 7 2 3 2 2 2 3 2" xfId="12974" xr:uid="{00000000-0005-0000-0000-0000D1300000}"/>
    <cellStyle name="Vírgula 3 7 2 3 2 2 2 4" xfId="8690" xr:uid="{00000000-0005-0000-0000-0000D2300000}"/>
    <cellStyle name="Vírgula 3 7 2 3 2 2 3" xfId="3202" xr:uid="{00000000-0005-0000-0000-0000D3300000}"/>
    <cellStyle name="Vírgula 3 7 2 3 2 2 3 2" xfId="9718" xr:uid="{00000000-0005-0000-0000-0000D4300000}"/>
    <cellStyle name="Vírgula 3 7 2 3 2 2 4" xfId="5432" xr:uid="{00000000-0005-0000-0000-0000D5300000}"/>
    <cellStyle name="Vírgula 3 7 2 3 2 2 4 2" xfId="11946" xr:uid="{00000000-0005-0000-0000-0000D6300000}"/>
    <cellStyle name="Vírgula 3 7 2 3 2 2 5" xfId="7662" xr:uid="{00000000-0005-0000-0000-0000D7300000}"/>
    <cellStyle name="Vírgula 3 7 2 3 2 3" xfId="1658" xr:uid="{00000000-0005-0000-0000-0000D8300000}"/>
    <cellStyle name="Vírgula 3 7 2 3 2 3 2" xfId="3716" xr:uid="{00000000-0005-0000-0000-0000D9300000}"/>
    <cellStyle name="Vírgula 3 7 2 3 2 3 2 2" xfId="10232" xr:uid="{00000000-0005-0000-0000-0000DA300000}"/>
    <cellStyle name="Vírgula 3 7 2 3 2 3 3" xfId="5946" xr:uid="{00000000-0005-0000-0000-0000DB300000}"/>
    <cellStyle name="Vírgula 3 7 2 3 2 3 3 2" xfId="12460" xr:uid="{00000000-0005-0000-0000-0000DC300000}"/>
    <cellStyle name="Vírgula 3 7 2 3 2 3 4" xfId="8176" xr:uid="{00000000-0005-0000-0000-0000DD300000}"/>
    <cellStyle name="Vírgula 3 7 2 3 2 4" xfId="2688" xr:uid="{00000000-0005-0000-0000-0000DE300000}"/>
    <cellStyle name="Vírgula 3 7 2 3 2 4 2" xfId="9204" xr:uid="{00000000-0005-0000-0000-0000DF300000}"/>
    <cellStyle name="Vírgula 3 7 2 3 2 5" xfId="4916" xr:uid="{00000000-0005-0000-0000-0000E0300000}"/>
    <cellStyle name="Vírgula 3 7 2 3 2 5 2" xfId="11430" xr:uid="{00000000-0005-0000-0000-0000E1300000}"/>
    <cellStyle name="Vírgula 3 7 2 3 2 6" xfId="7146" xr:uid="{00000000-0005-0000-0000-0000E2300000}"/>
    <cellStyle name="Vírgula 3 7 2 3 3" xfId="888" xr:uid="{00000000-0005-0000-0000-0000E3300000}"/>
    <cellStyle name="Vírgula 3 7 2 3 3 2" xfId="1916" xr:uid="{00000000-0005-0000-0000-0000E4300000}"/>
    <cellStyle name="Vírgula 3 7 2 3 3 2 2" xfId="3974" xr:uid="{00000000-0005-0000-0000-0000E5300000}"/>
    <cellStyle name="Vírgula 3 7 2 3 3 2 2 2" xfId="10490" xr:uid="{00000000-0005-0000-0000-0000E6300000}"/>
    <cellStyle name="Vírgula 3 7 2 3 3 2 3" xfId="6204" xr:uid="{00000000-0005-0000-0000-0000E7300000}"/>
    <cellStyle name="Vírgula 3 7 2 3 3 2 3 2" xfId="12718" xr:uid="{00000000-0005-0000-0000-0000E8300000}"/>
    <cellStyle name="Vírgula 3 7 2 3 3 2 4" xfId="8434" xr:uid="{00000000-0005-0000-0000-0000E9300000}"/>
    <cellStyle name="Vírgula 3 7 2 3 3 3" xfId="2946" xr:uid="{00000000-0005-0000-0000-0000EA300000}"/>
    <cellStyle name="Vírgula 3 7 2 3 3 3 2" xfId="9462" xr:uid="{00000000-0005-0000-0000-0000EB300000}"/>
    <cellStyle name="Vírgula 3 7 2 3 3 4" xfId="5176" xr:uid="{00000000-0005-0000-0000-0000EC300000}"/>
    <cellStyle name="Vírgula 3 7 2 3 3 4 2" xfId="11690" xr:uid="{00000000-0005-0000-0000-0000ED300000}"/>
    <cellStyle name="Vírgula 3 7 2 3 3 5" xfId="7406" xr:uid="{00000000-0005-0000-0000-0000EE300000}"/>
    <cellStyle name="Vírgula 3 7 2 3 4" xfId="1402" xr:uid="{00000000-0005-0000-0000-0000EF300000}"/>
    <cellStyle name="Vírgula 3 7 2 3 4 2" xfId="3460" xr:uid="{00000000-0005-0000-0000-0000F0300000}"/>
    <cellStyle name="Vírgula 3 7 2 3 4 2 2" xfId="9976" xr:uid="{00000000-0005-0000-0000-0000F1300000}"/>
    <cellStyle name="Vírgula 3 7 2 3 4 3" xfId="5690" xr:uid="{00000000-0005-0000-0000-0000F2300000}"/>
    <cellStyle name="Vírgula 3 7 2 3 4 3 2" xfId="12204" xr:uid="{00000000-0005-0000-0000-0000F3300000}"/>
    <cellStyle name="Vírgula 3 7 2 3 4 4" xfId="7920" xr:uid="{00000000-0005-0000-0000-0000F4300000}"/>
    <cellStyle name="Vírgula 3 7 2 3 5" xfId="2432" xr:uid="{00000000-0005-0000-0000-0000F5300000}"/>
    <cellStyle name="Vírgula 3 7 2 3 5 2" xfId="8948" xr:uid="{00000000-0005-0000-0000-0000F6300000}"/>
    <cellStyle name="Vírgula 3 7 2 3 6" xfId="4574" xr:uid="{00000000-0005-0000-0000-0000F7300000}"/>
    <cellStyle name="Vírgula 3 7 2 3 6 2" xfId="11088" xr:uid="{00000000-0005-0000-0000-0000F8300000}"/>
    <cellStyle name="Vírgula 3 7 2 3 7" xfId="6804" xr:uid="{00000000-0005-0000-0000-0000F9300000}"/>
    <cellStyle name="Vírgula 3 7 2 4" xfId="479" xr:uid="{00000000-0005-0000-0000-0000FA300000}"/>
    <cellStyle name="Vírgula 3 7 2 4 2" xfId="1016" xr:uid="{00000000-0005-0000-0000-0000FB300000}"/>
    <cellStyle name="Vírgula 3 7 2 4 2 2" xfId="2044" xr:uid="{00000000-0005-0000-0000-0000FC300000}"/>
    <cellStyle name="Vírgula 3 7 2 4 2 2 2" xfId="4102" xr:uid="{00000000-0005-0000-0000-0000FD300000}"/>
    <cellStyle name="Vírgula 3 7 2 4 2 2 2 2" xfId="10618" xr:uid="{00000000-0005-0000-0000-0000FE300000}"/>
    <cellStyle name="Vírgula 3 7 2 4 2 2 3" xfId="6332" xr:uid="{00000000-0005-0000-0000-0000FF300000}"/>
    <cellStyle name="Vírgula 3 7 2 4 2 2 3 2" xfId="12846" xr:uid="{00000000-0005-0000-0000-000000310000}"/>
    <cellStyle name="Vírgula 3 7 2 4 2 2 4" xfId="8562" xr:uid="{00000000-0005-0000-0000-000001310000}"/>
    <cellStyle name="Vírgula 3 7 2 4 2 3" xfId="3074" xr:uid="{00000000-0005-0000-0000-000002310000}"/>
    <cellStyle name="Vírgula 3 7 2 4 2 3 2" xfId="9590" xr:uid="{00000000-0005-0000-0000-000003310000}"/>
    <cellStyle name="Vírgula 3 7 2 4 2 4" xfId="5304" xr:uid="{00000000-0005-0000-0000-000004310000}"/>
    <cellStyle name="Vírgula 3 7 2 4 2 4 2" xfId="11818" xr:uid="{00000000-0005-0000-0000-000005310000}"/>
    <cellStyle name="Vírgula 3 7 2 4 2 5" xfId="7534" xr:uid="{00000000-0005-0000-0000-000006310000}"/>
    <cellStyle name="Vírgula 3 7 2 4 3" xfId="1530" xr:uid="{00000000-0005-0000-0000-000007310000}"/>
    <cellStyle name="Vírgula 3 7 2 4 3 2" xfId="3588" xr:uid="{00000000-0005-0000-0000-000008310000}"/>
    <cellStyle name="Vírgula 3 7 2 4 3 2 2" xfId="10104" xr:uid="{00000000-0005-0000-0000-000009310000}"/>
    <cellStyle name="Vírgula 3 7 2 4 3 3" xfId="5818" xr:uid="{00000000-0005-0000-0000-00000A310000}"/>
    <cellStyle name="Vírgula 3 7 2 4 3 3 2" xfId="12332" xr:uid="{00000000-0005-0000-0000-00000B310000}"/>
    <cellStyle name="Vírgula 3 7 2 4 3 4" xfId="8048" xr:uid="{00000000-0005-0000-0000-00000C310000}"/>
    <cellStyle name="Vírgula 3 7 2 4 4" xfId="2560" xr:uid="{00000000-0005-0000-0000-00000D310000}"/>
    <cellStyle name="Vírgula 3 7 2 4 4 2" xfId="9076" xr:uid="{00000000-0005-0000-0000-00000E310000}"/>
    <cellStyle name="Vírgula 3 7 2 4 5" xfId="4775" xr:uid="{00000000-0005-0000-0000-00000F310000}"/>
    <cellStyle name="Vírgula 3 7 2 4 5 2" xfId="11289" xr:uid="{00000000-0005-0000-0000-000010310000}"/>
    <cellStyle name="Vírgula 3 7 2 4 6" xfId="7005" xr:uid="{00000000-0005-0000-0000-000011310000}"/>
    <cellStyle name="Vírgula 3 7 2 5" xfId="760" xr:uid="{00000000-0005-0000-0000-000012310000}"/>
    <cellStyle name="Vírgula 3 7 2 5 2" xfId="1788" xr:uid="{00000000-0005-0000-0000-000013310000}"/>
    <cellStyle name="Vírgula 3 7 2 5 2 2" xfId="3846" xr:uid="{00000000-0005-0000-0000-000014310000}"/>
    <cellStyle name="Vírgula 3 7 2 5 2 2 2" xfId="10362" xr:uid="{00000000-0005-0000-0000-000015310000}"/>
    <cellStyle name="Vírgula 3 7 2 5 2 3" xfId="6076" xr:uid="{00000000-0005-0000-0000-000016310000}"/>
    <cellStyle name="Vírgula 3 7 2 5 2 3 2" xfId="12590" xr:uid="{00000000-0005-0000-0000-000017310000}"/>
    <cellStyle name="Vírgula 3 7 2 5 2 4" xfId="8306" xr:uid="{00000000-0005-0000-0000-000018310000}"/>
    <cellStyle name="Vírgula 3 7 2 5 3" xfId="2818" xr:uid="{00000000-0005-0000-0000-000019310000}"/>
    <cellStyle name="Vírgula 3 7 2 5 3 2" xfId="9334" xr:uid="{00000000-0005-0000-0000-00001A310000}"/>
    <cellStyle name="Vírgula 3 7 2 5 4" xfId="5048" xr:uid="{00000000-0005-0000-0000-00001B310000}"/>
    <cellStyle name="Vírgula 3 7 2 5 4 2" xfId="11562" xr:uid="{00000000-0005-0000-0000-00001C310000}"/>
    <cellStyle name="Vírgula 3 7 2 5 5" xfId="7278" xr:uid="{00000000-0005-0000-0000-00001D310000}"/>
    <cellStyle name="Vírgula 3 7 2 6" xfId="1274" xr:uid="{00000000-0005-0000-0000-00001E310000}"/>
    <cellStyle name="Vírgula 3 7 2 6 2" xfId="3332" xr:uid="{00000000-0005-0000-0000-00001F310000}"/>
    <cellStyle name="Vírgula 3 7 2 6 2 2" xfId="9848" xr:uid="{00000000-0005-0000-0000-000020310000}"/>
    <cellStyle name="Vírgula 3 7 2 6 3" xfId="5562" xr:uid="{00000000-0005-0000-0000-000021310000}"/>
    <cellStyle name="Vírgula 3 7 2 6 3 2" xfId="12076" xr:uid="{00000000-0005-0000-0000-000022310000}"/>
    <cellStyle name="Vírgula 3 7 2 6 4" xfId="7792" xr:uid="{00000000-0005-0000-0000-000023310000}"/>
    <cellStyle name="Vírgula 3 7 2 7" xfId="2304" xr:uid="{00000000-0005-0000-0000-000024310000}"/>
    <cellStyle name="Vírgula 3 7 2 7 2" xfId="8820" xr:uid="{00000000-0005-0000-0000-000025310000}"/>
    <cellStyle name="Vírgula 3 7 2 8" xfId="4433" xr:uid="{00000000-0005-0000-0000-000026310000}"/>
    <cellStyle name="Vírgula 3 7 2 8 2" xfId="10947" xr:uid="{00000000-0005-0000-0000-000027310000}"/>
    <cellStyle name="Vírgula 3 7 2 9" xfId="6663" xr:uid="{00000000-0005-0000-0000-000028310000}"/>
    <cellStyle name="Vírgula 3 7 3" xfId="181" xr:uid="{00000000-0005-0000-0000-000029310000}"/>
    <cellStyle name="Vírgula 3 7 3 2" xfId="309" xr:uid="{00000000-0005-0000-0000-00002A310000}"/>
    <cellStyle name="Vírgula 3 7 3 2 2" xfId="652" xr:uid="{00000000-0005-0000-0000-00002B310000}"/>
    <cellStyle name="Vírgula 3 7 3 2 2 2" xfId="1176" xr:uid="{00000000-0005-0000-0000-00002C310000}"/>
    <cellStyle name="Vírgula 3 7 3 2 2 2 2" xfId="2204" xr:uid="{00000000-0005-0000-0000-00002D310000}"/>
    <cellStyle name="Vírgula 3 7 3 2 2 2 2 2" xfId="4262" xr:uid="{00000000-0005-0000-0000-00002E310000}"/>
    <cellStyle name="Vírgula 3 7 3 2 2 2 2 2 2" xfId="10778" xr:uid="{00000000-0005-0000-0000-00002F310000}"/>
    <cellStyle name="Vírgula 3 7 3 2 2 2 2 3" xfId="6492" xr:uid="{00000000-0005-0000-0000-000030310000}"/>
    <cellStyle name="Vírgula 3 7 3 2 2 2 2 3 2" xfId="13006" xr:uid="{00000000-0005-0000-0000-000031310000}"/>
    <cellStyle name="Vírgula 3 7 3 2 2 2 2 4" xfId="8722" xr:uid="{00000000-0005-0000-0000-000032310000}"/>
    <cellStyle name="Vírgula 3 7 3 2 2 2 3" xfId="3234" xr:uid="{00000000-0005-0000-0000-000033310000}"/>
    <cellStyle name="Vírgula 3 7 3 2 2 2 3 2" xfId="9750" xr:uid="{00000000-0005-0000-0000-000034310000}"/>
    <cellStyle name="Vírgula 3 7 3 2 2 2 4" xfId="5464" xr:uid="{00000000-0005-0000-0000-000035310000}"/>
    <cellStyle name="Vírgula 3 7 3 2 2 2 4 2" xfId="11978" xr:uid="{00000000-0005-0000-0000-000036310000}"/>
    <cellStyle name="Vírgula 3 7 3 2 2 2 5" xfId="7694" xr:uid="{00000000-0005-0000-0000-000037310000}"/>
    <cellStyle name="Vírgula 3 7 3 2 2 3" xfId="1690" xr:uid="{00000000-0005-0000-0000-000038310000}"/>
    <cellStyle name="Vírgula 3 7 3 2 2 3 2" xfId="3748" xr:uid="{00000000-0005-0000-0000-000039310000}"/>
    <cellStyle name="Vírgula 3 7 3 2 2 3 2 2" xfId="10264" xr:uid="{00000000-0005-0000-0000-00003A310000}"/>
    <cellStyle name="Vírgula 3 7 3 2 2 3 3" xfId="5978" xr:uid="{00000000-0005-0000-0000-00003B310000}"/>
    <cellStyle name="Vírgula 3 7 3 2 2 3 3 2" xfId="12492" xr:uid="{00000000-0005-0000-0000-00003C310000}"/>
    <cellStyle name="Vírgula 3 7 3 2 2 3 4" xfId="8208" xr:uid="{00000000-0005-0000-0000-00003D310000}"/>
    <cellStyle name="Vírgula 3 7 3 2 2 4" xfId="2720" xr:uid="{00000000-0005-0000-0000-00003E310000}"/>
    <cellStyle name="Vírgula 3 7 3 2 2 4 2" xfId="9236" xr:uid="{00000000-0005-0000-0000-00003F310000}"/>
    <cellStyle name="Vírgula 3 7 3 2 2 5" xfId="4948" xr:uid="{00000000-0005-0000-0000-000040310000}"/>
    <cellStyle name="Vírgula 3 7 3 2 2 5 2" xfId="11462" xr:uid="{00000000-0005-0000-0000-000041310000}"/>
    <cellStyle name="Vírgula 3 7 3 2 2 6" xfId="7178" xr:uid="{00000000-0005-0000-0000-000042310000}"/>
    <cellStyle name="Vírgula 3 7 3 2 3" xfId="920" xr:uid="{00000000-0005-0000-0000-000043310000}"/>
    <cellStyle name="Vírgula 3 7 3 2 3 2" xfId="1948" xr:uid="{00000000-0005-0000-0000-000044310000}"/>
    <cellStyle name="Vírgula 3 7 3 2 3 2 2" xfId="4006" xr:uid="{00000000-0005-0000-0000-000045310000}"/>
    <cellStyle name="Vírgula 3 7 3 2 3 2 2 2" xfId="10522" xr:uid="{00000000-0005-0000-0000-000046310000}"/>
    <cellStyle name="Vírgula 3 7 3 2 3 2 3" xfId="6236" xr:uid="{00000000-0005-0000-0000-000047310000}"/>
    <cellStyle name="Vírgula 3 7 3 2 3 2 3 2" xfId="12750" xr:uid="{00000000-0005-0000-0000-000048310000}"/>
    <cellStyle name="Vírgula 3 7 3 2 3 2 4" xfId="8466" xr:uid="{00000000-0005-0000-0000-000049310000}"/>
    <cellStyle name="Vírgula 3 7 3 2 3 3" xfId="2978" xr:uid="{00000000-0005-0000-0000-00004A310000}"/>
    <cellStyle name="Vírgula 3 7 3 2 3 3 2" xfId="9494" xr:uid="{00000000-0005-0000-0000-00004B310000}"/>
    <cellStyle name="Vírgula 3 7 3 2 3 4" xfId="5208" xr:uid="{00000000-0005-0000-0000-00004C310000}"/>
    <cellStyle name="Vírgula 3 7 3 2 3 4 2" xfId="11722" xr:uid="{00000000-0005-0000-0000-00004D310000}"/>
    <cellStyle name="Vírgula 3 7 3 2 3 5" xfId="7438" xr:uid="{00000000-0005-0000-0000-00004E310000}"/>
    <cellStyle name="Vírgula 3 7 3 2 4" xfId="1434" xr:uid="{00000000-0005-0000-0000-00004F310000}"/>
    <cellStyle name="Vírgula 3 7 3 2 4 2" xfId="3492" xr:uid="{00000000-0005-0000-0000-000050310000}"/>
    <cellStyle name="Vírgula 3 7 3 2 4 2 2" xfId="10008" xr:uid="{00000000-0005-0000-0000-000051310000}"/>
    <cellStyle name="Vírgula 3 7 3 2 4 3" xfId="5722" xr:uid="{00000000-0005-0000-0000-000052310000}"/>
    <cellStyle name="Vírgula 3 7 3 2 4 3 2" xfId="12236" xr:uid="{00000000-0005-0000-0000-000053310000}"/>
    <cellStyle name="Vírgula 3 7 3 2 4 4" xfId="7952" xr:uid="{00000000-0005-0000-0000-000054310000}"/>
    <cellStyle name="Vírgula 3 7 3 2 5" xfId="2464" xr:uid="{00000000-0005-0000-0000-000055310000}"/>
    <cellStyle name="Vírgula 3 7 3 2 5 2" xfId="8980" xr:uid="{00000000-0005-0000-0000-000056310000}"/>
    <cellStyle name="Vírgula 3 7 3 2 6" xfId="4606" xr:uid="{00000000-0005-0000-0000-000057310000}"/>
    <cellStyle name="Vírgula 3 7 3 2 6 2" xfId="11120" xr:uid="{00000000-0005-0000-0000-000058310000}"/>
    <cellStyle name="Vírgula 3 7 3 2 7" xfId="6836" xr:uid="{00000000-0005-0000-0000-000059310000}"/>
    <cellStyle name="Vírgula 3 7 3 3" xfId="524" xr:uid="{00000000-0005-0000-0000-00005A310000}"/>
    <cellStyle name="Vírgula 3 7 3 3 2" xfId="1048" xr:uid="{00000000-0005-0000-0000-00005B310000}"/>
    <cellStyle name="Vírgula 3 7 3 3 2 2" xfId="2076" xr:uid="{00000000-0005-0000-0000-00005C310000}"/>
    <cellStyle name="Vírgula 3 7 3 3 2 2 2" xfId="4134" xr:uid="{00000000-0005-0000-0000-00005D310000}"/>
    <cellStyle name="Vírgula 3 7 3 3 2 2 2 2" xfId="10650" xr:uid="{00000000-0005-0000-0000-00005E310000}"/>
    <cellStyle name="Vírgula 3 7 3 3 2 2 3" xfId="6364" xr:uid="{00000000-0005-0000-0000-00005F310000}"/>
    <cellStyle name="Vírgula 3 7 3 3 2 2 3 2" xfId="12878" xr:uid="{00000000-0005-0000-0000-000060310000}"/>
    <cellStyle name="Vírgula 3 7 3 3 2 2 4" xfId="8594" xr:uid="{00000000-0005-0000-0000-000061310000}"/>
    <cellStyle name="Vírgula 3 7 3 3 2 3" xfId="3106" xr:uid="{00000000-0005-0000-0000-000062310000}"/>
    <cellStyle name="Vírgula 3 7 3 3 2 3 2" xfId="9622" xr:uid="{00000000-0005-0000-0000-000063310000}"/>
    <cellStyle name="Vírgula 3 7 3 3 2 4" xfId="5336" xr:uid="{00000000-0005-0000-0000-000064310000}"/>
    <cellStyle name="Vírgula 3 7 3 3 2 4 2" xfId="11850" xr:uid="{00000000-0005-0000-0000-000065310000}"/>
    <cellStyle name="Vírgula 3 7 3 3 2 5" xfId="7566" xr:uid="{00000000-0005-0000-0000-000066310000}"/>
    <cellStyle name="Vírgula 3 7 3 3 3" xfId="1562" xr:uid="{00000000-0005-0000-0000-000067310000}"/>
    <cellStyle name="Vírgula 3 7 3 3 3 2" xfId="3620" xr:uid="{00000000-0005-0000-0000-000068310000}"/>
    <cellStyle name="Vírgula 3 7 3 3 3 2 2" xfId="10136" xr:uid="{00000000-0005-0000-0000-000069310000}"/>
    <cellStyle name="Vírgula 3 7 3 3 3 3" xfId="5850" xr:uid="{00000000-0005-0000-0000-00006A310000}"/>
    <cellStyle name="Vírgula 3 7 3 3 3 3 2" xfId="12364" xr:uid="{00000000-0005-0000-0000-00006B310000}"/>
    <cellStyle name="Vírgula 3 7 3 3 3 4" xfId="8080" xr:uid="{00000000-0005-0000-0000-00006C310000}"/>
    <cellStyle name="Vírgula 3 7 3 3 4" xfId="2592" xr:uid="{00000000-0005-0000-0000-00006D310000}"/>
    <cellStyle name="Vírgula 3 7 3 3 4 2" xfId="9108" xr:uid="{00000000-0005-0000-0000-00006E310000}"/>
    <cellStyle name="Vírgula 3 7 3 3 5" xfId="4820" xr:uid="{00000000-0005-0000-0000-00006F310000}"/>
    <cellStyle name="Vírgula 3 7 3 3 5 2" xfId="11334" xr:uid="{00000000-0005-0000-0000-000070310000}"/>
    <cellStyle name="Vírgula 3 7 3 3 6" xfId="7050" xr:uid="{00000000-0005-0000-0000-000071310000}"/>
    <cellStyle name="Vírgula 3 7 3 4" xfId="792" xr:uid="{00000000-0005-0000-0000-000072310000}"/>
    <cellStyle name="Vírgula 3 7 3 4 2" xfId="1820" xr:uid="{00000000-0005-0000-0000-000073310000}"/>
    <cellStyle name="Vírgula 3 7 3 4 2 2" xfId="3878" xr:uid="{00000000-0005-0000-0000-000074310000}"/>
    <cellStyle name="Vírgula 3 7 3 4 2 2 2" xfId="10394" xr:uid="{00000000-0005-0000-0000-000075310000}"/>
    <cellStyle name="Vírgula 3 7 3 4 2 3" xfId="6108" xr:uid="{00000000-0005-0000-0000-000076310000}"/>
    <cellStyle name="Vírgula 3 7 3 4 2 3 2" xfId="12622" xr:uid="{00000000-0005-0000-0000-000077310000}"/>
    <cellStyle name="Vírgula 3 7 3 4 2 4" xfId="8338" xr:uid="{00000000-0005-0000-0000-000078310000}"/>
    <cellStyle name="Vírgula 3 7 3 4 3" xfId="2850" xr:uid="{00000000-0005-0000-0000-000079310000}"/>
    <cellStyle name="Vírgula 3 7 3 4 3 2" xfId="9366" xr:uid="{00000000-0005-0000-0000-00007A310000}"/>
    <cellStyle name="Vírgula 3 7 3 4 4" xfId="5080" xr:uid="{00000000-0005-0000-0000-00007B310000}"/>
    <cellStyle name="Vírgula 3 7 3 4 4 2" xfId="11594" xr:uid="{00000000-0005-0000-0000-00007C310000}"/>
    <cellStyle name="Vírgula 3 7 3 4 5" xfId="7310" xr:uid="{00000000-0005-0000-0000-00007D310000}"/>
    <cellStyle name="Vírgula 3 7 3 5" xfId="1306" xr:uid="{00000000-0005-0000-0000-00007E310000}"/>
    <cellStyle name="Vírgula 3 7 3 5 2" xfId="3364" xr:uid="{00000000-0005-0000-0000-00007F310000}"/>
    <cellStyle name="Vírgula 3 7 3 5 2 2" xfId="9880" xr:uid="{00000000-0005-0000-0000-000080310000}"/>
    <cellStyle name="Vírgula 3 7 3 5 3" xfId="5594" xr:uid="{00000000-0005-0000-0000-000081310000}"/>
    <cellStyle name="Vírgula 3 7 3 5 3 2" xfId="12108" xr:uid="{00000000-0005-0000-0000-000082310000}"/>
    <cellStyle name="Vírgula 3 7 3 5 4" xfId="7824" xr:uid="{00000000-0005-0000-0000-000083310000}"/>
    <cellStyle name="Vírgula 3 7 3 6" xfId="2336" xr:uid="{00000000-0005-0000-0000-000084310000}"/>
    <cellStyle name="Vírgula 3 7 3 6 2" xfId="8852" xr:uid="{00000000-0005-0000-0000-000085310000}"/>
    <cellStyle name="Vírgula 3 7 3 7" xfId="4478" xr:uid="{00000000-0005-0000-0000-000086310000}"/>
    <cellStyle name="Vírgula 3 7 3 7 2" xfId="10992" xr:uid="{00000000-0005-0000-0000-000087310000}"/>
    <cellStyle name="Vírgula 3 7 3 8" xfId="6708" xr:uid="{00000000-0005-0000-0000-000088310000}"/>
    <cellStyle name="Vírgula 3 7 4" xfId="245" xr:uid="{00000000-0005-0000-0000-000089310000}"/>
    <cellStyle name="Vírgula 3 7 4 2" xfId="588" xr:uid="{00000000-0005-0000-0000-00008A310000}"/>
    <cellStyle name="Vírgula 3 7 4 2 2" xfId="1112" xr:uid="{00000000-0005-0000-0000-00008B310000}"/>
    <cellStyle name="Vírgula 3 7 4 2 2 2" xfId="2140" xr:uid="{00000000-0005-0000-0000-00008C310000}"/>
    <cellStyle name="Vírgula 3 7 4 2 2 2 2" xfId="4198" xr:uid="{00000000-0005-0000-0000-00008D310000}"/>
    <cellStyle name="Vírgula 3 7 4 2 2 2 2 2" xfId="10714" xr:uid="{00000000-0005-0000-0000-00008E310000}"/>
    <cellStyle name="Vírgula 3 7 4 2 2 2 3" xfId="6428" xr:uid="{00000000-0005-0000-0000-00008F310000}"/>
    <cellStyle name="Vírgula 3 7 4 2 2 2 3 2" xfId="12942" xr:uid="{00000000-0005-0000-0000-000090310000}"/>
    <cellStyle name="Vírgula 3 7 4 2 2 2 4" xfId="8658" xr:uid="{00000000-0005-0000-0000-000091310000}"/>
    <cellStyle name="Vírgula 3 7 4 2 2 3" xfId="3170" xr:uid="{00000000-0005-0000-0000-000092310000}"/>
    <cellStyle name="Vírgula 3 7 4 2 2 3 2" xfId="9686" xr:uid="{00000000-0005-0000-0000-000093310000}"/>
    <cellStyle name="Vírgula 3 7 4 2 2 4" xfId="5400" xr:uid="{00000000-0005-0000-0000-000094310000}"/>
    <cellStyle name="Vírgula 3 7 4 2 2 4 2" xfId="11914" xr:uid="{00000000-0005-0000-0000-000095310000}"/>
    <cellStyle name="Vírgula 3 7 4 2 2 5" xfId="7630" xr:uid="{00000000-0005-0000-0000-000096310000}"/>
    <cellStyle name="Vírgula 3 7 4 2 3" xfId="1626" xr:uid="{00000000-0005-0000-0000-000097310000}"/>
    <cellStyle name="Vírgula 3 7 4 2 3 2" xfId="3684" xr:uid="{00000000-0005-0000-0000-000098310000}"/>
    <cellStyle name="Vírgula 3 7 4 2 3 2 2" xfId="10200" xr:uid="{00000000-0005-0000-0000-000099310000}"/>
    <cellStyle name="Vírgula 3 7 4 2 3 3" xfId="5914" xr:uid="{00000000-0005-0000-0000-00009A310000}"/>
    <cellStyle name="Vírgula 3 7 4 2 3 3 2" xfId="12428" xr:uid="{00000000-0005-0000-0000-00009B310000}"/>
    <cellStyle name="Vírgula 3 7 4 2 3 4" xfId="8144" xr:uid="{00000000-0005-0000-0000-00009C310000}"/>
    <cellStyle name="Vírgula 3 7 4 2 4" xfId="2656" xr:uid="{00000000-0005-0000-0000-00009D310000}"/>
    <cellStyle name="Vírgula 3 7 4 2 4 2" xfId="9172" xr:uid="{00000000-0005-0000-0000-00009E310000}"/>
    <cellStyle name="Vírgula 3 7 4 2 5" xfId="4884" xr:uid="{00000000-0005-0000-0000-00009F310000}"/>
    <cellStyle name="Vírgula 3 7 4 2 5 2" xfId="11398" xr:uid="{00000000-0005-0000-0000-0000A0310000}"/>
    <cellStyle name="Vírgula 3 7 4 2 6" xfId="7114" xr:uid="{00000000-0005-0000-0000-0000A1310000}"/>
    <cellStyle name="Vírgula 3 7 4 3" xfId="856" xr:uid="{00000000-0005-0000-0000-0000A2310000}"/>
    <cellStyle name="Vírgula 3 7 4 3 2" xfId="1884" xr:uid="{00000000-0005-0000-0000-0000A3310000}"/>
    <cellStyle name="Vírgula 3 7 4 3 2 2" xfId="3942" xr:uid="{00000000-0005-0000-0000-0000A4310000}"/>
    <cellStyle name="Vírgula 3 7 4 3 2 2 2" xfId="10458" xr:uid="{00000000-0005-0000-0000-0000A5310000}"/>
    <cellStyle name="Vírgula 3 7 4 3 2 3" xfId="6172" xr:uid="{00000000-0005-0000-0000-0000A6310000}"/>
    <cellStyle name="Vírgula 3 7 4 3 2 3 2" xfId="12686" xr:uid="{00000000-0005-0000-0000-0000A7310000}"/>
    <cellStyle name="Vírgula 3 7 4 3 2 4" xfId="8402" xr:uid="{00000000-0005-0000-0000-0000A8310000}"/>
    <cellStyle name="Vírgula 3 7 4 3 3" xfId="2914" xr:uid="{00000000-0005-0000-0000-0000A9310000}"/>
    <cellStyle name="Vírgula 3 7 4 3 3 2" xfId="9430" xr:uid="{00000000-0005-0000-0000-0000AA310000}"/>
    <cellStyle name="Vírgula 3 7 4 3 4" xfId="5144" xr:uid="{00000000-0005-0000-0000-0000AB310000}"/>
    <cellStyle name="Vírgula 3 7 4 3 4 2" xfId="11658" xr:uid="{00000000-0005-0000-0000-0000AC310000}"/>
    <cellStyle name="Vírgula 3 7 4 3 5" xfId="7374" xr:uid="{00000000-0005-0000-0000-0000AD310000}"/>
    <cellStyle name="Vírgula 3 7 4 4" xfId="1370" xr:uid="{00000000-0005-0000-0000-0000AE310000}"/>
    <cellStyle name="Vírgula 3 7 4 4 2" xfId="3428" xr:uid="{00000000-0005-0000-0000-0000AF310000}"/>
    <cellStyle name="Vírgula 3 7 4 4 2 2" xfId="9944" xr:uid="{00000000-0005-0000-0000-0000B0310000}"/>
    <cellStyle name="Vírgula 3 7 4 4 3" xfId="5658" xr:uid="{00000000-0005-0000-0000-0000B1310000}"/>
    <cellStyle name="Vírgula 3 7 4 4 3 2" xfId="12172" xr:uid="{00000000-0005-0000-0000-0000B2310000}"/>
    <cellStyle name="Vírgula 3 7 4 4 4" xfId="7888" xr:uid="{00000000-0005-0000-0000-0000B3310000}"/>
    <cellStyle name="Vírgula 3 7 4 5" xfId="2400" xr:uid="{00000000-0005-0000-0000-0000B4310000}"/>
    <cellStyle name="Vírgula 3 7 4 5 2" xfId="8916" xr:uid="{00000000-0005-0000-0000-0000B5310000}"/>
    <cellStyle name="Vírgula 3 7 4 6" xfId="4542" xr:uid="{00000000-0005-0000-0000-0000B6310000}"/>
    <cellStyle name="Vírgula 3 7 4 6 2" xfId="11056" xr:uid="{00000000-0005-0000-0000-0000B7310000}"/>
    <cellStyle name="Vírgula 3 7 4 7" xfId="6772" xr:uid="{00000000-0005-0000-0000-0000B8310000}"/>
    <cellStyle name="Vírgula 3 7 5" xfId="405" xr:uid="{00000000-0005-0000-0000-0000B9310000}"/>
    <cellStyle name="Vírgula 3 7 5 2" xfId="984" xr:uid="{00000000-0005-0000-0000-0000BA310000}"/>
    <cellStyle name="Vírgula 3 7 5 2 2" xfId="2012" xr:uid="{00000000-0005-0000-0000-0000BB310000}"/>
    <cellStyle name="Vírgula 3 7 5 2 2 2" xfId="4070" xr:uid="{00000000-0005-0000-0000-0000BC310000}"/>
    <cellStyle name="Vírgula 3 7 5 2 2 2 2" xfId="10586" xr:uid="{00000000-0005-0000-0000-0000BD310000}"/>
    <cellStyle name="Vírgula 3 7 5 2 2 3" xfId="6300" xr:uid="{00000000-0005-0000-0000-0000BE310000}"/>
    <cellStyle name="Vírgula 3 7 5 2 2 3 2" xfId="12814" xr:uid="{00000000-0005-0000-0000-0000BF310000}"/>
    <cellStyle name="Vírgula 3 7 5 2 2 4" xfId="8530" xr:uid="{00000000-0005-0000-0000-0000C0310000}"/>
    <cellStyle name="Vírgula 3 7 5 2 3" xfId="3042" xr:uid="{00000000-0005-0000-0000-0000C1310000}"/>
    <cellStyle name="Vírgula 3 7 5 2 3 2" xfId="9558" xr:uid="{00000000-0005-0000-0000-0000C2310000}"/>
    <cellStyle name="Vírgula 3 7 5 2 4" xfId="5272" xr:uid="{00000000-0005-0000-0000-0000C3310000}"/>
    <cellStyle name="Vírgula 3 7 5 2 4 2" xfId="11786" xr:uid="{00000000-0005-0000-0000-0000C4310000}"/>
    <cellStyle name="Vírgula 3 7 5 2 5" xfId="7502" xr:uid="{00000000-0005-0000-0000-0000C5310000}"/>
    <cellStyle name="Vírgula 3 7 5 3" xfId="1498" xr:uid="{00000000-0005-0000-0000-0000C6310000}"/>
    <cellStyle name="Vírgula 3 7 5 3 2" xfId="3556" xr:uid="{00000000-0005-0000-0000-0000C7310000}"/>
    <cellStyle name="Vírgula 3 7 5 3 2 2" xfId="10072" xr:uid="{00000000-0005-0000-0000-0000C8310000}"/>
    <cellStyle name="Vírgula 3 7 5 3 3" xfId="5786" xr:uid="{00000000-0005-0000-0000-0000C9310000}"/>
    <cellStyle name="Vírgula 3 7 5 3 3 2" xfId="12300" xr:uid="{00000000-0005-0000-0000-0000CA310000}"/>
    <cellStyle name="Vírgula 3 7 5 3 4" xfId="8016" xr:uid="{00000000-0005-0000-0000-0000CB310000}"/>
    <cellStyle name="Vírgula 3 7 5 4" xfId="2528" xr:uid="{00000000-0005-0000-0000-0000CC310000}"/>
    <cellStyle name="Vírgula 3 7 5 4 2" xfId="9044" xr:uid="{00000000-0005-0000-0000-0000CD310000}"/>
    <cellStyle name="Vírgula 3 7 5 5" xfId="4701" xr:uid="{00000000-0005-0000-0000-0000CE310000}"/>
    <cellStyle name="Vírgula 3 7 5 5 2" xfId="11215" xr:uid="{00000000-0005-0000-0000-0000CF310000}"/>
    <cellStyle name="Vírgula 3 7 5 6" xfId="6931" xr:uid="{00000000-0005-0000-0000-0000D0310000}"/>
    <cellStyle name="Vírgula 3 7 6" xfId="728" xr:uid="{00000000-0005-0000-0000-0000D1310000}"/>
    <cellStyle name="Vírgula 3 7 6 2" xfId="1756" xr:uid="{00000000-0005-0000-0000-0000D2310000}"/>
    <cellStyle name="Vírgula 3 7 6 2 2" xfId="3814" xr:uid="{00000000-0005-0000-0000-0000D3310000}"/>
    <cellStyle name="Vírgula 3 7 6 2 2 2" xfId="10330" xr:uid="{00000000-0005-0000-0000-0000D4310000}"/>
    <cellStyle name="Vírgula 3 7 6 2 3" xfId="6044" xr:uid="{00000000-0005-0000-0000-0000D5310000}"/>
    <cellStyle name="Vírgula 3 7 6 2 3 2" xfId="12558" xr:uid="{00000000-0005-0000-0000-0000D6310000}"/>
    <cellStyle name="Vírgula 3 7 6 2 4" xfId="8274" xr:uid="{00000000-0005-0000-0000-0000D7310000}"/>
    <cellStyle name="Vírgula 3 7 6 3" xfId="2786" xr:uid="{00000000-0005-0000-0000-0000D8310000}"/>
    <cellStyle name="Vírgula 3 7 6 3 2" xfId="9302" xr:uid="{00000000-0005-0000-0000-0000D9310000}"/>
    <cellStyle name="Vírgula 3 7 6 4" xfId="5016" xr:uid="{00000000-0005-0000-0000-0000DA310000}"/>
    <cellStyle name="Vírgula 3 7 6 4 2" xfId="11530" xr:uid="{00000000-0005-0000-0000-0000DB310000}"/>
    <cellStyle name="Vírgula 3 7 6 5" xfId="7246" xr:uid="{00000000-0005-0000-0000-0000DC310000}"/>
    <cellStyle name="Vírgula 3 7 7" xfId="1242" xr:uid="{00000000-0005-0000-0000-0000DD310000}"/>
    <cellStyle name="Vírgula 3 7 7 2" xfId="3300" xr:uid="{00000000-0005-0000-0000-0000DE310000}"/>
    <cellStyle name="Vírgula 3 7 7 2 2" xfId="9816" xr:uid="{00000000-0005-0000-0000-0000DF310000}"/>
    <cellStyle name="Vírgula 3 7 7 3" xfId="5530" xr:uid="{00000000-0005-0000-0000-0000E0310000}"/>
    <cellStyle name="Vírgula 3 7 7 3 2" xfId="12044" xr:uid="{00000000-0005-0000-0000-0000E1310000}"/>
    <cellStyle name="Vírgula 3 7 7 4" xfId="7760" xr:uid="{00000000-0005-0000-0000-0000E2310000}"/>
    <cellStyle name="Vírgula 3 7 8" xfId="2272" xr:uid="{00000000-0005-0000-0000-0000E3310000}"/>
    <cellStyle name="Vírgula 3 7 8 2" xfId="8788" xr:uid="{00000000-0005-0000-0000-0000E4310000}"/>
    <cellStyle name="Vírgula 3 7 9" xfId="4359" xr:uid="{00000000-0005-0000-0000-0000E5310000}"/>
    <cellStyle name="Vírgula 3 7 9 2" xfId="10873" xr:uid="{00000000-0005-0000-0000-0000E6310000}"/>
    <cellStyle name="Vírgula 3 8" xfId="93" xr:uid="{00000000-0005-0000-0000-0000E7310000}"/>
    <cellStyle name="Vírgula 3 8 2" xfId="197" xr:uid="{00000000-0005-0000-0000-0000E8310000}"/>
    <cellStyle name="Vírgula 3 8 2 2" xfId="325" xr:uid="{00000000-0005-0000-0000-0000E9310000}"/>
    <cellStyle name="Vírgula 3 8 2 2 2" xfId="668" xr:uid="{00000000-0005-0000-0000-0000EA310000}"/>
    <cellStyle name="Vírgula 3 8 2 2 2 2" xfId="1192" xr:uid="{00000000-0005-0000-0000-0000EB310000}"/>
    <cellStyle name="Vírgula 3 8 2 2 2 2 2" xfId="2220" xr:uid="{00000000-0005-0000-0000-0000EC310000}"/>
    <cellStyle name="Vírgula 3 8 2 2 2 2 2 2" xfId="4278" xr:uid="{00000000-0005-0000-0000-0000ED310000}"/>
    <cellStyle name="Vírgula 3 8 2 2 2 2 2 2 2" xfId="10794" xr:uid="{00000000-0005-0000-0000-0000EE310000}"/>
    <cellStyle name="Vírgula 3 8 2 2 2 2 2 3" xfId="6508" xr:uid="{00000000-0005-0000-0000-0000EF310000}"/>
    <cellStyle name="Vírgula 3 8 2 2 2 2 2 3 2" xfId="13022" xr:uid="{00000000-0005-0000-0000-0000F0310000}"/>
    <cellStyle name="Vírgula 3 8 2 2 2 2 2 4" xfId="8738" xr:uid="{00000000-0005-0000-0000-0000F1310000}"/>
    <cellStyle name="Vírgula 3 8 2 2 2 2 3" xfId="3250" xr:uid="{00000000-0005-0000-0000-0000F2310000}"/>
    <cellStyle name="Vírgula 3 8 2 2 2 2 3 2" xfId="9766" xr:uid="{00000000-0005-0000-0000-0000F3310000}"/>
    <cellStyle name="Vírgula 3 8 2 2 2 2 4" xfId="5480" xr:uid="{00000000-0005-0000-0000-0000F4310000}"/>
    <cellStyle name="Vírgula 3 8 2 2 2 2 4 2" xfId="11994" xr:uid="{00000000-0005-0000-0000-0000F5310000}"/>
    <cellStyle name="Vírgula 3 8 2 2 2 2 5" xfId="7710" xr:uid="{00000000-0005-0000-0000-0000F6310000}"/>
    <cellStyle name="Vírgula 3 8 2 2 2 3" xfId="1706" xr:uid="{00000000-0005-0000-0000-0000F7310000}"/>
    <cellStyle name="Vírgula 3 8 2 2 2 3 2" xfId="3764" xr:uid="{00000000-0005-0000-0000-0000F8310000}"/>
    <cellStyle name="Vírgula 3 8 2 2 2 3 2 2" xfId="10280" xr:uid="{00000000-0005-0000-0000-0000F9310000}"/>
    <cellStyle name="Vírgula 3 8 2 2 2 3 3" xfId="5994" xr:uid="{00000000-0005-0000-0000-0000FA310000}"/>
    <cellStyle name="Vírgula 3 8 2 2 2 3 3 2" xfId="12508" xr:uid="{00000000-0005-0000-0000-0000FB310000}"/>
    <cellStyle name="Vírgula 3 8 2 2 2 3 4" xfId="8224" xr:uid="{00000000-0005-0000-0000-0000FC310000}"/>
    <cellStyle name="Vírgula 3 8 2 2 2 4" xfId="2736" xr:uid="{00000000-0005-0000-0000-0000FD310000}"/>
    <cellStyle name="Vírgula 3 8 2 2 2 4 2" xfId="9252" xr:uid="{00000000-0005-0000-0000-0000FE310000}"/>
    <cellStyle name="Vírgula 3 8 2 2 2 5" xfId="4964" xr:uid="{00000000-0005-0000-0000-0000FF310000}"/>
    <cellStyle name="Vírgula 3 8 2 2 2 5 2" xfId="11478" xr:uid="{00000000-0005-0000-0000-000000320000}"/>
    <cellStyle name="Vírgula 3 8 2 2 2 6" xfId="7194" xr:uid="{00000000-0005-0000-0000-000001320000}"/>
    <cellStyle name="Vírgula 3 8 2 2 3" xfId="936" xr:uid="{00000000-0005-0000-0000-000002320000}"/>
    <cellStyle name="Vírgula 3 8 2 2 3 2" xfId="1964" xr:uid="{00000000-0005-0000-0000-000003320000}"/>
    <cellStyle name="Vírgula 3 8 2 2 3 2 2" xfId="4022" xr:uid="{00000000-0005-0000-0000-000004320000}"/>
    <cellStyle name="Vírgula 3 8 2 2 3 2 2 2" xfId="10538" xr:uid="{00000000-0005-0000-0000-000005320000}"/>
    <cellStyle name="Vírgula 3 8 2 2 3 2 3" xfId="6252" xr:uid="{00000000-0005-0000-0000-000006320000}"/>
    <cellStyle name="Vírgula 3 8 2 2 3 2 3 2" xfId="12766" xr:uid="{00000000-0005-0000-0000-000007320000}"/>
    <cellStyle name="Vírgula 3 8 2 2 3 2 4" xfId="8482" xr:uid="{00000000-0005-0000-0000-000008320000}"/>
    <cellStyle name="Vírgula 3 8 2 2 3 3" xfId="2994" xr:uid="{00000000-0005-0000-0000-000009320000}"/>
    <cellStyle name="Vírgula 3 8 2 2 3 3 2" xfId="9510" xr:uid="{00000000-0005-0000-0000-00000A320000}"/>
    <cellStyle name="Vírgula 3 8 2 2 3 4" xfId="5224" xr:uid="{00000000-0005-0000-0000-00000B320000}"/>
    <cellStyle name="Vírgula 3 8 2 2 3 4 2" xfId="11738" xr:uid="{00000000-0005-0000-0000-00000C320000}"/>
    <cellStyle name="Vírgula 3 8 2 2 3 5" xfId="7454" xr:uid="{00000000-0005-0000-0000-00000D320000}"/>
    <cellStyle name="Vírgula 3 8 2 2 4" xfId="1450" xr:uid="{00000000-0005-0000-0000-00000E320000}"/>
    <cellStyle name="Vírgula 3 8 2 2 4 2" xfId="3508" xr:uid="{00000000-0005-0000-0000-00000F320000}"/>
    <cellStyle name="Vírgula 3 8 2 2 4 2 2" xfId="10024" xr:uid="{00000000-0005-0000-0000-000010320000}"/>
    <cellStyle name="Vírgula 3 8 2 2 4 3" xfId="5738" xr:uid="{00000000-0005-0000-0000-000011320000}"/>
    <cellStyle name="Vírgula 3 8 2 2 4 3 2" xfId="12252" xr:uid="{00000000-0005-0000-0000-000012320000}"/>
    <cellStyle name="Vírgula 3 8 2 2 4 4" xfId="7968" xr:uid="{00000000-0005-0000-0000-000013320000}"/>
    <cellStyle name="Vírgula 3 8 2 2 5" xfId="2480" xr:uid="{00000000-0005-0000-0000-000014320000}"/>
    <cellStyle name="Vírgula 3 8 2 2 5 2" xfId="8996" xr:uid="{00000000-0005-0000-0000-000015320000}"/>
    <cellStyle name="Vírgula 3 8 2 2 6" xfId="4622" xr:uid="{00000000-0005-0000-0000-000016320000}"/>
    <cellStyle name="Vírgula 3 8 2 2 6 2" xfId="11136" xr:uid="{00000000-0005-0000-0000-000017320000}"/>
    <cellStyle name="Vírgula 3 8 2 2 7" xfId="6852" xr:uid="{00000000-0005-0000-0000-000018320000}"/>
    <cellStyle name="Vírgula 3 8 2 3" xfId="540" xr:uid="{00000000-0005-0000-0000-000019320000}"/>
    <cellStyle name="Vírgula 3 8 2 3 2" xfId="1064" xr:uid="{00000000-0005-0000-0000-00001A320000}"/>
    <cellStyle name="Vírgula 3 8 2 3 2 2" xfId="2092" xr:uid="{00000000-0005-0000-0000-00001B320000}"/>
    <cellStyle name="Vírgula 3 8 2 3 2 2 2" xfId="4150" xr:uid="{00000000-0005-0000-0000-00001C320000}"/>
    <cellStyle name="Vírgula 3 8 2 3 2 2 2 2" xfId="10666" xr:uid="{00000000-0005-0000-0000-00001D320000}"/>
    <cellStyle name="Vírgula 3 8 2 3 2 2 3" xfId="6380" xr:uid="{00000000-0005-0000-0000-00001E320000}"/>
    <cellStyle name="Vírgula 3 8 2 3 2 2 3 2" xfId="12894" xr:uid="{00000000-0005-0000-0000-00001F320000}"/>
    <cellStyle name="Vírgula 3 8 2 3 2 2 4" xfId="8610" xr:uid="{00000000-0005-0000-0000-000020320000}"/>
    <cellStyle name="Vírgula 3 8 2 3 2 3" xfId="3122" xr:uid="{00000000-0005-0000-0000-000021320000}"/>
    <cellStyle name="Vírgula 3 8 2 3 2 3 2" xfId="9638" xr:uid="{00000000-0005-0000-0000-000022320000}"/>
    <cellStyle name="Vírgula 3 8 2 3 2 4" xfId="5352" xr:uid="{00000000-0005-0000-0000-000023320000}"/>
    <cellStyle name="Vírgula 3 8 2 3 2 4 2" xfId="11866" xr:uid="{00000000-0005-0000-0000-000024320000}"/>
    <cellStyle name="Vírgula 3 8 2 3 2 5" xfId="7582" xr:uid="{00000000-0005-0000-0000-000025320000}"/>
    <cellStyle name="Vírgula 3 8 2 3 3" xfId="1578" xr:uid="{00000000-0005-0000-0000-000026320000}"/>
    <cellStyle name="Vírgula 3 8 2 3 3 2" xfId="3636" xr:uid="{00000000-0005-0000-0000-000027320000}"/>
    <cellStyle name="Vírgula 3 8 2 3 3 2 2" xfId="10152" xr:uid="{00000000-0005-0000-0000-000028320000}"/>
    <cellStyle name="Vírgula 3 8 2 3 3 3" xfId="5866" xr:uid="{00000000-0005-0000-0000-000029320000}"/>
    <cellStyle name="Vírgula 3 8 2 3 3 3 2" xfId="12380" xr:uid="{00000000-0005-0000-0000-00002A320000}"/>
    <cellStyle name="Vírgula 3 8 2 3 3 4" xfId="8096" xr:uid="{00000000-0005-0000-0000-00002B320000}"/>
    <cellStyle name="Vírgula 3 8 2 3 4" xfId="2608" xr:uid="{00000000-0005-0000-0000-00002C320000}"/>
    <cellStyle name="Vírgula 3 8 2 3 4 2" xfId="9124" xr:uid="{00000000-0005-0000-0000-00002D320000}"/>
    <cellStyle name="Vírgula 3 8 2 3 5" xfId="4836" xr:uid="{00000000-0005-0000-0000-00002E320000}"/>
    <cellStyle name="Vírgula 3 8 2 3 5 2" xfId="11350" xr:uid="{00000000-0005-0000-0000-00002F320000}"/>
    <cellStyle name="Vírgula 3 8 2 3 6" xfId="7066" xr:uid="{00000000-0005-0000-0000-000030320000}"/>
    <cellStyle name="Vírgula 3 8 2 4" xfId="808" xr:uid="{00000000-0005-0000-0000-000031320000}"/>
    <cellStyle name="Vírgula 3 8 2 4 2" xfId="1836" xr:uid="{00000000-0005-0000-0000-000032320000}"/>
    <cellStyle name="Vírgula 3 8 2 4 2 2" xfId="3894" xr:uid="{00000000-0005-0000-0000-000033320000}"/>
    <cellStyle name="Vírgula 3 8 2 4 2 2 2" xfId="10410" xr:uid="{00000000-0005-0000-0000-000034320000}"/>
    <cellStyle name="Vírgula 3 8 2 4 2 3" xfId="6124" xr:uid="{00000000-0005-0000-0000-000035320000}"/>
    <cellStyle name="Vírgula 3 8 2 4 2 3 2" xfId="12638" xr:uid="{00000000-0005-0000-0000-000036320000}"/>
    <cellStyle name="Vírgula 3 8 2 4 2 4" xfId="8354" xr:uid="{00000000-0005-0000-0000-000037320000}"/>
    <cellStyle name="Vírgula 3 8 2 4 3" xfId="2866" xr:uid="{00000000-0005-0000-0000-000038320000}"/>
    <cellStyle name="Vírgula 3 8 2 4 3 2" xfId="9382" xr:uid="{00000000-0005-0000-0000-000039320000}"/>
    <cellStyle name="Vírgula 3 8 2 4 4" xfId="5096" xr:uid="{00000000-0005-0000-0000-00003A320000}"/>
    <cellStyle name="Vírgula 3 8 2 4 4 2" xfId="11610" xr:uid="{00000000-0005-0000-0000-00003B320000}"/>
    <cellStyle name="Vírgula 3 8 2 4 5" xfId="7326" xr:uid="{00000000-0005-0000-0000-00003C320000}"/>
    <cellStyle name="Vírgula 3 8 2 5" xfId="1322" xr:uid="{00000000-0005-0000-0000-00003D320000}"/>
    <cellStyle name="Vírgula 3 8 2 5 2" xfId="3380" xr:uid="{00000000-0005-0000-0000-00003E320000}"/>
    <cellStyle name="Vírgula 3 8 2 5 2 2" xfId="9896" xr:uid="{00000000-0005-0000-0000-00003F320000}"/>
    <cellStyle name="Vírgula 3 8 2 5 3" xfId="5610" xr:uid="{00000000-0005-0000-0000-000040320000}"/>
    <cellStyle name="Vírgula 3 8 2 5 3 2" xfId="12124" xr:uid="{00000000-0005-0000-0000-000041320000}"/>
    <cellStyle name="Vírgula 3 8 2 5 4" xfId="7840" xr:uid="{00000000-0005-0000-0000-000042320000}"/>
    <cellStyle name="Vírgula 3 8 2 6" xfId="2352" xr:uid="{00000000-0005-0000-0000-000043320000}"/>
    <cellStyle name="Vírgula 3 8 2 6 2" xfId="8868" xr:uid="{00000000-0005-0000-0000-000044320000}"/>
    <cellStyle name="Vírgula 3 8 2 7" xfId="4494" xr:uid="{00000000-0005-0000-0000-000045320000}"/>
    <cellStyle name="Vírgula 3 8 2 7 2" xfId="11008" xr:uid="{00000000-0005-0000-0000-000046320000}"/>
    <cellStyle name="Vírgula 3 8 2 8" xfId="6724" xr:uid="{00000000-0005-0000-0000-000047320000}"/>
    <cellStyle name="Vírgula 3 8 3" xfId="261" xr:uid="{00000000-0005-0000-0000-000048320000}"/>
    <cellStyle name="Vírgula 3 8 3 2" xfId="604" xr:uid="{00000000-0005-0000-0000-000049320000}"/>
    <cellStyle name="Vírgula 3 8 3 2 2" xfId="1128" xr:uid="{00000000-0005-0000-0000-00004A320000}"/>
    <cellStyle name="Vírgula 3 8 3 2 2 2" xfId="2156" xr:uid="{00000000-0005-0000-0000-00004B320000}"/>
    <cellStyle name="Vírgula 3 8 3 2 2 2 2" xfId="4214" xr:uid="{00000000-0005-0000-0000-00004C320000}"/>
    <cellStyle name="Vírgula 3 8 3 2 2 2 2 2" xfId="10730" xr:uid="{00000000-0005-0000-0000-00004D320000}"/>
    <cellStyle name="Vírgula 3 8 3 2 2 2 3" xfId="6444" xr:uid="{00000000-0005-0000-0000-00004E320000}"/>
    <cellStyle name="Vírgula 3 8 3 2 2 2 3 2" xfId="12958" xr:uid="{00000000-0005-0000-0000-00004F320000}"/>
    <cellStyle name="Vírgula 3 8 3 2 2 2 4" xfId="8674" xr:uid="{00000000-0005-0000-0000-000050320000}"/>
    <cellStyle name="Vírgula 3 8 3 2 2 3" xfId="3186" xr:uid="{00000000-0005-0000-0000-000051320000}"/>
    <cellStyle name="Vírgula 3 8 3 2 2 3 2" xfId="9702" xr:uid="{00000000-0005-0000-0000-000052320000}"/>
    <cellStyle name="Vírgula 3 8 3 2 2 4" xfId="5416" xr:uid="{00000000-0005-0000-0000-000053320000}"/>
    <cellStyle name="Vírgula 3 8 3 2 2 4 2" xfId="11930" xr:uid="{00000000-0005-0000-0000-000054320000}"/>
    <cellStyle name="Vírgula 3 8 3 2 2 5" xfId="7646" xr:uid="{00000000-0005-0000-0000-000055320000}"/>
    <cellStyle name="Vírgula 3 8 3 2 3" xfId="1642" xr:uid="{00000000-0005-0000-0000-000056320000}"/>
    <cellStyle name="Vírgula 3 8 3 2 3 2" xfId="3700" xr:uid="{00000000-0005-0000-0000-000057320000}"/>
    <cellStyle name="Vírgula 3 8 3 2 3 2 2" xfId="10216" xr:uid="{00000000-0005-0000-0000-000058320000}"/>
    <cellStyle name="Vírgula 3 8 3 2 3 3" xfId="5930" xr:uid="{00000000-0005-0000-0000-000059320000}"/>
    <cellStyle name="Vírgula 3 8 3 2 3 3 2" xfId="12444" xr:uid="{00000000-0005-0000-0000-00005A320000}"/>
    <cellStyle name="Vírgula 3 8 3 2 3 4" xfId="8160" xr:uid="{00000000-0005-0000-0000-00005B320000}"/>
    <cellStyle name="Vírgula 3 8 3 2 4" xfId="2672" xr:uid="{00000000-0005-0000-0000-00005C320000}"/>
    <cellStyle name="Vírgula 3 8 3 2 4 2" xfId="9188" xr:uid="{00000000-0005-0000-0000-00005D320000}"/>
    <cellStyle name="Vírgula 3 8 3 2 5" xfId="4900" xr:uid="{00000000-0005-0000-0000-00005E320000}"/>
    <cellStyle name="Vírgula 3 8 3 2 5 2" xfId="11414" xr:uid="{00000000-0005-0000-0000-00005F320000}"/>
    <cellStyle name="Vírgula 3 8 3 2 6" xfId="7130" xr:uid="{00000000-0005-0000-0000-000060320000}"/>
    <cellStyle name="Vírgula 3 8 3 3" xfId="872" xr:uid="{00000000-0005-0000-0000-000061320000}"/>
    <cellStyle name="Vírgula 3 8 3 3 2" xfId="1900" xr:uid="{00000000-0005-0000-0000-000062320000}"/>
    <cellStyle name="Vírgula 3 8 3 3 2 2" xfId="3958" xr:uid="{00000000-0005-0000-0000-000063320000}"/>
    <cellStyle name="Vírgula 3 8 3 3 2 2 2" xfId="10474" xr:uid="{00000000-0005-0000-0000-000064320000}"/>
    <cellStyle name="Vírgula 3 8 3 3 2 3" xfId="6188" xr:uid="{00000000-0005-0000-0000-000065320000}"/>
    <cellStyle name="Vírgula 3 8 3 3 2 3 2" xfId="12702" xr:uid="{00000000-0005-0000-0000-000066320000}"/>
    <cellStyle name="Vírgula 3 8 3 3 2 4" xfId="8418" xr:uid="{00000000-0005-0000-0000-000067320000}"/>
    <cellStyle name="Vírgula 3 8 3 3 3" xfId="2930" xr:uid="{00000000-0005-0000-0000-000068320000}"/>
    <cellStyle name="Vírgula 3 8 3 3 3 2" xfId="9446" xr:uid="{00000000-0005-0000-0000-000069320000}"/>
    <cellStyle name="Vírgula 3 8 3 3 4" xfId="5160" xr:uid="{00000000-0005-0000-0000-00006A320000}"/>
    <cellStyle name="Vírgula 3 8 3 3 4 2" xfId="11674" xr:uid="{00000000-0005-0000-0000-00006B320000}"/>
    <cellStyle name="Vírgula 3 8 3 3 5" xfId="7390" xr:uid="{00000000-0005-0000-0000-00006C320000}"/>
    <cellStyle name="Vírgula 3 8 3 4" xfId="1386" xr:uid="{00000000-0005-0000-0000-00006D320000}"/>
    <cellStyle name="Vírgula 3 8 3 4 2" xfId="3444" xr:uid="{00000000-0005-0000-0000-00006E320000}"/>
    <cellStyle name="Vírgula 3 8 3 4 2 2" xfId="9960" xr:uid="{00000000-0005-0000-0000-00006F320000}"/>
    <cellStyle name="Vírgula 3 8 3 4 3" xfId="5674" xr:uid="{00000000-0005-0000-0000-000070320000}"/>
    <cellStyle name="Vírgula 3 8 3 4 3 2" xfId="12188" xr:uid="{00000000-0005-0000-0000-000071320000}"/>
    <cellStyle name="Vírgula 3 8 3 4 4" xfId="7904" xr:uid="{00000000-0005-0000-0000-000072320000}"/>
    <cellStyle name="Vírgula 3 8 3 5" xfId="2416" xr:uid="{00000000-0005-0000-0000-000073320000}"/>
    <cellStyle name="Vírgula 3 8 3 5 2" xfId="8932" xr:uid="{00000000-0005-0000-0000-000074320000}"/>
    <cellStyle name="Vírgula 3 8 3 6" xfId="4558" xr:uid="{00000000-0005-0000-0000-000075320000}"/>
    <cellStyle name="Vírgula 3 8 3 6 2" xfId="11072" xr:uid="{00000000-0005-0000-0000-000076320000}"/>
    <cellStyle name="Vírgula 3 8 3 7" xfId="6788" xr:uid="{00000000-0005-0000-0000-000077320000}"/>
    <cellStyle name="Vírgula 3 8 4" xfId="436" xr:uid="{00000000-0005-0000-0000-000078320000}"/>
    <cellStyle name="Vírgula 3 8 4 2" xfId="1000" xr:uid="{00000000-0005-0000-0000-000079320000}"/>
    <cellStyle name="Vírgula 3 8 4 2 2" xfId="2028" xr:uid="{00000000-0005-0000-0000-00007A320000}"/>
    <cellStyle name="Vírgula 3 8 4 2 2 2" xfId="4086" xr:uid="{00000000-0005-0000-0000-00007B320000}"/>
    <cellStyle name="Vírgula 3 8 4 2 2 2 2" xfId="10602" xr:uid="{00000000-0005-0000-0000-00007C320000}"/>
    <cellStyle name="Vírgula 3 8 4 2 2 3" xfId="6316" xr:uid="{00000000-0005-0000-0000-00007D320000}"/>
    <cellStyle name="Vírgula 3 8 4 2 2 3 2" xfId="12830" xr:uid="{00000000-0005-0000-0000-00007E320000}"/>
    <cellStyle name="Vírgula 3 8 4 2 2 4" xfId="8546" xr:uid="{00000000-0005-0000-0000-00007F320000}"/>
    <cellStyle name="Vírgula 3 8 4 2 3" xfId="3058" xr:uid="{00000000-0005-0000-0000-000080320000}"/>
    <cellStyle name="Vírgula 3 8 4 2 3 2" xfId="9574" xr:uid="{00000000-0005-0000-0000-000081320000}"/>
    <cellStyle name="Vírgula 3 8 4 2 4" xfId="5288" xr:uid="{00000000-0005-0000-0000-000082320000}"/>
    <cellStyle name="Vírgula 3 8 4 2 4 2" xfId="11802" xr:uid="{00000000-0005-0000-0000-000083320000}"/>
    <cellStyle name="Vírgula 3 8 4 2 5" xfId="7518" xr:uid="{00000000-0005-0000-0000-000084320000}"/>
    <cellStyle name="Vírgula 3 8 4 3" xfId="1514" xr:uid="{00000000-0005-0000-0000-000085320000}"/>
    <cellStyle name="Vírgula 3 8 4 3 2" xfId="3572" xr:uid="{00000000-0005-0000-0000-000086320000}"/>
    <cellStyle name="Vírgula 3 8 4 3 2 2" xfId="10088" xr:uid="{00000000-0005-0000-0000-000087320000}"/>
    <cellStyle name="Vírgula 3 8 4 3 3" xfId="5802" xr:uid="{00000000-0005-0000-0000-000088320000}"/>
    <cellStyle name="Vírgula 3 8 4 3 3 2" xfId="12316" xr:uid="{00000000-0005-0000-0000-000089320000}"/>
    <cellStyle name="Vírgula 3 8 4 3 4" xfId="8032" xr:uid="{00000000-0005-0000-0000-00008A320000}"/>
    <cellStyle name="Vírgula 3 8 4 4" xfId="2544" xr:uid="{00000000-0005-0000-0000-00008B320000}"/>
    <cellStyle name="Vírgula 3 8 4 4 2" xfId="9060" xr:uid="{00000000-0005-0000-0000-00008C320000}"/>
    <cellStyle name="Vírgula 3 8 4 5" xfId="4732" xr:uid="{00000000-0005-0000-0000-00008D320000}"/>
    <cellStyle name="Vírgula 3 8 4 5 2" xfId="11246" xr:uid="{00000000-0005-0000-0000-00008E320000}"/>
    <cellStyle name="Vírgula 3 8 4 6" xfId="6962" xr:uid="{00000000-0005-0000-0000-00008F320000}"/>
    <cellStyle name="Vírgula 3 8 5" xfId="744" xr:uid="{00000000-0005-0000-0000-000090320000}"/>
    <cellStyle name="Vírgula 3 8 5 2" xfId="1772" xr:uid="{00000000-0005-0000-0000-000091320000}"/>
    <cellStyle name="Vírgula 3 8 5 2 2" xfId="3830" xr:uid="{00000000-0005-0000-0000-000092320000}"/>
    <cellStyle name="Vírgula 3 8 5 2 2 2" xfId="10346" xr:uid="{00000000-0005-0000-0000-000093320000}"/>
    <cellStyle name="Vírgula 3 8 5 2 3" xfId="6060" xr:uid="{00000000-0005-0000-0000-000094320000}"/>
    <cellStyle name="Vírgula 3 8 5 2 3 2" xfId="12574" xr:uid="{00000000-0005-0000-0000-000095320000}"/>
    <cellStyle name="Vírgula 3 8 5 2 4" xfId="8290" xr:uid="{00000000-0005-0000-0000-000096320000}"/>
    <cellStyle name="Vírgula 3 8 5 3" xfId="2802" xr:uid="{00000000-0005-0000-0000-000097320000}"/>
    <cellStyle name="Vírgula 3 8 5 3 2" xfId="9318" xr:uid="{00000000-0005-0000-0000-000098320000}"/>
    <cellStyle name="Vírgula 3 8 5 4" xfId="5032" xr:uid="{00000000-0005-0000-0000-000099320000}"/>
    <cellStyle name="Vírgula 3 8 5 4 2" xfId="11546" xr:uid="{00000000-0005-0000-0000-00009A320000}"/>
    <cellStyle name="Vírgula 3 8 5 5" xfId="7262" xr:uid="{00000000-0005-0000-0000-00009B320000}"/>
    <cellStyle name="Vírgula 3 8 6" xfId="1258" xr:uid="{00000000-0005-0000-0000-00009C320000}"/>
    <cellStyle name="Vírgula 3 8 6 2" xfId="3316" xr:uid="{00000000-0005-0000-0000-00009D320000}"/>
    <cellStyle name="Vírgula 3 8 6 2 2" xfId="9832" xr:uid="{00000000-0005-0000-0000-00009E320000}"/>
    <cellStyle name="Vírgula 3 8 6 3" xfId="5546" xr:uid="{00000000-0005-0000-0000-00009F320000}"/>
    <cellStyle name="Vírgula 3 8 6 3 2" xfId="12060" xr:uid="{00000000-0005-0000-0000-0000A0320000}"/>
    <cellStyle name="Vírgula 3 8 6 4" xfId="7776" xr:uid="{00000000-0005-0000-0000-0000A1320000}"/>
    <cellStyle name="Vírgula 3 8 7" xfId="2288" xr:uid="{00000000-0005-0000-0000-0000A2320000}"/>
    <cellStyle name="Vírgula 3 8 7 2" xfId="8804" xr:uid="{00000000-0005-0000-0000-0000A3320000}"/>
    <cellStyle name="Vírgula 3 8 8" xfId="4390" xr:uid="{00000000-0005-0000-0000-0000A4320000}"/>
    <cellStyle name="Vírgula 3 8 8 2" xfId="10904" xr:uid="{00000000-0005-0000-0000-0000A5320000}"/>
    <cellStyle name="Vírgula 3 8 9" xfId="6620" xr:uid="{00000000-0005-0000-0000-0000A6320000}"/>
    <cellStyle name="Vírgula 3 9" xfId="165" xr:uid="{00000000-0005-0000-0000-0000A7320000}"/>
    <cellStyle name="Vírgula 3 9 2" xfId="293" xr:uid="{00000000-0005-0000-0000-0000A8320000}"/>
    <cellStyle name="Vírgula 3 9 2 2" xfId="636" xr:uid="{00000000-0005-0000-0000-0000A9320000}"/>
    <cellStyle name="Vírgula 3 9 2 2 2" xfId="1160" xr:uid="{00000000-0005-0000-0000-0000AA320000}"/>
    <cellStyle name="Vírgula 3 9 2 2 2 2" xfId="2188" xr:uid="{00000000-0005-0000-0000-0000AB320000}"/>
    <cellStyle name="Vírgula 3 9 2 2 2 2 2" xfId="4246" xr:uid="{00000000-0005-0000-0000-0000AC320000}"/>
    <cellStyle name="Vírgula 3 9 2 2 2 2 2 2" xfId="10762" xr:uid="{00000000-0005-0000-0000-0000AD320000}"/>
    <cellStyle name="Vírgula 3 9 2 2 2 2 3" xfId="6476" xr:uid="{00000000-0005-0000-0000-0000AE320000}"/>
    <cellStyle name="Vírgula 3 9 2 2 2 2 3 2" xfId="12990" xr:uid="{00000000-0005-0000-0000-0000AF320000}"/>
    <cellStyle name="Vírgula 3 9 2 2 2 2 4" xfId="8706" xr:uid="{00000000-0005-0000-0000-0000B0320000}"/>
    <cellStyle name="Vírgula 3 9 2 2 2 3" xfId="3218" xr:uid="{00000000-0005-0000-0000-0000B1320000}"/>
    <cellStyle name="Vírgula 3 9 2 2 2 3 2" xfId="9734" xr:uid="{00000000-0005-0000-0000-0000B2320000}"/>
    <cellStyle name="Vírgula 3 9 2 2 2 4" xfId="5448" xr:uid="{00000000-0005-0000-0000-0000B3320000}"/>
    <cellStyle name="Vírgula 3 9 2 2 2 4 2" xfId="11962" xr:uid="{00000000-0005-0000-0000-0000B4320000}"/>
    <cellStyle name="Vírgula 3 9 2 2 2 5" xfId="7678" xr:uid="{00000000-0005-0000-0000-0000B5320000}"/>
    <cellStyle name="Vírgula 3 9 2 2 3" xfId="1674" xr:uid="{00000000-0005-0000-0000-0000B6320000}"/>
    <cellStyle name="Vírgula 3 9 2 2 3 2" xfId="3732" xr:uid="{00000000-0005-0000-0000-0000B7320000}"/>
    <cellStyle name="Vírgula 3 9 2 2 3 2 2" xfId="10248" xr:uid="{00000000-0005-0000-0000-0000B8320000}"/>
    <cellStyle name="Vírgula 3 9 2 2 3 3" xfId="5962" xr:uid="{00000000-0005-0000-0000-0000B9320000}"/>
    <cellStyle name="Vírgula 3 9 2 2 3 3 2" xfId="12476" xr:uid="{00000000-0005-0000-0000-0000BA320000}"/>
    <cellStyle name="Vírgula 3 9 2 2 3 4" xfId="8192" xr:uid="{00000000-0005-0000-0000-0000BB320000}"/>
    <cellStyle name="Vírgula 3 9 2 2 4" xfId="2704" xr:uid="{00000000-0005-0000-0000-0000BC320000}"/>
    <cellStyle name="Vírgula 3 9 2 2 4 2" xfId="9220" xr:uid="{00000000-0005-0000-0000-0000BD320000}"/>
    <cellStyle name="Vírgula 3 9 2 2 5" xfId="4932" xr:uid="{00000000-0005-0000-0000-0000BE320000}"/>
    <cellStyle name="Vírgula 3 9 2 2 5 2" xfId="11446" xr:uid="{00000000-0005-0000-0000-0000BF320000}"/>
    <cellStyle name="Vírgula 3 9 2 2 6" xfId="7162" xr:uid="{00000000-0005-0000-0000-0000C0320000}"/>
    <cellStyle name="Vírgula 3 9 2 3" xfId="904" xr:uid="{00000000-0005-0000-0000-0000C1320000}"/>
    <cellStyle name="Vírgula 3 9 2 3 2" xfId="1932" xr:uid="{00000000-0005-0000-0000-0000C2320000}"/>
    <cellStyle name="Vírgula 3 9 2 3 2 2" xfId="3990" xr:uid="{00000000-0005-0000-0000-0000C3320000}"/>
    <cellStyle name="Vírgula 3 9 2 3 2 2 2" xfId="10506" xr:uid="{00000000-0005-0000-0000-0000C4320000}"/>
    <cellStyle name="Vírgula 3 9 2 3 2 3" xfId="6220" xr:uid="{00000000-0005-0000-0000-0000C5320000}"/>
    <cellStyle name="Vírgula 3 9 2 3 2 3 2" xfId="12734" xr:uid="{00000000-0005-0000-0000-0000C6320000}"/>
    <cellStyle name="Vírgula 3 9 2 3 2 4" xfId="8450" xr:uid="{00000000-0005-0000-0000-0000C7320000}"/>
    <cellStyle name="Vírgula 3 9 2 3 3" xfId="2962" xr:uid="{00000000-0005-0000-0000-0000C8320000}"/>
    <cellStyle name="Vírgula 3 9 2 3 3 2" xfId="9478" xr:uid="{00000000-0005-0000-0000-0000C9320000}"/>
    <cellStyle name="Vírgula 3 9 2 3 4" xfId="5192" xr:uid="{00000000-0005-0000-0000-0000CA320000}"/>
    <cellStyle name="Vírgula 3 9 2 3 4 2" xfId="11706" xr:uid="{00000000-0005-0000-0000-0000CB320000}"/>
    <cellStyle name="Vírgula 3 9 2 3 5" xfId="7422" xr:uid="{00000000-0005-0000-0000-0000CC320000}"/>
    <cellStyle name="Vírgula 3 9 2 4" xfId="1418" xr:uid="{00000000-0005-0000-0000-0000CD320000}"/>
    <cellStyle name="Vírgula 3 9 2 4 2" xfId="3476" xr:uid="{00000000-0005-0000-0000-0000CE320000}"/>
    <cellStyle name="Vírgula 3 9 2 4 2 2" xfId="9992" xr:uid="{00000000-0005-0000-0000-0000CF320000}"/>
    <cellStyle name="Vírgula 3 9 2 4 3" xfId="5706" xr:uid="{00000000-0005-0000-0000-0000D0320000}"/>
    <cellStyle name="Vírgula 3 9 2 4 3 2" xfId="12220" xr:uid="{00000000-0005-0000-0000-0000D1320000}"/>
    <cellStyle name="Vírgula 3 9 2 4 4" xfId="7936" xr:uid="{00000000-0005-0000-0000-0000D2320000}"/>
    <cellStyle name="Vírgula 3 9 2 5" xfId="2448" xr:uid="{00000000-0005-0000-0000-0000D3320000}"/>
    <cellStyle name="Vírgula 3 9 2 5 2" xfId="8964" xr:uid="{00000000-0005-0000-0000-0000D4320000}"/>
    <cellStyle name="Vírgula 3 9 2 6" xfId="4590" xr:uid="{00000000-0005-0000-0000-0000D5320000}"/>
    <cellStyle name="Vírgula 3 9 2 6 2" xfId="11104" xr:uid="{00000000-0005-0000-0000-0000D6320000}"/>
    <cellStyle name="Vírgula 3 9 2 7" xfId="6820" xr:uid="{00000000-0005-0000-0000-0000D7320000}"/>
    <cellStyle name="Vírgula 3 9 3" xfId="508" xr:uid="{00000000-0005-0000-0000-0000D8320000}"/>
    <cellStyle name="Vírgula 3 9 3 2" xfId="1032" xr:uid="{00000000-0005-0000-0000-0000D9320000}"/>
    <cellStyle name="Vírgula 3 9 3 2 2" xfId="2060" xr:uid="{00000000-0005-0000-0000-0000DA320000}"/>
    <cellStyle name="Vírgula 3 9 3 2 2 2" xfId="4118" xr:uid="{00000000-0005-0000-0000-0000DB320000}"/>
    <cellStyle name="Vírgula 3 9 3 2 2 2 2" xfId="10634" xr:uid="{00000000-0005-0000-0000-0000DC320000}"/>
    <cellStyle name="Vírgula 3 9 3 2 2 3" xfId="6348" xr:uid="{00000000-0005-0000-0000-0000DD320000}"/>
    <cellStyle name="Vírgula 3 9 3 2 2 3 2" xfId="12862" xr:uid="{00000000-0005-0000-0000-0000DE320000}"/>
    <cellStyle name="Vírgula 3 9 3 2 2 4" xfId="8578" xr:uid="{00000000-0005-0000-0000-0000DF320000}"/>
    <cellStyle name="Vírgula 3 9 3 2 3" xfId="3090" xr:uid="{00000000-0005-0000-0000-0000E0320000}"/>
    <cellStyle name="Vírgula 3 9 3 2 3 2" xfId="9606" xr:uid="{00000000-0005-0000-0000-0000E1320000}"/>
    <cellStyle name="Vírgula 3 9 3 2 4" xfId="5320" xr:uid="{00000000-0005-0000-0000-0000E2320000}"/>
    <cellStyle name="Vírgula 3 9 3 2 4 2" xfId="11834" xr:uid="{00000000-0005-0000-0000-0000E3320000}"/>
    <cellStyle name="Vírgula 3 9 3 2 5" xfId="7550" xr:uid="{00000000-0005-0000-0000-0000E4320000}"/>
    <cellStyle name="Vírgula 3 9 3 3" xfId="1546" xr:uid="{00000000-0005-0000-0000-0000E5320000}"/>
    <cellStyle name="Vírgula 3 9 3 3 2" xfId="3604" xr:uid="{00000000-0005-0000-0000-0000E6320000}"/>
    <cellStyle name="Vírgula 3 9 3 3 2 2" xfId="10120" xr:uid="{00000000-0005-0000-0000-0000E7320000}"/>
    <cellStyle name="Vírgula 3 9 3 3 3" xfId="5834" xr:uid="{00000000-0005-0000-0000-0000E8320000}"/>
    <cellStyle name="Vírgula 3 9 3 3 3 2" xfId="12348" xr:uid="{00000000-0005-0000-0000-0000E9320000}"/>
    <cellStyle name="Vírgula 3 9 3 3 4" xfId="8064" xr:uid="{00000000-0005-0000-0000-0000EA320000}"/>
    <cellStyle name="Vírgula 3 9 3 4" xfId="2576" xr:uid="{00000000-0005-0000-0000-0000EB320000}"/>
    <cellStyle name="Vírgula 3 9 3 4 2" xfId="9092" xr:uid="{00000000-0005-0000-0000-0000EC320000}"/>
    <cellStyle name="Vírgula 3 9 3 5" xfId="4804" xr:uid="{00000000-0005-0000-0000-0000ED320000}"/>
    <cellStyle name="Vírgula 3 9 3 5 2" xfId="11318" xr:uid="{00000000-0005-0000-0000-0000EE320000}"/>
    <cellStyle name="Vírgula 3 9 3 6" xfId="7034" xr:uid="{00000000-0005-0000-0000-0000EF320000}"/>
    <cellStyle name="Vírgula 3 9 4" xfId="776" xr:uid="{00000000-0005-0000-0000-0000F0320000}"/>
    <cellStyle name="Vírgula 3 9 4 2" xfId="1804" xr:uid="{00000000-0005-0000-0000-0000F1320000}"/>
    <cellStyle name="Vírgula 3 9 4 2 2" xfId="3862" xr:uid="{00000000-0005-0000-0000-0000F2320000}"/>
    <cellStyle name="Vírgula 3 9 4 2 2 2" xfId="10378" xr:uid="{00000000-0005-0000-0000-0000F3320000}"/>
    <cellStyle name="Vírgula 3 9 4 2 3" xfId="6092" xr:uid="{00000000-0005-0000-0000-0000F4320000}"/>
    <cellStyle name="Vírgula 3 9 4 2 3 2" xfId="12606" xr:uid="{00000000-0005-0000-0000-0000F5320000}"/>
    <cellStyle name="Vírgula 3 9 4 2 4" xfId="8322" xr:uid="{00000000-0005-0000-0000-0000F6320000}"/>
    <cellStyle name="Vírgula 3 9 4 3" xfId="2834" xr:uid="{00000000-0005-0000-0000-0000F7320000}"/>
    <cellStyle name="Vírgula 3 9 4 3 2" xfId="9350" xr:uid="{00000000-0005-0000-0000-0000F8320000}"/>
    <cellStyle name="Vírgula 3 9 4 4" xfId="5064" xr:uid="{00000000-0005-0000-0000-0000F9320000}"/>
    <cellStyle name="Vírgula 3 9 4 4 2" xfId="11578" xr:uid="{00000000-0005-0000-0000-0000FA320000}"/>
    <cellStyle name="Vírgula 3 9 4 5" xfId="7294" xr:uid="{00000000-0005-0000-0000-0000FB320000}"/>
    <cellStyle name="Vírgula 3 9 5" xfId="1290" xr:uid="{00000000-0005-0000-0000-0000FC320000}"/>
    <cellStyle name="Vírgula 3 9 5 2" xfId="3348" xr:uid="{00000000-0005-0000-0000-0000FD320000}"/>
    <cellStyle name="Vírgula 3 9 5 2 2" xfId="9864" xr:uid="{00000000-0005-0000-0000-0000FE320000}"/>
    <cellStyle name="Vírgula 3 9 5 3" xfId="5578" xr:uid="{00000000-0005-0000-0000-0000FF320000}"/>
    <cellStyle name="Vírgula 3 9 5 3 2" xfId="12092" xr:uid="{00000000-0005-0000-0000-000000330000}"/>
    <cellStyle name="Vírgula 3 9 5 4" xfId="7808" xr:uid="{00000000-0005-0000-0000-000001330000}"/>
    <cellStyle name="Vírgula 3 9 6" xfId="2320" xr:uid="{00000000-0005-0000-0000-000002330000}"/>
    <cellStyle name="Vírgula 3 9 6 2" xfId="8836" xr:uid="{00000000-0005-0000-0000-000003330000}"/>
    <cellStyle name="Vírgula 3 9 7" xfId="4462" xr:uid="{00000000-0005-0000-0000-000004330000}"/>
    <cellStyle name="Vírgula 3 9 7 2" xfId="10976" xr:uid="{00000000-0005-0000-0000-000005330000}"/>
    <cellStyle name="Vírgula 3 9 8" xfId="6692" xr:uid="{00000000-0005-0000-0000-000006330000}"/>
    <cellStyle name="Vírgula 4" xfId="3" xr:uid="{00000000-0005-0000-0000-000007330000}"/>
  </cellStyles>
  <dxfs count="59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C04000"/>
      </font>
      <fill>
        <patternFill patternType="none"/>
      </fill>
    </dxf>
    <dxf>
      <font>
        <color rgb="FFC04000"/>
      </font>
      <fill>
        <patternFill patternType="none"/>
      </fill>
    </dxf>
    <dxf>
      <font>
        <color rgb="FFC04000"/>
      </font>
      <fill>
        <patternFill patternType="none"/>
      </fill>
    </dxf>
    <dxf>
      <font>
        <color rgb="FFC04000"/>
      </font>
      <fill>
        <patternFill patternType="none"/>
      </fill>
    </dxf>
    <dxf>
      <font>
        <color rgb="FFC04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lor auto="1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lor auto="1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auto="1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CC"/>
      </font>
      <fill>
        <patternFill>
          <bgColor rgb="FF66FFFF"/>
        </patternFill>
      </fill>
    </dxf>
    <dxf>
      <font>
        <color rgb="FF008000"/>
      </font>
      <fill>
        <patternFill>
          <bgColor rgb="FF00FF99"/>
        </patternFill>
      </fill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minor"/>
      </font>
      <numFmt numFmtId="164" formatCode="dd/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minor"/>
      </font>
      <numFmt numFmtId="164" formatCode="dd/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minor"/>
      </font>
      <numFmt numFmtId="164" formatCode="dd/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minor"/>
      </font>
      <numFmt numFmtId="164" formatCode="dd/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minor"/>
      </font>
      <numFmt numFmtId="164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Open Sans"/>
        <family val="2"/>
        <scheme val="minor"/>
      </font>
      <numFmt numFmtId="164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Open Sans"/>
        <family val="2"/>
        <scheme val="minor"/>
      </font>
      <numFmt numFmtId="164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minor"/>
      </font>
      <numFmt numFmtId="164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minor"/>
      </font>
      <numFmt numFmtId="164" formatCode="dd/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minor"/>
      </font>
      <numFmt numFmtId="164" formatCode="dd/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minor"/>
      </font>
      <numFmt numFmtId="164" formatCode="dd/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Open Sans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minor"/>
      </font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sz val="12"/>
      </font>
    </dxf>
    <dxf>
      <numFmt numFmtId="14" formatCode="0.00%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4" formatCode="0.00%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sz val="12"/>
      </font>
    </dxf>
    <dxf>
      <numFmt numFmtId="14" formatCode="0.00%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4" formatCode="0.00%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sz val="12"/>
      </font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sz val="12"/>
        <color theme="2" tint="-4.9989318521683403E-2"/>
      </font>
      <fill>
        <patternFill>
          <bgColor theme="1" tint="0.499984740745262"/>
        </patternFill>
      </fill>
    </dxf>
    <dxf>
      <font>
        <color theme="1" tint="0.34998626667073579"/>
      </font>
    </dxf>
  </dxfs>
  <tableStyles count="4" defaultTableStyle="TableStyleMedium2" defaultPivotStyle="PivotStyleLight16">
    <tableStyle name="Estilo de Segmentação de Dados 1" pivot="0" table="0" count="1" xr9:uid="{A0662063-BA72-4D9D-817D-4287A9EE55E4}">
      <tableStyleElement type="wholeTable" dxfId="593"/>
    </tableStyle>
    <tableStyle name="Estilo de Segmentação de Dados 2" pivot="0" table="0" count="1" xr9:uid="{7B7ADE60-BB91-4AE4-B605-759960344189}">
      <tableStyleElement type="wholeTable" dxfId="592"/>
    </tableStyle>
    <tableStyle name="Estilo de Tabela Dinâmica 1" table="0" count="1" xr9:uid="{63C03968-4ACE-47B5-BC52-D848CBAD2ECB}">
      <tableStyleElement type="wholeTable" dxfId="591"/>
    </tableStyle>
    <tableStyle name="Invisible" pivot="0" table="0" count="0" xr9:uid="{38423873-DF4C-45D8-A7CE-CDC765EBFC8C}"/>
  </tableStyles>
  <colors>
    <mruColors>
      <color rgb="FFE38DF7"/>
      <color rgb="FF00FF00"/>
      <color rgb="FFFF0000"/>
      <color rgb="FF9954CC"/>
      <color rgb="FFFF3333"/>
      <color rgb="FFF3B175"/>
      <color rgb="FF008000"/>
      <color rgb="FF00FFCC"/>
      <color rgb="FF0000CC"/>
      <color rgb="FF00FF99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pivotCacheDefinition" Target="pivotCache/pivotCacheDefinition8.xml"/><Relationship Id="rId39" Type="http://schemas.openxmlformats.org/officeDocument/2006/relationships/theme" Target="theme/theme1.xml"/><Relationship Id="rId21" Type="http://schemas.openxmlformats.org/officeDocument/2006/relationships/pivotCacheDefinition" Target="pivotCache/pivotCacheDefinition3.xml"/><Relationship Id="rId34" Type="http://schemas.microsoft.com/office/2011/relationships/timelineCache" Target="timelineCaches/timelineCache2.xml"/><Relationship Id="rId42" Type="http://schemas.microsoft.com/office/2017/10/relationships/person" Target="persons/person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9" Type="http://schemas.openxmlformats.org/officeDocument/2006/relationships/pivotCacheDefinition" Target="pivotCache/pivotCacheDefinition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32" Type="http://schemas.microsoft.com/office/2007/relationships/slicerCache" Target="slicerCaches/slicerCache2.xml"/><Relationship Id="rId37" Type="http://schemas.microsoft.com/office/2011/relationships/timelineCache" Target="timelineCaches/timelineCache5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pivotCacheDefinition" Target="pivotCache/pivotCacheDefinition10.xml"/><Relationship Id="rId36" Type="http://schemas.microsoft.com/office/2011/relationships/timelineCache" Target="timelineCaches/timelineCache4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microsoft.com/office/2007/relationships/slicerCache" Target="slicerCaches/slicerCache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pivotCacheDefinition" Target="pivotCache/pivotCacheDefinition9.xml"/><Relationship Id="rId30" Type="http://schemas.openxmlformats.org/officeDocument/2006/relationships/pivotCacheDefinition" Target="pivotCache/pivotCacheDefinition12.xml"/><Relationship Id="rId35" Type="http://schemas.microsoft.com/office/2011/relationships/timelineCache" Target="timelineCaches/timelineCache3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pivotCacheDefinition" Target="pivotCache/pivotCacheDefinition7.xml"/><Relationship Id="rId33" Type="http://schemas.microsoft.com/office/2011/relationships/timelineCache" Target="timelineCaches/timelineCache1.xml"/><Relationship Id="rId38" Type="http://schemas.microsoft.com/office/2007/relationships/slicerCache" Target="slicerCaches/slicerCache3.xml"/><Relationship Id="rId46" Type="http://schemas.openxmlformats.org/officeDocument/2006/relationships/customXml" Target="../customXml/item3.xml"/><Relationship Id="rId20" Type="http://schemas.openxmlformats.org/officeDocument/2006/relationships/pivotCacheDefinition" Target="pivotCache/pivotCacheDefinition2.xml"/><Relationship Id="rId41" Type="http://schemas.openxmlformats.org/officeDocument/2006/relationships/sharedStrings" Target="sharedStrings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TRANSF pr'!A1"/><Relationship Id="rId1" Type="http://schemas.openxmlformats.org/officeDocument/2006/relationships/hyperlink" Target="#'TRANSF DIV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57693</xdr:rowOff>
    </xdr:from>
    <xdr:to>
      <xdr:col>6</xdr:col>
      <xdr:colOff>664030</xdr:colOff>
      <xdr:row>86</xdr:row>
      <xdr:rowOff>92801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t. Inic. Sem. 3">
              <a:extLst>
                <a:ext uri="{FF2B5EF4-FFF2-40B4-BE49-F238E27FC236}">
                  <a16:creationId xmlns:a16="http://schemas.microsoft.com/office/drawing/2014/main" id="{17E37F9B-BA21-4F91-A9A4-6C37A67F90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t. Inic. Sem.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767264"/>
              <a:ext cx="7663544" cy="1117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802821</xdr:colOff>
      <xdr:row>17</xdr:row>
      <xdr:rowOff>95431</xdr:rowOff>
    </xdr:from>
    <xdr:to>
      <xdr:col>5</xdr:col>
      <xdr:colOff>511628</xdr:colOff>
      <xdr:row>23</xdr:row>
      <xdr:rowOff>76200</xdr:rowOff>
    </xdr:to>
    <xdr:sp macro="" textlink="">
      <xdr:nvSpPr>
        <xdr:cNvPr id="2" name="Seta: Dobrada 1">
          <a:extLst>
            <a:ext uri="{FF2B5EF4-FFF2-40B4-BE49-F238E27FC236}">
              <a16:creationId xmlns:a16="http://schemas.microsoft.com/office/drawing/2014/main" id="{8345B8E3-F842-4E0C-9E3F-24E27CFAF598}"/>
            </a:ext>
          </a:extLst>
        </xdr:cNvPr>
        <xdr:cNvSpPr/>
      </xdr:nvSpPr>
      <xdr:spPr>
        <a:xfrm rot="10800000">
          <a:off x="6342561" y="3623491"/>
          <a:ext cx="745127" cy="1276169"/>
        </a:xfrm>
        <a:prstGeom prst="ben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25</xdr:row>
      <xdr:rowOff>106680</xdr:rowOff>
    </xdr:from>
    <xdr:to>
      <xdr:col>5</xdr:col>
      <xdr:colOff>348343</xdr:colOff>
      <xdr:row>32</xdr:row>
      <xdr:rowOff>74023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t. Aloj. 4">
              <a:extLst>
                <a:ext uri="{FF2B5EF4-FFF2-40B4-BE49-F238E27FC236}">
                  <a16:creationId xmlns:a16="http://schemas.microsoft.com/office/drawing/2014/main" id="{54C8B60A-2BBF-44A9-8C6D-4226DD5554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t. Aloj.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31823"/>
              <a:ext cx="6640286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115388</xdr:rowOff>
    </xdr:from>
    <xdr:to>
      <xdr:col>6</xdr:col>
      <xdr:colOff>312083</xdr:colOff>
      <xdr:row>29</xdr:row>
      <xdr:rowOff>115388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t. Aloj.">
              <a:extLst>
                <a:ext uri="{FF2B5EF4-FFF2-40B4-BE49-F238E27FC236}">
                  <a16:creationId xmlns:a16="http://schemas.microsoft.com/office/drawing/2014/main" id="{BC0D7FA2-7830-1548-29BB-0FD2FEB742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t. Aloj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665617"/>
              <a:ext cx="7728856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13</xdr:col>
      <xdr:colOff>373769</xdr:colOff>
      <xdr:row>0</xdr:row>
      <xdr:rowOff>0</xdr:rowOff>
    </xdr:to>
    <xdr:sp macro="" textlink="">
      <xdr:nvSpPr>
        <xdr:cNvPr id="2" name="Text 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EDCB37-DB1A-403F-BE5A-B7191F443672}"/>
            </a:ext>
          </a:extLst>
        </xdr:cNvPr>
        <xdr:cNvSpPr txBox="1">
          <a:spLocks noChangeArrowheads="1"/>
        </xdr:cNvSpPr>
      </xdr:nvSpPr>
      <xdr:spPr bwMode="auto">
        <a:xfrm>
          <a:off x="822960" y="0"/>
          <a:ext cx="14699369" cy="0"/>
        </a:xfrm>
        <a:prstGeom prst="rect">
          <a:avLst/>
        </a:prstGeom>
        <a:gradFill rotWithShape="0">
          <a:gsLst>
            <a:gs pos="0">
              <a:srgbClr val="339933"/>
            </a:gs>
            <a:gs pos="100000">
              <a:srgbClr val="CCFFCC"/>
            </a:gs>
          </a:gsLst>
          <a:lin ang="2700000" scaled="1"/>
        </a:gradFill>
        <a:ln w="9525">
          <a:noFill/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pt-BR" sz="1600" b="1" i="1" strike="noStrike">
              <a:solidFill>
                <a:srgbClr val="000000"/>
              </a:solidFill>
              <a:latin typeface="MS Sans Serif"/>
            </a:rPr>
            <a:t>MENU</a:t>
          </a:r>
        </a:p>
      </xdr:txBody>
    </xdr:sp>
    <xdr:clientData fPrintsWithSheet="0"/>
  </xdr:twoCellAnchor>
  <xdr:twoCellAnchor>
    <xdr:from>
      <xdr:col>21</xdr:col>
      <xdr:colOff>340883</xdr:colOff>
      <xdr:row>0</xdr:row>
      <xdr:rowOff>0</xdr:rowOff>
    </xdr:from>
    <xdr:to>
      <xdr:col>21</xdr:col>
      <xdr:colOff>462627</xdr:colOff>
      <xdr:row>0</xdr:row>
      <xdr:rowOff>0</xdr:rowOff>
    </xdr:to>
    <xdr:sp macro="" textlink="">
      <xdr:nvSpPr>
        <xdr:cNvPr id="3" name="Text 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9595F3-4BD0-4B36-97B4-4C0D29B158BF}"/>
            </a:ext>
          </a:extLst>
        </xdr:cNvPr>
        <xdr:cNvSpPr txBox="1">
          <a:spLocks noChangeArrowheads="1"/>
        </xdr:cNvSpPr>
      </xdr:nvSpPr>
      <xdr:spPr bwMode="auto">
        <a:xfrm>
          <a:off x="27117563" y="0"/>
          <a:ext cx="121744" cy="0"/>
        </a:xfrm>
        <a:prstGeom prst="rect">
          <a:avLst/>
        </a:prstGeom>
        <a:gradFill rotWithShape="0">
          <a:gsLst>
            <a:gs pos="0">
              <a:srgbClr val="339933"/>
            </a:gs>
            <a:gs pos="100000">
              <a:srgbClr val="CCFFCC"/>
            </a:gs>
          </a:gsLst>
          <a:lin ang="2700000" scaled="1"/>
        </a:gradFill>
        <a:ln w="9525">
          <a:noFill/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pt-BR" sz="1600" b="1" i="1" strike="noStrike">
              <a:solidFill>
                <a:srgbClr val="000000"/>
              </a:solidFill>
              <a:latin typeface="MS Sans Serif"/>
            </a:rPr>
            <a:t>VOLTAR</a:t>
          </a:r>
        </a:p>
      </xdr:txBody>
    </xdr:sp>
    <xdr:clientData fPrintsWithSheet="0"/>
  </xdr:twoCellAnchor>
  <xdr:twoCellAnchor>
    <xdr:from>
      <xdr:col>21</xdr:col>
      <xdr:colOff>5603</xdr:colOff>
      <xdr:row>0</xdr:row>
      <xdr:rowOff>0</xdr:rowOff>
    </xdr:from>
    <xdr:to>
      <xdr:col>21</xdr:col>
      <xdr:colOff>5603</xdr:colOff>
      <xdr:row>0</xdr:row>
      <xdr:rowOff>0</xdr:rowOff>
    </xdr:to>
    <xdr:sp macro="" textlink="">
      <xdr:nvSpPr>
        <xdr:cNvPr id="4" name="Text Box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588D7A-46BD-4BD9-A48B-CA92A6FF0A36}"/>
            </a:ext>
          </a:extLst>
        </xdr:cNvPr>
        <xdr:cNvSpPr txBox="1">
          <a:spLocks noChangeArrowheads="1"/>
        </xdr:cNvSpPr>
      </xdr:nvSpPr>
      <xdr:spPr bwMode="auto">
        <a:xfrm>
          <a:off x="26782283" y="0"/>
          <a:ext cx="0" cy="0"/>
        </a:xfrm>
        <a:prstGeom prst="rect">
          <a:avLst/>
        </a:prstGeom>
        <a:gradFill rotWithShape="0">
          <a:gsLst>
            <a:gs pos="0">
              <a:srgbClr val="339933"/>
            </a:gs>
            <a:gs pos="100000">
              <a:srgbClr val="CCFFCC"/>
            </a:gs>
          </a:gsLst>
          <a:lin ang="2700000" scaled="1"/>
        </a:gradFill>
        <a:ln w="9525">
          <a:noFill/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pt-BR" sz="1600" b="1" i="1" strike="noStrike">
              <a:solidFill>
                <a:srgbClr val="000000"/>
              </a:solidFill>
              <a:latin typeface="MS Sans Serif"/>
            </a:rPr>
            <a:t>VOLTAR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151311</xdr:rowOff>
    </xdr:from>
    <xdr:to>
      <xdr:col>6</xdr:col>
      <xdr:colOff>43542</xdr:colOff>
      <xdr:row>36</xdr:row>
      <xdr:rowOff>85997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t. Aloj. 1">
              <a:extLst>
                <a:ext uri="{FF2B5EF4-FFF2-40B4-BE49-F238E27FC236}">
                  <a16:creationId xmlns:a16="http://schemas.microsoft.com/office/drawing/2014/main" id="{C4E72DD5-C84A-7243-C6CE-C3084226DA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t. Aloj.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390311"/>
              <a:ext cx="7979228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149135</xdr:rowOff>
    </xdr:from>
    <xdr:to>
      <xdr:col>15</xdr:col>
      <xdr:colOff>895893</xdr:colOff>
      <xdr:row>32</xdr:row>
      <xdr:rowOff>149135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t. Aloj. 2">
              <a:extLst>
                <a:ext uri="{FF2B5EF4-FFF2-40B4-BE49-F238E27FC236}">
                  <a16:creationId xmlns:a16="http://schemas.microsoft.com/office/drawing/2014/main" id="{27E3C791-8823-0A06-04E4-A1F307022B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t. Aloj.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285706"/>
              <a:ext cx="8142514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91438</xdr:colOff>
      <xdr:row>18</xdr:row>
      <xdr:rowOff>102869</xdr:rowOff>
    </xdr:from>
    <xdr:to>
      <xdr:col>16</xdr:col>
      <xdr:colOff>186688</xdr:colOff>
      <xdr:row>22</xdr:row>
      <xdr:rowOff>5715</xdr:rowOff>
    </xdr:to>
    <xdr:sp macro="" textlink="">
      <xdr:nvSpPr>
        <xdr:cNvPr id="2" name="Seta: para a Esquerda 1">
          <a:extLst>
            <a:ext uri="{FF2B5EF4-FFF2-40B4-BE49-F238E27FC236}">
              <a16:creationId xmlns:a16="http://schemas.microsoft.com/office/drawing/2014/main" id="{D2C89398-560C-9FC3-6660-786441A2B8B6}"/>
            </a:ext>
          </a:extLst>
        </xdr:cNvPr>
        <xdr:cNvSpPr/>
      </xdr:nvSpPr>
      <xdr:spPr>
        <a:xfrm rot="10800000">
          <a:off x="14287498" y="3585209"/>
          <a:ext cx="864870" cy="664846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438150</xdr:colOff>
      <xdr:row>38</xdr:row>
      <xdr:rowOff>95250</xdr:rowOff>
    </xdr:from>
    <xdr:to>
      <xdr:col>18</xdr:col>
      <xdr:colOff>523875</xdr:colOff>
      <xdr:row>41</xdr:row>
      <xdr:rowOff>188596</xdr:rowOff>
    </xdr:to>
    <xdr:sp macro="" textlink="">
      <xdr:nvSpPr>
        <xdr:cNvPr id="3" name="Seta: para a Esquerda 2">
          <a:extLst>
            <a:ext uri="{FF2B5EF4-FFF2-40B4-BE49-F238E27FC236}">
              <a16:creationId xmlns:a16="http://schemas.microsoft.com/office/drawing/2014/main" id="{9F3026BC-5D36-408F-BAA4-6DDEEECF9C91}"/>
            </a:ext>
          </a:extLst>
        </xdr:cNvPr>
        <xdr:cNvSpPr/>
      </xdr:nvSpPr>
      <xdr:spPr>
        <a:xfrm rot="10800000">
          <a:off x="17278350" y="7391400"/>
          <a:ext cx="866775" cy="664846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569595</xdr:colOff>
      <xdr:row>1</xdr:row>
      <xdr:rowOff>188595</xdr:rowOff>
    </xdr:from>
    <xdr:to>
      <xdr:col>12</xdr:col>
      <xdr:colOff>586740</xdr:colOff>
      <xdr:row>15</xdr:row>
      <xdr:rowOff>41595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Unidade">
              <a:extLst>
                <a:ext uri="{FF2B5EF4-FFF2-40B4-BE49-F238E27FC236}">
                  <a16:creationId xmlns:a16="http://schemas.microsoft.com/office/drawing/2014/main" id="{6C8057B0-CE73-9FCB-62E9-D32260BA45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85710" y="386715"/>
              <a:ext cx="2897505" cy="25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342901</xdr:colOff>
      <xdr:row>1</xdr:row>
      <xdr:rowOff>171449</xdr:rowOff>
    </xdr:from>
    <xdr:to>
      <xdr:col>3</xdr:col>
      <xdr:colOff>1293495</xdr:colOff>
      <xdr:row>15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Unidade 1">
              <a:extLst>
                <a:ext uri="{FF2B5EF4-FFF2-40B4-BE49-F238E27FC236}">
                  <a16:creationId xmlns:a16="http://schemas.microsoft.com/office/drawing/2014/main" id="{4645E4A3-7F4C-6A75-244B-77BB93B3A3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3461" y="373379"/>
              <a:ext cx="2588894" cy="25298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21</xdr:col>
      <xdr:colOff>177165</xdr:colOff>
      <xdr:row>1</xdr:row>
      <xdr:rowOff>59055</xdr:rowOff>
    </xdr:from>
    <xdr:to>
      <xdr:col>24</xdr:col>
      <xdr:colOff>603885</xdr:colOff>
      <xdr:row>14</xdr:row>
      <xdr:rowOff>171450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Emp">
              <a:extLst>
                <a:ext uri="{FF2B5EF4-FFF2-40B4-BE49-F238E27FC236}">
                  <a16:creationId xmlns:a16="http://schemas.microsoft.com/office/drawing/2014/main" id="{AE931EE4-49BD-5C7B-9E3A-FF038A3004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05960" y="264795"/>
              <a:ext cx="2095500" cy="2567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23</xdr:row>
      <xdr:rowOff>129540</xdr:rowOff>
    </xdr:from>
    <xdr:to>
      <xdr:col>11</xdr:col>
      <xdr:colOff>2187</xdr:colOff>
      <xdr:row>28</xdr:row>
      <xdr:rowOff>144864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0C53FD-B424-8D7A-0F7F-43A572828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7780" y="4541520"/>
          <a:ext cx="3254022" cy="967824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34</xdr:row>
      <xdr:rowOff>182880</xdr:rowOff>
    </xdr:from>
    <xdr:to>
      <xdr:col>11</xdr:col>
      <xdr:colOff>923188</xdr:colOff>
      <xdr:row>51</xdr:row>
      <xdr:rowOff>76471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8DB59BA-49E1-A2A6-ACBE-B2A7D2CCA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" y="6713220"/>
          <a:ext cx="13473328" cy="31320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DM-PCP/VOLNEI%20S.%20PEREIRA/Alojamento_Grupo/Pluma%20COBB%202025.xlsx" TargetMode="External"/><Relationship Id="rId2" Type="http://schemas.openxmlformats.org/officeDocument/2006/relationships/externalLinkPath" Target="https://plumaagrobr.sharepoint.com/sites/GP-PCP/Documentos%20Compartilhados/ADM-PCP/VOLNEI%20S.%20PEREIRA/Alojamento_Grupo/Pluma%20COBB%202025.xlsx" TargetMode="External"/><Relationship Id="rId1" Type="http://schemas.openxmlformats.org/officeDocument/2006/relationships/externalLinkPath" Target="/sites/GP-PCP/Documentos%20Compartilhados/ADM-PCP/VOLNEI%20S.%20PEREIRA/Alojamento_Grupo/Pluma%20COBB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lumaagrobr.sharepoint.com/sites/GP-PCP/Documentos%20Compartilhados/Corporativo%20-%20PCP/1%20-%20PROGRAMA&#199;&#195;O%20DE%20ALOJAMENTO/Alojamento%20Atual%20PR-SC-SP%20%2030-09-25.xlsx" TargetMode="External"/><Relationship Id="rId1" Type="http://schemas.openxmlformats.org/officeDocument/2006/relationships/externalLinkPath" Target="Alojamento%20Atual%20PR-SC-SP%20%2030-09-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sta8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B_vl4Q5WaUuwjjmYAeZPBjppup3ceRFAgRpGdO4NtI7cCIyjsIJ0TYivNJ8VMhGU" itemId="01PWSWBYPUUMRGM3KFDNDZWGBRD4LGRRQY">
      <xxl21:absoluteUrl r:id="rId2"/>
      <xxl21:relativeUrl r:id="rId3"/>
    </xxl21:alternateUrls>
    <sheetNames>
      <sheetName val="Pluma 2025"/>
      <sheetName val="Pluma Brasilia 2025"/>
      <sheetName val="Pluma 2025 11.10"/>
      <sheetName val="Pluma 2025 17.04"/>
      <sheetName val="COBB_FAST"/>
      <sheetName val="Pluma 2025 30.04"/>
      <sheetName val="Pluma 2025 14.05"/>
      <sheetName val="Pluma 2025 18.06"/>
      <sheetName val="Pluma 2025 29.07"/>
      <sheetName val="Pluma 2025 PR e SP 03.09"/>
      <sheetName val="Pluma 2025 PR e SP 24.09"/>
      <sheetName val="Pluma 2026 - 03.09"/>
      <sheetName val="Pluma 2026 - 30.12"/>
    </sheetNames>
    <sheetDataSet>
      <sheetData sheetId="0"/>
      <sheetData sheetId="1"/>
      <sheetData sheetId="2"/>
      <sheetData sheetId="3"/>
      <sheetData sheetId="4"/>
      <sheetData sheetId="5">
        <row r="65">
          <cell r="J65" t="str">
            <v>Alto da Serra - PR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ná"/>
      <sheetName val="São Paulo"/>
      <sheetName val="Plusval"/>
      <sheetName val="Mineiros"/>
      <sheetName val="Campo Verde"/>
      <sheetName val="Sequencial"/>
      <sheetName val="Capacidades"/>
      <sheetName val="Extração"/>
      <sheetName val="Planilha1"/>
      <sheetName val="Cronograma Gsj Novas"/>
      <sheetName val="Aviag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Total de aves  Alojadas</v>
          </cell>
          <cell r="B1">
            <v>4595000</v>
          </cell>
          <cell r="C1"/>
          <cell r="E1" t="str">
            <v>Total de aves  Alojadas</v>
          </cell>
          <cell r="F1">
            <v>4369000</v>
          </cell>
          <cell r="G1"/>
          <cell r="J1" t="str">
            <v>Total de aves  Alojadas</v>
          </cell>
          <cell r="K1">
            <v>580000</v>
          </cell>
          <cell r="L1"/>
          <cell r="N1" t="str">
            <v>Total de aves  Alojadas</v>
          </cell>
          <cell r="O1">
            <v>655000</v>
          </cell>
          <cell r="P1"/>
        </row>
        <row r="2">
          <cell r="A2" t="str">
            <v>Total de aves  Transferidas</v>
          </cell>
          <cell r="B2">
            <v>4388225</v>
          </cell>
          <cell r="C2"/>
          <cell r="E2" t="str">
            <v>Qtde ovo / Ave</v>
          </cell>
          <cell r="F2">
            <v>180</v>
          </cell>
          <cell r="G2"/>
          <cell r="J2" t="str">
            <v>Total de aves  Transferidas</v>
          </cell>
          <cell r="K2">
            <v>553900</v>
          </cell>
          <cell r="L2"/>
          <cell r="N2" t="str">
            <v>Qtde ovo / Ave</v>
          </cell>
          <cell r="O2">
            <v>180</v>
          </cell>
          <cell r="P2"/>
        </row>
        <row r="3">
          <cell r="A3" t="str">
            <v>Qtde ovo / Ave</v>
          </cell>
          <cell r="B3">
            <v>180</v>
          </cell>
          <cell r="C3"/>
          <cell r="E3" t="str">
            <v xml:space="preserve">Volume de ovos Produzidos </v>
          </cell>
          <cell r="F3">
            <v>786420000</v>
          </cell>
          <cell r="G3"/>
          <cell r="J3" t="str">
            <v>Qtde ovo / Ave</v>
          </cell>
          <cell r="K3">
            <v>180</v>
          </cell>
          <cell r="L3"/>
          <cell r="N3" t="str">
            <v xml:space="preserve">Volume de ovos Produzidos </v>
          </cell>
          <cell r="O3">
            <v>117900000</v>
          </cell>
          <cell r="P3"/>
        </row>
        <row r="4">
          <cell r="A4" t="str">
            <v xml:space="preserve">Volume de ovos Produzidos </v>
          </cell>
          <cell r="B4">
            <v>789880500</v>
          </cell>
          <cell r="C4" t="str">
            <v>Empresa</v>
          </cell>
          <cell r="E4"/>
          <cell r="F4">
            <v>-19225</v>
          </cell>
          <cell r="G4" t="str">
            <v>Emp / CC</v>
          </cell>
          <cell r="J4" t="str">
            <v xml:space="preserve">Volume de ovos Produzidos </v>
          </cell>
          <cell r="K4">
            <v>99702000</v>
          </cell>
          <cell r="L4" t="str">
            <v>Empresa</v>
          </cell>
          <cell r="N4"/>
          <cell r="O4">
            <v>101100</v>
          </cell>
          <cell r="P4" t="str">
            <v>Empresa</v>
          </cell>
        </row>
        <row r="5">
          <cell r="A5" t="str">
            <v>Alto da Serra - PR</v>
          </cell>
          <cell r="B5">
            <v>60000</v>
          </cell>
          <cell r="C5" t="str">
            <v>128_1367</v>
          </cell>
          <cell r="E5" t="str">
            <v>Agua do Sabia - PR</v>
          </cell>
          <cell r="F5">
            <v>57000</v>
          </cell>
          <cell r="G5" t="str">
            <v>10_17</v>
          </cell>
          <cell r="J5" t="str">
            <v>Bom Retiro 01 - SP</v>
          </cell>
          <cell r="K5">
            <v>65000</v>
          </cell>
          <cell r="L5" t="str">
            <v>39_479</v>
          </cell>
          <cell r="N5" t="str">
            <v>Betina</v>
          </cell>
          <cell r="O5">
            <v>70000</v>
          </cell>
          <cell r="P5" t="str">
            <v>14_447</v>
          </cell>
        </row>
        <row r="6">
          <cell r="A6" t="str">
            <v>Bom S. Recria 1 - PR</v>
          </cell>
          <cell r="B6">
            <v>42000</v>
          </cell>
          <cell r="C6" t="str">
            <v>117_139</v>
          </cell>
          <cell r="E6" t="str">
            <v>Alto Verê - PR</v>
          </cell>
          <cell r="F6">
            <v>24000</v>
          </cell>
          <cell r="G6" t="str">
            <v>10_18</v>
          </cell>
          <cell r="J6" t="str">
            <v>Bom Retiro 02 - SP</v>
          </cell>
          <cell r="K6">
            <v>45000</v>
          </cell>
          <cell r="L6" t="str">
            <v>39_464</v>
          </cell>
          <cell r="N6" t="str">
            <v>Carolina</v>
          </cell>
          <cell r="O6">
            <v>28000</v>
          </cell>
          <cell r="P6" t="str">
            <v>14_496</v>
          </cell>
        </row>
        <row r="7">
          <cell r="A7" t="str">
            <v>Bom S. Recria 2 - PR</v>
          </cell>
          <cell r="B7">
            <v>84000</v>
          </cell>
          <cell r="C7" t="str">
            <v>117_1531</v>
          </cell>
          <cell r="E7" t="str">
            <v>Asa branca - PR</v>
          </cell>
          <cell r="F7">
            <v>36000</v>
          </cell>
          <cell r="G7" t="str">
            <v>89_864</v>
          </cell>
          <cell r="J7" t="str">
            <v>Rosa Maria 01 - SP</v>
          </cell>
          <cell r="K7">
            <v>30000</v>
          </cell>
          <cell r="L7" t="str">
            <v>22_494</v>
          </cell>
          <cell r="N7" t="str">
            <v>Fazenda Santa Rosa</v>
          </cell>
          <cell r="O7">
            <v>58000</v>
          </cell>
          <cell r="P7" t="str">
            <v>19_495</v>
          </cell>
        </row>
        <row r="8">
          <cell r="A8" t="str">
            <v>Corti - PR</v>
          </cell>
          <cell r="B8">
            <v>42000</v>
          </cell>
          <cell r="C8" t="str">
            <v>10_130</v>
          </cell>
          <cell r="E8" t="str">
            <v>Bela Vista 1 - PR</v>
          </cell>
          <cell r="F8">
            <v>40000</v>
          </cell>
          <cell r="G8" t="str">
            <v>17_104</v>
          </cell>
          <cell r="J8" t="str">
            <v>Rosa Maria 02 - SP</v>
          </cell>
          <cell r="K8">
            <v>30000</v>
          </cell>
          <cell r="L8" t="str">
            <v>22_481</v>
          </cell>
          <cell r="N8" t="str">
            <v>Pardinho 1</v>
          </cell>
          <cell r="O8">
            <v>60000</v>
          </cell>
          <cell r="P8" t="str">
            <v>18_476</v>
          </cell>
        </row>
        <row r="9">
          <cell r="A9" t="str">
            <v>Esperança 1  - PR</v>
          </cell>
          <cell r="B9">
            <v>60000</v>
          </cell>
          <cell r="C9" t="str">
            <v>10_49</v>
          </cell>
          <cell r="E9" t="str">
            <v>Bela Vista 2 - PR</v>
          </cell>
          <cell r="F9">
            <v>40000</v>
          </cell>
          <cell r="G9" t="str">
            <v>17_105</v>
          </cell>
          <cell r="J9" t="str">
            <v>Vilela</v>
          </cell>
          <cell r="K9">
            <v>60000</v>
          </cell>
          <cell r="L9" t="str">
            <v>10-115</v>
          </cell>
          <cell r="N9" t="str">
            <v>Pardinho 2</v>
          </cell>
          <cell r="O9">
            <v>17000</v>
          </cell>
          <cell r="P9" t="str">
            <v>18_473</v>
          </cell>
        </row>
        <row r="10">
          <cell r="A10" t="str">
            <v>Esperança 2 - PR</v>
          </cell>
          <cell r="B10">
            <v>60000</v>
          </cell>
          <cell r="C10" t="str">
            <v>10_149</v>
          </cell>
          <cell r="E10" t="str">
            <v>Bela Vista 3 - PR</v>
          </cell>
          <cell r="F10">
            <v>40000</v>
          </cell>
          <cell r="G10" t="str">
            <v>17_106</v>
          </cell>
          <cell r="J10" t="str">
            <v>Eduardo Fig. - SP</v>
          </cell>
          <cell r="K10">
            <v>60000</v>
          </cell>
          <cell r="L10" t="str">
            <v>29_2238</v>
          </cell>
          <cell r="N10" t="str">
            <v>Potreiro 1</v>
          </cell>
          <cell r="O10">
            <v>23500</v>
          </cell>
          <cell r="P10" t="str">
            <v>81_482</v>
          </cell>
        </row>
        <row r="11">
          <cell r="A11" t="str">
            <v>Esperança 3 - PR</v>
          </cell>
          <cell r="B11">
            <v>84000</v>
          </cell>
          <cell r="C11" t="str">
            <v>10_1295</v>
          </cell>
          <cell r="E11" t="str">
            <v>Bela Vista 4 - PR</v>
          </cell>
          <cell r="F11">
            <v>40000</v>
          </cell>
          <cell r="G11" t="str">
            <v>17_107</v>
          </cell>
          <cell r="J11"/>
          <cell r="K11"/>
          <cell r="L11"/>
          <cell r="N11" t="str">
            <v>Potreiro 2</v>
          </cell>
          <cell r="O11">
            <v>23500</v>
          </cell>
          <cell r="P11" t="str">
            <v>81_483</v>
          </cell>
        </row>
        <row r="12">
          <cell r="A12" t="str">
            <v>Iguaçu Recria - PR</v>
          </cell>
          <cell r="B12">
            <v>60000</v>
          </cell>
          <cell r="C12" t="str">
            <v>10_1250</v>
          </cell>
          <cell r="E12" t="str">
            <v>Bem-te-vi - SC</v>
          </cell>
          <cell r="F12">
            <v>30000</v>
          </cell>
          <cell r="G12" t="str">
            <v>96_1029</v>
          </cell>
          <cell r="J12"/>
          <cell r="K12"/>
          <cell r="L12"/>
          <cell r="N12" t="str">
            <v>Potreiro 3</v>
          </cell>
          <cell r="O12">
            <v>23500</v>
          </cell>
          <cell r="P12" t="str">
            <v>81_484</v>
          </cell>
        </row>
        <row r="13">
          <cell r="A13" t="str">
            <v>Nossa S. Carmo 1 - PR</v>
          </cell>
          <cell r="B13">
            <v>42000</v>
          </cell>
          <cell r="C13" t="str">
            <v>10_169</v>
          </cell>
          <cell r="E13" t="str">
            <v>Biava - PR</v>
          </cell>
          <cell r="F13">
            <v>26000</v>
          </cell>
          <cell r="G13" t="str">
            <v>10_20</v>
          </cell>
          <cell r="J13"/>
          <cell r="K13"/>
          <cell r="L13"/>
          <cell r="N13" t="str">
            <v>Potreiro 4</v>
          </cell>
          <cell r="O13">
            <v>23500</v>
          </cell>
          <cell r="P13" t="str">
            <v>81_826</v>
          </cell>
        </row>
        <row r="14">
          <cell r="A14" t="str">
            <v>Nossa S. Carmo 2 - PR</v>
          </cell>
          <cell r="B14">
            <v>60000</v>
          </cell>
          <cell r="C14" t="str">
            <v>10_1182</v>
          </cell>
          <cell r="E14" t="str">
            <v>Bom sucesso 1 - PR</v>
          </cell>
          <cell r="F14">
            <v>40000</v>
          </cell>
          <cell r="G14" t="str">
            <v>117_88</v>
          </cell>
          <cell r="J14"/>
          <cell r="K14"/>
          <cell r="L14"/>
          <cell r="N14" t="str">
            <v>Potreiro 5</v>
          </cell>
          <cell r="O14">
            <v>24000</v>
          </cell>
          <cell r="P14" t="str">
            <v>81_785</v>
          </cell>
        </row>
        <row r="15">
          <cell r="A15" t="str">
            <v>Panorama 1 - PR</v>
          </cell>
          <cell r="B15">
            <v>46000</v>
          </cell>
          <cell r="C15" t="str">
            <v>10_180</v>
          </cell>
          <cell r="E15" t="str">
            <v>Bom sucesso 2 - PR</v>
          </cell>
          <cell r="F15">
            <v>40000</v>
          </cell>
          <cell r="G15" t="str">
            <v>117_124</v>
          </cell>
          <cell r="J15"/>
          <cell r="K15"/>
          <cell r="L15"/>
          <cell r="N15" t="str">
            <v>Potreiro 6</v>
          </cell>
          <cell r="O15">
            <v>18000</v>
          </cell>
          <cell r="P15" t="str">
            <v>81_786</v>
          </cell>
        </row>
        <row r="16">
          <cell r="A16" t="str">
            <v>Panorama 2 - PR</v>
          </cell>
          <cell r="B16">
            <v>63000</v>
          </cell>
          <cell r="C16" t="str">
            <v>10_369</v>
          </cell>
          <cell r="E16" t="str">
            <v>Bom sucesso 3 - PR</v>
          </cell>
          <cell r="F16">
            <v>40000</v>
          </cell>
          <cell r="G16" t="str">
            <v>117_157</v>
          </cell>
          <cell r="J16"/>
          <cell r="K16"/>
          <cell r="L16"/>
          <cell r="N16" t="str">
            <v>Samambaia 1</v>
          </cell>
          <cell r="O16">
            <v>45000</v>
          </cell>
          <cell r="P16" t="str">
            <v>87_853</v>
          </cell>
        </row>
        <row r="17">
          <cell r="A17" t="str">
            <v>Panorama 3 - PR</v>
          </cell>
          <cell r="B17">
            <v>74000</v>
          </cell>
          <cell r="C17" t="str">
            <v>10_776</v>
          </cell>
          <cell r="E17" t="str">
            <v>Bom sucesso 4 - PR</v>
          </cell>
          <cell r="F17">
            <v>40000</v>
          </cell>
          <cell r="G17" t="str">
            <v>117_202</v>
          </cell>
          <cell r="J17"/>
          <cell r="K17"/>
          <cell r="L17"/>
          <cell r="N17" t="str">
            <v>Samambaia 2</v>
          </cell>
          <cell r="O17">
            <v>38000</v>
          </cell>
          <cell r="P17" t="str">
            <v>87_854</v>
          </cell>
        </row>
        <row r="18">
          <cell r="A18" t="str">
            <v>Picolli recria - PR</v>
          </cell>
          <cell r="B18">
            <v>60000</v>
          </cell>
          <cell r="C18" t="str">
            <v>10_203</v>
          </cell>
          <cell r="E18" t="str">
            <v>Bom sucesso 5 - PR</v>
          </cell>
          <cell r="F18">
            <v>40000</v>
          </cell>
          <cell r="G18" t="str">
            <v>117_219</v>
          </cell>
          <cell r="J18"/>
          <cell r="K18"/>
          <cell r="L18"/>
          <cell r="N18" t="str">
            <v>Samambaia 3</v>
          </cell>
          <cell r="O18">
            <v>28000</v>
          </cell>
          <cell r="P18" t="str">
            <v>87_855</v>
          </cell>
        </row>
        <row r="19">
          <cell r="A19" t="str">
            <v>Pluma 1 - PR</v>
          </cell>
          <cell r="B19">
            <v>107000</v>
          </cell>
          <cell r="C19" t="str">
            <v>112_29</v>
          </cell>
          <cell r="E19" t="str">
            <v>Bragapolis - PR</v>
          </cell>
          <cell r="F19">
            <v>70000</v>
          </cell>
          <cell r="G19" t="str">
            <v>10_1027</v>
          </cell>
          <cell r="J19"/>
          <cell r="K19"/>
          <cell r="L19"/>
          <cell r="N19" t="str">
            <v>Morro Agudo</v>
          </cell>
          <cell r="O19">
            <v>34000</v>
          </cell>
          <cell r="P19" t="str">
            <v>92_961</v>
          </cell>
        </row>
        <row r="20">
          <cell r="A20" t="str">
            <v>Pluma 2 - PR</v>
          </cell>
          <cell r="B20">
            <v>72000</v>
          </cell>
          <cell r="C20" t="str">
            <v>112_67</v>
          </cell>
          <cell r="E20" t="str">
            <v>Butiá - PR</v>
          </cell>
          <cell r="F20">
            <v>36000</v>
          </cell>
          <cell r="G20" t="str">
            <v>122_22</v>
          </cell>
          <cell r="J20"/>
          <cell r="K20"/>
          <cell r="L20"/>
          <cell r="N20" t="str">
            <v>Brodoski</v>
          </cell>
          <cell r="O20" t="str">
            <v>34000</v>
          </cell>
          <cell r="P20" t="str">
            <v>130_451</v>
          </cell>
        </row>
        <row r="21">
          <cell r="A21" t="str">
            <v>Pluma 3 - PR</v>
          </cell>
          <cell r="B21">
            <v>60000</v>
          </cell>
          <cell r="C21" t="str">
            <v>112_16</v>
          </cell>
          <cell r="E21" t="str">
            <v>Canguçu 1 - PR</v>
          </cell>
          <cell r="F21">
            <v>57000</v>
          </cell>
          <cell r="G21" t="str">
            <v>10_860</v>
          </cell>
          <cell r="J21"/>
          <cell r="K21"/>
          <cell r="L21"/>
          <cell r="N21" t="str">
            <v>Santelmo - SP</v>
          </cell>
          <cell r="O21">
            <v>36000</v>
          </cell>
          <cell r="P21" t="str">
            <v>121_2237</v>
          </cell>
        </row>
        <row r="22">
          <cell r="A22" t="str">
            <v>Pluma 4 - PR</v>
          </cell>
          <cell r="B22">
            <v>84000</v>
          </cell>
          <cell r="C22" t="str">
            <v>112_1939</v>
          </cell>
          <cell r="E22" t="str">
            <v>Canguçu 2 - PR</v>
          </cell>
          <cell r="F22">
            <v>57000</v>
          </cell>
          <cell r="G22" t="str">
            <v>10_1296</v>
          </cell>
          <cell r="J22"/>
          <cell r="K22"/>
          <cell r="L22"/>
          <cell r="N22" t="str">
            <v>Beltrame</v>
          </cell>
          <cell r="O22">
            <v>24000</v>
          </cell>
          <cell r="P22" t="str">
            <v>126_2244</v>
          </cell>
        </row>
        <row r="23">
          <cell r="A23" t="str">
            <v>Pluma 5 - PR</v>
          </cell>
          <cell r="B23">
            <v>60000</v>
          </cell>
          <cell r="C23" t="str">
            <v>112_2399</v>
          </cell>
          <cell r="E23" t="str">
            <v>Canguçu 3 - PR</v>
          </cell>
          <cell r="F23">
            <v>57000</v>
          </cell>
          <cell r="G23" t="str">
            <v>10_1459</v>
          </cell>
          <cell r="J23"/>
          <cell r="K23"/>
          <cell r="L23"/>
          <cell r="N23" t="str">
            <v>Olivio Serra</v>
          </cell>
          <cell r="O23">
            <v>24000</v>
          </cell>
          <cell r="P23" t="str">
            <v>125_2245</v>
          </cell>
        </row>
        <row r="24">
          <cell r="A24" t="str">
            <v>Pluma 6 - PR</v>
          </cell>
          <cell r="B24">
            <v>84000</v>
          </cell>
          <cell r="C24" t="str">
            <v>112_2401</v>
          </cell>
          <cell r="E24" t="str">
            <v>Cappellesso - PR</v>
          </cell>
          <cell r="F24">
            <v>37000</v>
          </cell>
          <cell r="G24" t="str">
            <v>10_233</v>
          </cell>
          <cell r="J24"/>
          <cell r="K24"/>
          <cell r="L24"/>
          <cell r="N24" t="str">
            <v>São Gabriel</v>
          </cell>
          <cell r="O24">
            <v>57000</v>
          </cell>
          <cell r="P24" t="str">
            <v>127_2243</v>
          </cell>
        </row>
        <row r="25">
          <cell r="A25" t="str">
            <v>Quedas - PR</v>
          </cell>
          <cell r="B25">
            <v>30000</v>
          </cell>
          <cell r="C25" t="str">
            <v>124_47</v>
          </cell>
          <cell r="E25" t="str">
            <v>Casarin - SC</v>
          </cell>
          <cell r="F25">
            <v>24000</v>
          </cell>
          <cell r="G25" t="str">
            <v>95_102</v>
          </cell>
          <cell r="J25"/>
          <cell r="K25"/>
          <cell r="L25"/>
          <cell r="N25"/>
          <cell r="O25"/>
          <cell r="P25"/>
        </row>
        <row r="26">
          <cell r="A26" t="str">
            <v>Rio Chopim 1 - PR</v>
          </cell>
          <cell r="B26">
            <v>42000</v>
          </cell>
          <cell r="C26" t="str">
            <v>27_165</v>
          </cell>
          <cell r="E26" t="str">
            <v>Celso Hoffelder - PR</v>
          </cell>
          <cell r="F26">
            <v>57000</v>
          </cell>
          <cell r="G26" t="str">
            <v>10_55</v>
          </cell>
          <cell r="J26"/>
          <cell r="K26"/>
          <cell r="L26"/>
          <cell r="N26"/>
          <cell r="O26"/>
          <cell r="P26"/>
        </row>
        <row r="27">
          <cell r="A27" t="str">
            <v>Rio Chopim 2 - PR</v>
          </cell>
          <cell r="B27">
            <v>42000</v>
          </cell>
          <cell r="C27" t="str">
            <v>27_181</v>
          </cell>
          <cell r="E27" t="str">
            <v>Darlan - PR</v>
          </cell>
          <cell r="F27">
            <v>57000</v>
          </cell>
          <cell r="G27" t="str">
            <v>10_330</v>
          </cell>
          <cell r="J27"/>
          <cell r="K27"/>
          <cell r="L27"/>
          <cell r="N27"/>
          <cell r="O27"/>
          <cell r="P27"/>
        </row>
        <row r="28">
          <cell r="A28" t="str">
            <v>Rio Chopim 3 - PR</v>
          </cell>
          <cell r="B28">
            <v>60000</v>
          </cell>
          <cell r="C28" t="str">
            <v>10_1405</v>
          </cell>
          <cell r="E28" t="str">
            <v>Entre rios 1 - PR</v>
          </cell>
          <cell r="F28">
            <v>36000</v>
          </cell>
          <cell r="G28" t="str">
            <v>10_177</v>
          </cell>
          <cell r="J28"/>
          <cell r="K28"/>
          <cell r="L28"/>
          <cell r="N28"/>
          <cell r="O28"/>
          <cell r="P28"/>
        </row>
        <row r="29">
          <cell r="A29" t="str">
            <v>Salto Caxias Rec. 1 - PR</v>
          </cell>
          <cell r="B29">
            <v>50000</v>
          </cell>
          <cell r="C29" t="str">
            <v>10_775</v>
          </cell>
          <cell r="E29" t="str">
            <v>Entre Rios 2 - PR</v>
          </cell>
          <cell r="F29">
            <v>36000</v>
          </cell>
          <cell r="G29" t="str">
            <v>10_178</v>
          </cell>
          <cell r="J29"/>
          <cell r="K29"/>
          <cell r="L29"/>
          <cell r="N29"/>
          <cell r="O29"/>
          <cell r="P29"/>
        </row>
        <row r="30">
          <cell r="A30" t="str">
            <v>Santa Izabel - PR</v>
          </cell>
          <cell r="B30">
            <v>60000</v>
          </cell>
          <cell r="C30" t="str">
            <v>10_116</v>
          </cell>
          <cell r="E30" t="str">
            <v>Erveira - PR</v>
          </cell>
          <cell r="F30">
            <v>32000</v>
          </cell>
          <cell r="G30" t="str">
            <v>10_26</v>
          </cell>
          <cell r="J30"/>
          <cell r="K30"/>
          <cell r="L30"/>
          <cell r="N30"/>
          <cell r="O30"/>
          <cell r="P30"/>
        </row>
        <row r="31">
          <cell r="A31" t="str">
            <v>Santa Tereza 1 - PR</v>
          </cell>
          <cell r="B31">
            <v>37500</v>
          </cell>
          <cell r="C31" t="str">
            <v>10_326</v>
          </cell>
          <cell r="E31" t="str">
            <v>Faxinal 1 - SC</v>
          </cell>
          <cell r="F31">
            <v>30000</v>
          </cell>
          <cell r="G31" t="str">
            <v>84_159</v>
          </cell>
          <cell r="J31"/>
          <cell r="K31"/>
          <cell r="L31"/>
          <cell r="N31"/>
          <cell r="O31"/>
          <cell r="P31"/>
        </row>
        <row r="32">
          <cell r="A32" t="str">
            <v>Santa Tereza 2 - PR</v>
          </cell>
          <cell r="B32">
            <v>37500</v>
          </cell>
          <cell r="C32" t="str">
            <v>10_327</v>
          </cell>
          <cell r="E32" t="str">
            <v>Faxinal 2 - SC</v>
          </cell>
          <cell r="F32">
            <v>12000</v>
          </cell>
          <cell r="G32" t="str">
            <v>84_162</v>
          </cell>
          <cell r="J32"/>
          <cell r="K32"/>
          <cell r="L32"/>
          <cell r="N32"/>
          <cell r="O32"/>
          <cell r="P32"/>
        </row>
        <row r="33">
          <cell r="A33" t="str">
            <v>Santa Tereza 3 - PR</v>
          </cell>
          <cell r="B33">
            <v>37500</v>
          </cell>
          <cell r="C33" t="str">
            <v>10_328</v>
          </cell>
          <cell r="E33" t="str">
            <v>Faxinal 3 - SC</v>
          </cell>
          <cell r="F33">
            <v>57000</v>
          </cell>
          <cell r="G33" t="str">
            <v>84_170</v>
          </cell>
          <cell r="J33"/>
          <cell r="K33"/>
          <cell r="L33"/>
          <cell r="N33"/>
          <cell r="O33"/>
          <cell r="P33"/>
        </row>
        <row r="34">
          <cell r="A34" t="str">
            <v>Três Palmeiras - PR</v>
          </cell>
          <cell r="B34">
            <v>126000</v>
          </cell>
          <cell r="C34" t="str">
            <v>10_267</v>
          </cell>
          <cell r="E34" t="str">
            <v>Fiorin - SC</v>
          </cell>
          <cell r="F34">
            <v>22000</v>
          </cell>
          <cell r="G34" t="str">
            <v>13_1458</v>
          </cell>
          <cell r="J34"/>
          <cell r="K34"/>
          <cell r="L34"/>
          <cell r="N34"/>
          <cell r="O34"/>
          <cell r="P34"/>
        </row>
        <row r="35">
          <cell r="A35" t="str">
            <v>Viganó 1 - PR</v>
          </cell>
          <cell r="B35">
            <v>42000</v>
          </cell>
          <cell r="C35" t="str">
            <v>10_140</v>
          </cell>
          <cell r="E35" t="str">
            <v>Flor da serra - PR</v>
          </cell>
          <cell r="F35">
            <v>20000</v>
          </cell>
          <cell r="G35" t="str">
            <v>10_69</v>
          </cell>
          <cell r="J35"/>
          <cell r="K35"/>
          <cell r="L35"/>
          <cell r="N35"/>
          <cell r="O35"/>
          <cell r="P35"/>
        </row>
        <row r="36">
          <cell r="A36" t="str">
            <v>Viganó 2 - PR</v>
          </cell>
          <cell r="B36">
            <v>60000</v>
          </cell>
          <cell r="C36" t="str">
            <v>10_857</v>
          </cell>
          <cell r="E36" t="str">
            <v>Fundo da Grota - PR</v>
          </cell>
          <cell r="F36">
            <v>57000</v>
          </cell>
          <cell r="G36" t="str">
            <v>10_1184</v>
          </cell>
          <cell r="J36"/>
          <cell r="K36"/>
          <cell r="L36"/>
          <cell r="N36"/>
          <cell r="O36"/>
          <cell r="P36"/>
        </row>
        <row r="37">
          <cell r="A37" t="str">
            <v>São Fco de Assis - PR</v>
          </cell>
          <cell r="B37">
            <v>45000</v>
          </cell>
          <cell r="C37" t="str">
            <v>10_1938</v>
          </cell>
          <cell r="E37" t="str">
            <v>Iguaçu 1 - PR</v>
          </cell>
          <cell r="F37">
            <v>57000</v>
          </cell>
          <cell r="G37" t="str">
            <v>10_859</v>
          </cell>
          <cell r="J37"/>
          <cell r="K37"/>
          <cell r="L37"/>
          <cell r="N37"/>
          <cell r="O37"/>
          <cell r="P37"/>
        </row>
        <row r="38">
          <cell r="A38" t="str">
            <v>Aliança - PR</v>
          </cell>
          <cell r="B38">
            <v>60000</v>
          </cell>
          <cell r="C38" t="str">
            <v>10_1940</v>
          </cell>
          <cell r="E38" t="str">
            <v>Iguaçu 2 - PR</v>
          </cell>
          <cell r="F38">
            <v>57000</v>
          </cell>
          <cell r="G38" t="str">
            <v>10_1460</v>
          </cell>
          <cell r="J38"/>
          <cell r="K38"/>
          <cell r="L38"/>
          <cell r="N38"/>
          <cell r="O38"/>
          <cell r="P38"/>
        </row>
        <row r="39">
          <cell r="A39" t="str">
            <v>Darlan - Uberaba - PR</v>
          </cell>
          <cell r="B39">
            <v>84000</v>
          </cell>
          <cell r="C39" t="str">
            <v>10_1941</v>
          </cell>
          <cell r="E39" t="str">
            <v>Ilha Bella 1 - PR</v>
          </cell>
          <cell r="F39">
            <v>80000</v>
          </cell>
          <cell r="G39" t="str">
            <v>10_367</v>
          </cell>
          <cell r="J39"/>
          <cell r="K39"/>
          <cell r="L39"/>
          <cell r="N39"/>
          <cell r="O39"/>
          <cell r="P39"/>
        </row>
        <row r="40">
          <cell r="A40" t="str">
            <v>Fabio - Nossa Sra Aparecida - PR</v>
          </cell>
          <cell r="B40">
            <v>60000</v>
          </cell>
          <cell r="C40" t="str">
            <v>10_2384</v>
          </cell>
          <cell r="E40" t="str">
            <v>Ilha Bella 2 - PR</v>
          </cell>
          <cell r="F40">
            <v>57000</v>
          </cell>
          <cell r="G40" t="str">
            <v>10_1535</v>
          </cell>
          <cell r="J40"/>
          <cell r="K40"/>
          <cell r="L40"/>
          <cell r="N40"/>
          <cell r="O40"/>
          <cell r="P40"/>
        </row>
        <row r="41">
          <cell r="A41" t="str">
            <v>Cafezal Rec. 1 - PR</v>
          </cell>
          <cell r="B41">
            <v>60000</v>
          </cell>
          <cell r="C41" t="str">
            <v>10_2389</v>
          </cell>
          <cell r="E41" t="str">
            <v>Itapejara - PR</v>
          </cell>
          <cell r="F41">
            <v>40000</v>
          </cell>
          <cell r="G41" t="str">
            <v>105_30</v>
          </cell>
          <cell r="J41"/>
          <cell r="K41"/>
          <cell r="L41"/>
          <cell r="N41"/>
          <cell r="O41"/>
          <cell r="P41"/>
        </row>
        <row r="42">
          <cell r="A42" t="str">
            <v>Cafezal Rec. 2 - PR</v>
          </cell>
          <cell r="B42">
            <v>60000</v>
          </cell>
          <cell r="C42" t="str">
            <v>10_2402</v>
          </cell>
          <cell r="E42" t="str">
            <v>Jairo Guzzo - PR</v>
          </cell>
          <cell r="F42">
            <v>15000</v>
          </cell>
          <cell r="G42" t="str">
            <v>10_31</v>
          </cell>
          <cell r="J42"/>
          <cell r="K42"/>
          <cell r="L42"/>
          <cell r="N42"/>
          <cell r="O42"/>
          <cell r="P42"/>
        </row>
        <row r="43">
          <cell r="E43" t="str">
            <v>JS - PR</v>
          </cell>
          <cell r="F43">
            <v>36000</v>
          </cell>
          <cell r="G43" t="str">
            <v>10_856</v>
          </cell>
          <cell r="J43"/>
          <cell r="K43"/>
          <cell r="L43"/>
          <cell r="N43"/>
          <cell r="O43"/>
          <cell r="P43"/>
        </row>
        <row r="44">
          <cell r="E44" t="str">
            <v>Km 45 nucleo 1 - PR</v>
          </cell>
          <cell r="F44">
            <v>36000</v>
          </cell>
          <cell r="G44" t="str">
            <v>10_204</v>
          </cell>
          <cell r="J44"/>
          <cell r="K44"/>
          <cell r="L44"/>
          <cell r="N44"/>
          <cell r="O44"/>
          <cell r="P44"/>
        </row>
        <row r="45">
          <cell r="E45" t="str">
            <v>Km 45 nucleo 2 - PR</v>
          </cell>
          <cell r="F45">
            <v>50000</v>
          </cell>
          <cell r="G45" t="str">
            <v>10_52</v>
          </cell>
          <cell r="J45"/>
          <cell r="K45"/>
          <cell r="L45"/>
          <cell r="N45"/>
          <cell r="O45"/>
          <cell r="P45"/>
        </row>
        <row r="46">
          <cell r="E46" t="str">
            <v>Linha Nova - PR</v>
          </cell>
          <cell r="F46">
            <v>76000</v>
          </cell>
          <cell r="G46" t="str">
            <v>10_1183</v>
          </cell>
          <cell r="J46"/>
          <cell r="K46"/>
          <cell r="L46"/>
          <cell r="N46"/>
          <cell r="O46"/>
          <cell r="P46"/>
        </row>
        <row r="47">
          <cell r="E47" t="str">
            <v>Malacarne 1 - PR</v>
          </cell>
          <cell r="F47">
            <v>57000</v>
          </cell>
          <cell r="G47" t="str">
            <v>123_1536</v>
          </cell>
          <cell r="J47"/>
          <cell r="K47"/>
          <cell r="L47"/>
          <cell r="N47"/>
          <cell r="O47"/>
          <cell r="P47"/>
        </row>
        <row r="48">
          <cell r="E48" t="str">
            <v>Malacarne 2 - PR</v>
          </cell>
          <cell r="F48">
            <v>57000</v>
          </cell>
          <cell r="G48" t="str">
            <v>123_1537</v>
          </cell>
          <cell r="J48"/>
          <cell r="K48"/>
          <cell r="L48"/>
          <cell r="N48"/>
          <cell r="O48"/>
          <cell r="P48"/>
        </row>
        <row r="49">
          <cell r="E49" t="str">
            <v>Malacarne 3 - PR</v>
          </cell>
          <cell r="F49">
            <v>57000</v>
          </cell>
          <cell r="G49" t="str">
            <v>123_1538</v>
          </cell>
          <cell r="J49"/>
          <cell r="K49"/>
          <cell r="L49"/>
          <cell r="N49"/>
          <cell r="O49"/>
          <cell r="P49"/>
        </row>
        <row r="50">
          <cell r="E50" t="str">
            <v>Malacarne 4 - PR</v>
          </cell>
          <cell r="F50">
            <v>57000</v>
          </cell>
          <cell r="G50" t="str">
            <v>123_1539</v>
          </cell>
          <cell r="J50"/>
          <cell r="K50"/>
          <cell r="L50"/>
          <cell r="N50"/>
          <cell r="O50"/>
          <cell r="P50"/>
        </row>
        <row r="51">
          <cell r="E51" t="str">
            <v>Marafon - PR</v>
          </cell>
          <cell r="F51">
            <v>36000</v>
          </cell>
          <cell r="G51" t="str">
            <v>90_861</v>
          </cell>
          <cell r="J51"/>
          <cell r="K51"/>
          <cell r="L51"/>
          <cell r="N51"/>
          <cell r="O51"/>
          <cell r="P51"/>
        </row>
        <row r="52">
          <cell r="E52" t="str">
            <v>Mariott - PR</v>
          </cell>
          <cell r="F52">
            <v>40000</v>
          </cell>
          <cell r="G52" t="str">
            <v>25_53</v>
          </cell>
          <cell r="J52"/>
          <cell r="K52"/>
          <cell r="L52"/>
          <cell r="N52"/>
          <cell r="O52"/>
          <cell r="P52"/>
        </row>
        <row r="53">
          <cell r="E53" t="str">
            <v>Miotto - PR</v>
          </cell>
          <cell r="F53">
            <v>36000</v>
          </cell>
          <cell r="G53" t="str">
            <v>10_179</v>
          </cell>
          <cell r="J53"/>
          <cell r="K53"/>
          <cell r="L53"/>
          <cell r="N53"/>
          <cell r="O53"/>
          <cell r="P53"/>
        </row>
        <row r="54">
          <cell r="E54" t="str">
            <v>Nona Tere - PR</v>
          </cell>
          <cell r="F54">
            <v>57000</v>
          </cell>
          <cell r="G54" t="str">
            <v>10_397</v>
          </cell>
          <cell r="J54"/>
          <cell r="K54"/>
          <cell r="L54"/>
          <cell r="N54"/>
          <cell r="O54"/>
          <cell r="P54"/>
        </row>
        <row r="55">
          <cell r="E55" t="str">
            <v>Nuernberg - PR</v>
          </cell>
          <cell r="F55">
            <v>12000</v>
          </cell>
          <cell r="G55" t="str">
            <v>10_734</v>
          </cell>
          <cell r="J55"/>
          <cell r="K55"/>
          <cell r="L55"/>
          <cell r="N55"/>
          <cell r="O55"/>
          <cell r="P55"/>
        </row>
        <row r="56">
          <cell r="E56" t="str">
            <v>Ouro Verde - SC</v>
          </cell>
          <cell r="F56">
            <v>24000</v>
          </cell>
          <cell r="G56" t="str">
            <v>102_351</v>
          </cell>
          <cell r="J56"/>
          <cell r="K56"/>
          <cell r="L56"/>
          <cell r="N56"/>
          <cell r="O56"/>
          <cell r="P56"/>
        </row>
        <row r="57">
          <cell r="E57" t="str">
            <v>Pandolfi - PR</v>
          </cell>
          <cell r="F57">
            <v>36000</v>
          </cell>
          <cell r="G57" t="str">
            <v>111_1534</v>
          </cell>
          <cell r="J57"/>
          <cell r="K57"/>
          <cell r="L57"/>
          <cell r="N57"/>
          <cell r="O57"/>
          <cell r="P57"/>
        </row>
        <row r="58">
          <cell r="E58" t="str">
            <v>Paulo - PR</v>
          </cell>
          <cell r="F58">
            <v>24000</v>
          </cell>
          <cell r="G58" t="str">
            <v>10_735</v>
          </cell>
          <cell r="J58"/>
          <cell r="K58"/>
          <cell r="L58"/>
          <cell r="N58"/>
          <cell r="O58"/>
          <cell r="P58"/>
        </row>
        <row r="59">
          <cell r="E59" t="str">
            <v>Pinzon - PR</v>
          </cell>
          <cell r="F59">
            <v>25000</v>
          </cell>
          <cell r="G59" t="str">
            <v>10_34</v>
          </cell>
          <cell r="J59"/>
          <cell r="K59"/>
          <cell r="L59"/>
          <cell r="N59"/>
          <cell r="O59"/>
          <cell r="P59"/>
        </row>
        <row r="60">
          <cell r="E60" t="str">
            <v>Planalto - PR</v>
          </cell>
          <cell r="F60">
            <v>93000</v>
          </cell>
          <cell r="G60" t="str">
            <v>10_274</v>
          </cell>
          <cell r="J60"/>
          <cell r="K60"/>
          <cell r="L60"/>
          <cell r="N60"/>
          <cell r="O60"/>
          <cell r="P60"/>
        </row>
        <row r="61">
          <cell r="E61" t="str">
            <v>Ponte serrada 1 - SC</v>
          </cell>
          <cell r="F61">
            <v>30000</v>
          </cell>
          <cell r="G61" t="str">
            <v>101_1079</v>
          </cell>
          <cell r="J61"/>
          <cell r="K61"/>
          <cell r="L61"/>
          <cell r="N61"/>
          <cell r="O61"/>
          <cell r="P61"/>
        </row>
        <row r="62">
          <cell r="E62" t="str">
            <v>Ponte serrada 2 - SC</v>
          </cell>
          <cell r="F62">
            <v>45000</v>
          </cell>
          <cell r="G62" t="str">
            <v>13_1080</v>
          </cell>
          <cell r="J62"/>
          <cell r="K62"/>
          <cell r="L62"/>
          <cell r="N62"/>
          <cell r="O62"/>
          <cell r="P62"/>
        </row>
        <row r="63">
          <cell r="E63" t="str">
            <v>Prezotto - SC</v>
          </cell>
          <cell r="F63">
            <v>40000</v>
          </cell>
          <cell r="G63" t="str">
            <v>13_258</v>
          </cell>
          <cell r="J63"/>
          <cell r="K63"/>
          <cell r="L63"/>
          <cell r="N63"/>
          <cell r="O63"/>
          <cell r="P63"/>
        </row>
        <row r="64">
          <cell r="E64" t="str">
            <v>Renascença 1 - PR</v>
          </cell>
          <cell r="F64">
            <v>57000</v>
          </cell>
          <cell r="G64" t="str">
            <v>118_832</v>
          </cell>
          <cell r="J64"/>
          <cell r="K64"/>
          <cell r="L64"/>
          <cell r="N64"/>
          <cell r="O64"/>
          <cell r="P64"/>
        </row>
        <row r="65">
          <cell r="E65" t="str">
            <v>Renascença 2 - PR</v>
          </cell>
          <cell r="F65">
            <v>57000</v>
          </cell>
          <cell r="G65" t="str">
            <v>118_863</v>
          </cell>
          <cell r="J65"/>
          <cell r="K65"/>
          <cell r="L65"/>
          <cell r="N65"/>
          <cell r="O65"/>
          <cell r="P65"/>
        </row>
        <row r="66">
          <cell r="E66" t="str">
            <v>Renascença 3 - PR</v>
          </cell>
          <cell r="F66">
            <v>57000</v>
          </cell>
          <cell r="G66" t="str">
            <v>118_1081</v>
          </cell>
          <cell r="J66"/>
          <cell r="K66"/>
          <cell r="L66"/>
          <cell r="N66"/>
          <cell r="O66"/>
          <cell r="P66"/>
        </row>
        <row r="67">
          <cell r="E67" t="str">
            <v>Rossi 1 - PR</v>
          </cell>
          <cell r="F67">
            <v>57000</v>
          </cell>
          <cell r="G67" t="str">
            <v>10_329</v>
          </cell>
          <cell r="J67"/>
          <cell r="K67"/>
          <cell r="L67"/>
          <cell r="N67"/>
          <cell r="O67"/>
          <cell r="P67"/>
        </row>
        <row r="68">
          <cell r="E68" t="str">
            <v>Rossi 2 - PR</v>
          </cell>
          <cell r="F68">
            <v>57000</v>
          </cell>
          <cell r="G68" t="str">
            <v>10_368</v>
          </cell>
          <cell r="J68"/>
          <cell r="K68"/>
          <cell r="L68"/>
          <cell r="N68"/>
          <cell r="O68"/>
          <cell r="P68"/>
        </row>
        <row r="69">
          <cell r="E69" t="str">
            <v>Rossignol - SC</v>
          </cell>
          <cell r="F69">
            <v>30000</v>
          </cell>
          <cell r="G69" t="str">
            <v>93_261</v>
          </cell>
          <cell r="J69"/>
          <cell r="K69"/>
          <cell r="L69"/>
          <cell r="N69"/>
          <cell r="O69"/>
          <cell r="P69"/>
        </row>
        <row r="70">
          <cell r="E70" t="str">
            <v>Saade - SC</v>
          </cell>
          <cell r="F70">
            <v>24000</v>
          </cell>
          <cell r="G70" t="str">
            <v>108_1387</v>
          </cell>
          <cell r="J70"/>
          <cell r="K70"/>
          <cell r="L70"/>
          <cell r="N70"/>
          <cell r="O70"/>
          <cell r="P70"/>
        </row>
        <row r="71">
          <cell r="E71" t="str">
            <v>Salto 1 - PR</v>
          </cell>
          <cell r="F71">
            <v>36000</v>
          </cell>
          <cell r="G71" t="str">
            <v>26_166</v>
          </cell>
          <cell r="J71"/>
          <cell r="K71"/>
          <cell r="L71"/>
          <cell r="N71"/>
          <cell r="O71"/>
          <cell r="P71"/>
        </row>
        <row r="72">
          <cell r="E72" t="str">
            <v>Salto 2 - PR</v>
          </cell>
          <cell r="F72">
            <v>36000</v>
          </cell>
          <cell r="G72" t="str">
            <v>26_167</v>
          </cell>
          <cell r="J72"/>
          <cell r="K72"/>
          <cell r="L72"/>
          <cell r="N72"/>
          <cell r="O72"/>
          <cell r="P72"/>
        </row>
        <row r="73">
          <cell r="E73" t="str">
            <v>Salto Caxias Prod. 1 - PR</v>
          </cell>
          <cell r="F73">
            <v>48000</v>
          </cell>
          <cell r="G73" t="str">
            <v>10_46</v>
          </cell>
          <cell r="J73"/>
          <cell r="K73"/>
          <cell r="L73"/>
          <cell r="N73"/>
          <cell r="O73"/>
          <cell r="P73"/>
        </row>
        <row r="74">
          <cell r="E74" t="str">
            <v>Salto Caxias Prod. 2 - PR</v>
          </cell>
          <cell r="F74">
            <v>48000</v>
          </cell>
          <cell r="G74" t="str">
            <v>10_858</v>
          </cell>
          <cell r="J74"/>
          <cell r="K74"/>
          <cell r="L74"/>
          <cell r="N74"/>
          <cell r="O74"/>
          <cell r="P74"/>
        </row>
        <row r="75">
          <cell r="E75" t="str">
            <v>Santolin - PR</v>
          </cell>
          <cell r="F75">
            <v>40000</v>
          </cell>
          <cell r="G75" t="str">
            <v>10_41</v>
          </cell>
          <cell r="J75"/>
          <cell r="K75"/>
          <cell r="L75"/>
          <cell r="N75"/>
          <cell r="O75"/>
          <cell r="P75"/>
        </row>
        <row r="76">
          <cell r="E76" t="str">
            <v>São Bernardo - PR</v>
          </cell>
          <cell r="F76">
            <v>34000</v>
          </cell>
          <cell r="G76" t="str">
            <v>119_153</v>
          </cell>
          <cell r="J76"/>
          <cell r="K76"/>
          <cell r="L76"/>
          <cell r="N76"/>
          <cell r="O76"/>
          <cell r="P76"/>
        </row>
        <row r="77">
          <cell r="E77" t="str">
            <v>São Braz 2 - PR</v>
          </cell>
          <cell r="F77">
            <v>30000</v>
          </cell>
          <cell r="G77" t="str">
            <v>10_43</v>
          </cell>
          <cell r="J77"/>
          <cell r="K77"/>
          <cell r="L77"/>
          <cell r="N77"/>
          <cell r="O77"/>
          <cell r="P77"/>
        </row>
        <row r="78">
          <cell r="E78" t="str">
            <v>São Caetano - PR</v>
          </cell>
          <cell r="F78">
            <v>36000</v>
          </cell>
          <cell r="G78" t="str">
            <v>119_154</v>
          </cell>
          <cell r="J78"/>
          <cell r="K78"/>
          <cell r="L78"/>
          <cell r="N78"/>
          <cell r="O78"/>
          <cell r="P78"/>
        </row>
        <row r="79">
          <cell r="A79"/>
          <cell r="B79"/>
          <cell r="C79"/>
          <cell r="E79" t="str">
            <v>São Francisco - PR</v>
          </cell>
          <cell r="F79">
            <v>34000</v>
          </cell>
          <cell r="G79" t="str">
            <v>119_156</v>
          </cell>
          <cell r="J79"/>
          <cell r="K79"/>
          <cell r="L79"/>
          <cell r="N79"/>
          <cell r="O79"/>
          <cell r="P79"/>
        </row>
        <row r="80">
          <cell r="E80" t="str">
            <v>São José - PR</v>
          </cell>
          <cell r="F80">
            <v>30000</v>
          </cell>
          <cell r="G80" t="str">
            <v>10_44</v>
          </cell>
          <cell r="J80"/>
          <cell r="K80"/>
          <cell r="L80"/>
          <cell r="N80"/>
          <cell r="O80"/>
          <cell r="P80"/>
        </row>
        <row r="81">
          <cell r="E81" t="str">
            <v>São Manoel - PR</v>
          </cell>
          <cell r="F81">
            <v>6000</v>
          </cell>
          <cell r="G81" t="str">
            <v>119_155</v>
          </cell>
          <cell r="J81"/>
          <cell r="K81"/>
          <cell r="L81"/>
          <cell r="N81"/>
          <cell r="O81"/>
          <cell r="P81"/>
        </row>
        <row r="82">
          <cell r="A82"/>
          <cell r="B82"/>
          <cell r="C82"/>
          <cell r="E82" t="str">
            <v>São Miguel - PR</v>
          </cell>
          <cell r="F82">
            <v>40000</v>
          </cell>
          <cell r="G82" t="str">
            <v>10_48</v>
          </cell>
          <cell r="J82"/>
          <cell r="K82"/>
          <cell r="L82"/>
          <cell r="N82"/>
          <cell r="O82"/>
          <cell r="P82"/>
        </row>
        <row r="83">
          <cell r="A83"/>
          <cell r="B83"/>
          <cell r="C83"/>
          <cell r="E83" t="str">
            <v>São Pedro - PR</v>
          </cell>
          <cell r="F83">
            <v>25000</v>
          </cell>
          <cell r="G83" t="str">
            <v>120_45</v>
          </cell>
          <cell r="J83"/>
          <cell r="K83"/>
          <cell r="L83"/>
          <cell r="N83"/>
          <cell r="O83"/>
          <cell r="P83"/>
        </row>
        <row r="84">
          <cell r="A84"/>
          <cell r="B84"/>
          <cell r="C84"/>
          <cell r="E84" t="str">
            <v>São Roque - PR</v>
          </cell>
          <cell r="F84">
            <v>40000</v>
          </cell>
          <cell r="G84" t="str">
            <v>11_150</v>
          </cell>
          <cell r="J84"/>
          <cell r="K84"/>
          <cell r="L84"/>
          <cell r="N84"/>
          <cell r="O84"/>
          <cell r="P84"/>
        </row>
        <row r="85">
          <cell r="A85"/>
          <cell r="B85"/>
          <cell r="C85"/>
          <cell r="E85" t="str">
            <v>Saudade - PR</v>
          </cell>
          <cell r="F85">
            <v>90000</v>
          </cell>
          <cell r="G85" t="str">
            <v>16_85</v>
          </cell>
          <cell r="J85"/>
          <cell r="K85"/>
          <cell r="L85"/>
          <cell r="N85"/>
          <cell r="O85"/>
          <cell r="P85"/>
        </row>
        <row r="86">
          <cell r="A86"/>
          <cell r="B86"/>
          <cell r="C86"/>
          <cell r="E86" t="str">
            <v>Scolari - PR</v>
          </cell>
          <cell r="F86">
            <v>80000</v>
          </cell>
          <cell r="G86" t="str">
            <v>10_358</v>
          </cell>
          <cell r="J86"/>
          <cell r="K86"/>
          <cell r="L86"/>
          <cell r="N86"/>
          <cell r="O86"/>
          <cell r="P86"/>
        </row>
        <row r="87">
          <cell r="A87"/>
          <cell r="B87"/>
          <cell r="C87"/>
          <cell r="E87" t="str">
            <v>Tortato - SC</v>
          </cell>
          <cell r="F87">
            <v>20000</v>
          </cell>
          <cell r="G87" t="str">
            <v>85_158</v>
          </cell>
          <cell r="J87"/>
          <cell r="K87"/>
          <cell r="L87"/>
          <cell r="N87"/>
          <cell r="O87"/>
          <cell r="P87"/>
        </row>
        <row r="88">
          <cell r="A88"/>
          <cell r="B88"/>
          <cell r="C88"/>
          <cell r="E88" t="str">
            <v>Trindade - SC</v>
          </cell>
          <cell r="F88">
            <v>40000</v>
          </cell>
          <cell r="G88" t="str">
            <v>107_248</v>
          </cell>
          <cell r="J88"/>
          <cell r="K88"/>
          <cell r="L88"/>
          <cell r="N88"/>
          <cell r="O88"/>
          <cell r="P88"/>
        </row>
        <row r="89">
          <cell r="A89"/>
          <cell r="B89"/>
          <cell r="C89"/>
          <cell r="E89" t="str">
            <v>Trevisan - SC</v>
          </cell>
          <cell r="F89">
            <v>24000</v>
          </cell>
          <cell r="G89" t="str">
            <v>13_2295</v>
          </cell>
          <cell r="J89"/>
          <cell r="K89"/>
          <cell r="L89"/>
          <cell r="N89"/>
          <cell r="O89"/>
          <cell r="P89"/>
        </row>
        <row r="90">
          <cell r="A90"/>
          <cell r="B90"/>
          <cell r="C90"/>
          <cell r="E90" t="str">
            <v>Vora 2 - PR</v>
          </cell>
          <cell r="F90">
            <v>80000</v>
          </cell>
          <cell r="G90" t="str">
            <v>116_2296</v>
          </cell>
          <cell r="J90"/>
          <cell r="K90"/>
          <cell r="L90"/>
          <cell r="N90"/>
          <cell r="O90"/>
          <cell r="P90"/>
        </row>
        <row r="91">
          <cell r="A91"/>
          <cell r="B91"/>
          <cell r="C91"/>
          <cell r="E91" t="str">
            <v>Vora 1 - PR</v>
          </cell>
          <cell r="F91">
            <v>80000</v>
          </cell>
          <cell r="G91" t="str">
            <v>116_2297</v>
          </cell>
          <cell r="J91"/>
          <cell r="K91"/>
          <cell r="L91"/>
          <cell r="N91"/>
          <cell r="O91"/>
          <cell r="P91"/>
        </row>
        <row r="92">
          <cell r="A92"/>
          <cell r="B92"/>
          <cell r="C92"/>
          <cell r="E92" t="str">
            <v>Aliança Prod. 1 - PR</v>
          </cell>
          <cell r="F92">
            <v>57000</v>
          </cell>
          <cell r="G92" t="str">
            <v>10</v>
          </cell>
          <cell r="J92"/>
          <cell r="K92"/>
          <cell r="L92"/>
          <cell r="N92"/>
          <cell r="O92"/>
          <cell r="P92"/>
        </row>
        <row r="93">
          <cell r="A93"/>
          <cell r="B93"/>
          <cell r="C93"/>
          <cell r="E93" t="str">
            <v>Aliança Prod. 2 - PR</v>
          </cell>
          <cell r="F93">
            <v>57000</v>
          </cell>
          <cell r="G93" t="str">
            <v>10</v>
          </cell>
          <cell r="J93"/>
          <cell r="K93"/>
          <cell r="L93"/>
          <cell r="N93"/>
          <cell r="O93"/>
          <cell r="P93"/>
        </row>
        <row r="94">
          <cell r="A94"/>
          <cell r="B94"/>
          <cell r="C94"/>
          <cell r="E94" t="str">
            <v>Nossa Sra Aparecida Prod. 1 - PR</v>
          </cell>
          <cell r="F94">
            <v>57000</v>
          </cell>
          <cell r="G94" t="str">
            <v>10</v>
          </cell>
          <cell r="J94"/>
          <cell r="K94"/>
          <cell r="L94"/>
          <cell r="N94"/>
          <cell r="O94"/>
          <cell r="P94"/>
        </row>
        <row r="95">
          <cell r="A95"/>
          <cell r="B95"/>
          <cell r="C95"/>
          <cell r="E95" t="str">
            <v>Nossa Sra Aparecida Prod. 2 - PR</v>
          </cell>
          <cell r="F95">
            <v>57000</v>
          </cell>
          <cell r="G95" t="str">
            <v>10</v>
          </cell>
          <cell r="J95"/>
          <cell r="K95"/>
          <cell r="L95"/>
          <cell r="N95"/>
          <cell r="O95"/>
          <cell r="P95"/>
        </row>
        <row r="96">
          <cell r="A96"/>
          <cell r="B96"/>
          <cell r="C96"/>
          <cell r="E96" t="str">
            <v>Uberaba Prod. 1 - PR</v>
          </cell>
          <cell r="F96">
            <v>80000</v>
          </cell>
          <cell r="G96" t="str">
            <v>10</v>
          </cell>
          <cell r="J96"/>
          <cell r="K96"/>
          <cell r="L96"/>
          <cell r="N96"/>
          <cell r="O96"/>
          <cell r="P96"/>
        </row>
        <row r="97">
          <cell r="A97"/>
          <cell r="B97"/>
          <cell r="C97"/>
          <cell r="E97" t="str">
            <v>Uberaba Prod. 2 - PR</v>
          </cell>
          <cell r="F97">
            <v>80000</v>
          </cell>
          <cell r="G97" t="str">
            <v>10</v>
          </cell>
          <cell r="J97"/>
          <cell r="K97"/>
          <cell r="L97"/>
          <cell r="N97"/>
          <cell r="O97"/>
          <cell r="P97"/>
        </row>
        <row r="98">
          <cell r="A98"/>
          <cell r="B98"/>
          <cell r="C98"/>
          <cell r="E98" t="str">
            <v>Cafezal Prod. 1 - PR</v>
          </cell>
          <cell r="F98">
            <v>57000</v>
          </cell>
          <cell r="G98" t="str">
            <v>10</v>
          </cell>
          <cell r="J98"/>
          <cell r="K98"/>
          <cell r="L98"/>
          <cell r="N98"/>
          <cell r="O98"/>
          <cell r="P98"/>
        </row>
        <row r="99">
          <cell r="A99"/>
          <cell r="B99"/>
          <cell r="C99"/>
          <cell r="E99" t="str">
            <v>Cafezal Prod. 2 - PR</v>
          </cell>
          <cell r="F99">
            <v>57000</v>
          </cell>
          <cell r="G99" t="str">
            <v>10</v>
          </cell>
          <cell r="J99"/>
          <cell r="K99"/>
          <cell r="L99"/>
          <cell r="N99"/>
          <cell r="O99"/>
          <cell r="P99"/>
        </row>
        <row r="100">
          <cell r="A100"/>
          <cell r="B100"/>
          <cell r="C100"/>
          <cell r="E100" t="str">
            <v>Cafezal Prod. 3 - PR</v>
          </cell>
          <cell r="F100">
            <v>57000</v>
          </cell>
          <cell r="G100" t="str">
            <v>10</v>
          </cell>
          <cell r="J100"/>
          <cell r="K100"/>
          <cell r="L100"/>
          <cell r="N100"/>
          <cell r="O100"/>
          <cell r="P100"/>
        </row>
        <row r="101">
          <cell r="A101"/>
          <cell r="B101"/>
          <cell r="C101"/>
          <cell r="E101" t="str">
            <v>Cafezal Prod. 4 - PR</v>
          </cell>
          <cell r="F101">
            <v>57000</v>
          </cell>
          <cell r="G101" t="str">
            <v>10</v>
          </cell>
          <cell r="J101"/>
          <cell r="K101"/>
          <cell r="L101"/>
          <cell r="N101"/>
          <cell r="O101"/>
          <cell r="P101"/>
        </row>
        <row r="102">
          <cell r="A102"/>
          <cell r="B102"/>
          <cell r="C102"/>
          <cell r="E102"/>
          <cell r="F102"/>
          <cell r="G102"/>
          <cell r="J102"/>
          <cell r="K102"/>
          <cell r="L102"/>
          <cell r="N102"/>
          <cell r="O102"/>
          <cell r="P102"/>
        </row>
        <row r="103">
          <cell r="A103"/>
          <cell r="B103"/>
          <cell r="C103"/>
          <cell r="E103"/>
          <cell r="F103"/>
          <cell r="G103"/>
          <cell r="J103"/>
          <cell r="K103"/>
          <cell r="L103"/>
          <cell r="N103"/>
          <cell r="O103"/>
          <cell r="P103"/>
        </row>
        <row r="104">
          <cell r="A104"/>
          <cell r="B104"/>
          <cell r="C104"/>
          <cell r="E104"/>
          <cell r="F104"/>
          <cell r="G104"/>
          <cell r="J104"/>
          <cell r="K104"/>
          <cell r="L104"/>
          <cell r="N104"/>
          <cell r="O104"/>
          <cell r="P104"/>
        </row>
        <row r="105">
          <cell r="A105"/>
          <cell r="B105"/>
          <cell r="C105"/>
          <cell r="E105"/>
          <cell r="F105"/>
          <cell r="G105"/>
          <cell r="J105"/>
          <cell r="K105"/>
          <cell r="L105"/>
          <cell r="N105"/>
          <cell r="O105"/>
          <cell r="P105"/>
        </row>
        <row r="106">
          <cell r="A106"/>
          <cell r="B106"/>
          <cell r="C106"/>
          <cell r="E106"/>
          <cell r="F106"/>
          <cell r="G106"/>
          <cell r="J106"/>
          <cell r="K106"/>
          <cell r="L106"/>
          <cell r="N106"/>
          <cell r="O106"/>
          <cell r="P106"/>
        </row>
        <row r="107">
          <cell r="A107"/>
          <cell r="B107"/>
          <cell r="C107"/>
          <cell r="E107"/>
          <cell r="F107"/>
          <cell r="G107"/>
          <cell r="J107"/>
          <cell r="K107"/>
          <cell r="L107"/>
          <cell r="N107"/>
          <cell r="O107"/>
          <cell r="P107"/>
        </row>
        <row r="108">
          <cell r="A108"/>
          <cell r="B108"/>
          <cell r="C108"/>
          <cell r="E108"/>
          <cell r="F108"/>
          <cell r="G108"/>
          <cell r="J108"/>
          <cell r="K108"/>
          <cell r="L108"/>
          <cell r="N108"/>
          <cell r="O108"/>
          <cell r="P108"/>
        </row>
        <row r="109">
          <cell r="A109"/>
          <cell r="B109"/>
          <cell r="C109"/>
          <cell r="E109"/>
          <cell r="F109"/>
          <cell r="G109"/>
          <cell r="J109"/>
          <cell r="K109"/>
          <cell r="L109"/>
          <cell r="N109"/>
          <cell r="O109"/>
          <cell r="P109"/>
        </row>
        <row r="110">
          <cell r="A110"/>
          <cell r="B110"/>
          <cell r="C110"/>
          <cell r="E110"/>
          <cell r="F110"/>
          <cell r="G110"/>
          <cell r="J110"/>
          <cell r="K110"/>
          <cell r="L110"/>
          <cell r="N110"/>
          <cell r="O110"/>
          <cell r="P110"/>
        </row>
        <row r="111">
          <cell r="A111"/>
          <cell r="B111"/>
          <cell r="C111"/>
          <cell r="E111"/>
          <cell r="F111"/>
          <cell r="G111"/>
          <cell r="J111"/>
          <cell r="K111"/>
          <cell r="L111"/>
          <cell r="N111"/>
          <cell r="O111"/>
          <cell r="P111"/>
        </row>
        <row r="112">
          <cell r="A112"/>
          <cell r="B112"/>
          <cell r="C112"/>
          <cell r="E112"/>
          <cell r="F112"/>
          <cell r="G112"/>
          <cell r="J112"/>
          <cell r="K112"/>
          <cell r="L112"/>
          <cell r="N112"/>
          <cell r="O112"/>
          <cell r="P112"/>
        </row>
        <row r="113">
          <cell r="A113"/>
          <cell r="B113"/>
          <cell r="C113"/>
          <cell r="E113"/>
          <cell r="F113"/>
          <cell r="G113"/>
          <cell r="J113"/>
          <cell r="K113"/>
          <cell r="L113"/>
          <cell r="N113"/>
          <cell r="O113"/>
          <cell r="P113"/>
        </row>
        <row r="114">
          <cell r="A114"/>
          <cell r="B114"/>
          <cell r="C114"/>
          <cell r="E114"/>
          <cell r="F114"/>
          <cell r="G114"/>
          <cell r="J114"/>
          <cell r="K114"/>
          <cell r="L114"/>
          <cell r="N114"/>
          <cell r="O114"/>
          <cell r="P114"/>
        </row>
        <row r="115">
          <cell r="A115"/>
          <cell r="B115"/>
          <cell r="C115"/>
          <cell r="E115"/>
          <cell r="F115"/>
          <cell r="G115"/>
          <cell r="J115"/>
          <cell r="K115"/>
          <cell r="L115"/>
          <cell r="N115"/>
          <cell r="O115"/>
          <cell r="P115"/>
        </row>
        <row r="116">
          <cell r="A116"/>
          <cell r="B116"/>
          <cell r="C116"/>
          <cell r="E116"/>
          <cell r="F116"/>
          <cell r="G116"/>
          <cell r="J116"/>
          <cell r="K116"/>
          <cell r="L116"/>
          <cell r="N116"/>
          <cell r="O116"/>
          <cell r="P116"/>
        </row>
        <row r="117">
          <cell r="A117"/>
          <cell r="B117"/>
          <cell r="C117"/>
          <cell r="E117"/>
          <cell r="F117"/>
          <cell r="G117"/>
          <cell r="J117"/>
          <cell r="K117"/>
          <cell r="L117"/>
          <cell r="N117"/>
          <cell r="O117"/>
          <cell r="P117"/>
        </row>
        <row r="118">
          <cell r="A118"/>
          <cell r="B118"/>
          <cell r="C118"/>
          <cell r="E118"/>
          <cell r="F118"/>
          <cell r="G118"/>
          <cell r="J118"/>
          <cell r="K118"/>
          <cell r="L118"/>
          <cell r="N118"/>
          <cell r="O118"/>
          <cell r="P118"/>
        </row>
        <row r="119">
          <cell r="A119"/>
          <cell r="B119"/>
          <cell r="C119"/>
          <cell r="E119"/>
          <cell r="F119"/>
          <cell r="G119"/>
          <cell r="J119"/>
          <cell r="K119"/>
          <cell r="L119"/>
          <cell r="N119"/>
          <cell r="O119"/>
          <cell r="P119"/>
        </row>
        <row r="120">
          <cell r="A120"/>
          <cell r="B120"/>
          <cell r="C120"/>
          <cell r="E120"/>
          <cell r="F120"/>
          <cell r="G120"/>
          <cell r="J120"/>
          <cell r="K120"/>
          <cell r="L120"/>
          <cell r="N120"/>
          <cell r="O120"/>
          <cell r="P120"/>
        </row>
        <row r="121">
          <cell r="A121"/>
          <cell r="B121"/>
          <cell r="C121"/>
          <cell r="E121"/>
          <cell r="F121"/>
          <cell r="G121"/>
          <cell r="J121"/>
          <cell r="K121"/>
          <cell r="L121"/>
          <cell r="N121"/>
          <cell r="O121"/>
          <cell r="P121"/>
        </row>
        <row r="122">
          <cell r="A122"/>
          <cell r="B122"/>
          <cell r="C122"/>
          <cell r="E122"/>
          <cell r="F122"/>
          <cell r="G122"/>
          <cell r="J122"/>
          <cell r="K122"/>
          <cell r="L122"/>
          <cell r="N122"/>
          <cell r="O122"/>
          <cell r="P122"/>
        </row>
        <row r="123">
          <cell r="A123"/>
          <cell r="B123"/>
          <cell r="C123"/>
          <cell r="E123"/>
          <cell r="F123"/>
          <cell r="G123"/>
          <cell r="J123"/>
          <cell r="K123"/>
          <cell r="L123"/>
          <cell r="N123"/>
          <cell r="O123"/>
          <cell r="P123"/>
        </row>
        <row r="124">
          <cell r="A124"/>
          <cell r="B124"/>
          <cell r="C124"/>
          <cell r="E124"/>
          <cell r="F124"/>
          <cell r="G124"/>
          <cell r="J124"/>
          <cell r="K124"/>
          <cell r="L124"/>
          <cell r="N124"/>
          <cell r="O124"/>
          <cell r="P124"/>
        </row>
        <row r="125">
          <cell r="A125"/>
          <cell r="B125"/>
          <cell r="C125"/>
          <cell r="E125"/>
          <cell r="F125"/>
          <cell r="G125"/>
          <cell r="J125"/>
          <cell r="K125"/>
          <cell r="L125"/>
          <cell r="N125"/>
          <cell r="O125"/>
          <cell r="P125"/>
        </row>
        <row r="126">
          <cell r="A126"/>
          <cell r="B126"/>
          <cell r="C126"/>
          <cell r="E126"/>
          <cell r="F126"/>
          <cell r="G126"/>
          <cell r="J126"/>
          <cell r="K126"/>
          <cell r="L126"/>
          <cell r="N126"/>
          <cell r="O126"/>
          <cell r="P126"/>
        </row>
        <row r="127">
          <cell r="A127"/>
          <cell r="B127"/>
          <cell r="C127"/>
          <cell r="E127"/>
          <cell r="F127"/>
          <cell r="G127"/>
          <cell r="J127"/>
          <cell r="K127"/>
          <cell r="L127"/>
          <cell r="N127"/>
          <cell r="O127"/>
          <cell r="P127"/>
        </row>
        <row r="128">
          <cell r="A128"/>
          <cell r="B128"/>
          <cell r="C128"/>
          <cell r="E128"/>
          <cell r="F128"/>
          <cell r="G128"/>
          <cell r="J128"/>
          <cell r="K128"/>
          <cell r="L128"/>
          <cell r="N128"/>
          <cell r="O128"/>
          <cell r="P128"/>
        </row>
        <row r="129">
          <cell r="A129"/>
          <cell r="B129"/>
          <cell r="C129"/>
          <cell r="E129"/>
          <cell r="F129"/>
          <cell r="G129"/>
          <cell r="J129"/>
          <cell r="K129"/>
          <cell r="L129"/>
          <cell r="N129"/>
          <cell r="O129"/>
          <cell r="P129"/>
        </row>
        <row r="130">
          <cell r="A130"/>
          <cell r="B130"/>
          <cell r="C130"/>
          <cell r="E130"/>
          <cell r="F130"/>
          <cell r="G130"/>
          <cell r="J130"/>
          <cell r="K130"/>
          <cell r="L130"/>
          <cell r="N130"/>
          <cell r="O130"/>
          <cell r="P130"/>
        </row>
        <row r="131">
          <cell r="A131"/>
          <cell r="B131"/>
          <cell r="C131"/>
          <cell r="E131"/>
          <cell r="F131"/>
          <cell r="G131"/>
          <cell r="J131"/>
          <cell r="K131"/>
          <cell r="L131"/>
          <cell r="N131"/>
          <cell r="O131"/>
          <cell r="P131"/>
        </row>
        <row r="132">
          <cell r="A132"/>
          <cell r="B132"/>
          <cell r="C132"/>
          <cell r="E132"/>
          <cell r="F132"/>
          <cell r="G132"/>
          <cell r="J132"/>
          <cell r="K132"/>
          <cell r="L132"/>
          <cell r="N132"/>
          <cell r="O132"/>
          <cell r="P132"/>
        </row>
        <row r="133">
          <cell r="A133"/>
          <cell r="B133"/>
          <cell r="C133"/>
          <cell r="E133"/>
          <cell r="F133"/>
          <cell r="G133"/>
          <cell r="J133"/>
          <cell r="K133"/>
          <cell r="L133"/>
          <cell r="N133"/>
          <cell r="O133"/>
          <cell r="P133"/>
        </row>
        <row r="134">
          <cell r="A134"/>
          <cell r="B134"/>
          <cell r="C134"/>
          <cell r="E134"/>
          <cell r="F134"/>
          <cell r="G134"/>
          <cell r="J134"/>
          <cell r="K134"/>
          <cell r="L134"/>
          <cell r="N134"/>
          <cell r="O134"/>
          <cell r="P134"/>
        </row>
        <row r="135">
          <cell r="A135"/>
          <cell r="B135"/>
          <cell r="C135"/>
          <cell r="E135"/>
          <cell r="F135"/>
          <cell r="G135"/>
          <cell r="J135"/>
          <cell r="K135"/>
          <cell r="L135"/>
          <cell r="N135"/>
          <cell r="O135"/>
          <cell r="P135"/>
        </row>
        <row r="136">
          <cell r="A136"/>
          <cell r="B136"/>
          <cell r="C136"/>
          <cell r="E136"/>
          <cell r="F136"/>
          <cell r="G136"/>
          <cell r="J136"/>
          <cell r="K136"/>
          <cell r="L136"/>
          <cell r="N136"/>
          <cell r="O136"/>
          <cell r="P136"/>
        </row>
        <row r="137">
          <cell r="A137"/>
          <cell r="B137"/>
          <cell r="C137"/>
          <cell r="E137"/>
          <cell r="F137"/>
          <cell r="G137"/>
          <cell r="J137"/>
          <cell r="K137"/>
          <cell r="L137"/>
          <cell r="N137"/>
          <cell r="O137"/>
          <cell r="P137"/>
        </row>
        <row r="138">
          <cell r="A138"/>
          <cell r="B138"/>
          <cell r="C138"/>
          <cell r="E138"/>
          <cell r="F138"/>
          <cell r="G138"/>
          <cell r="J138"/>
          <cell r="K138"/>
          <cell r="L138"/>
          <cell r="N138"/>
          <cell r="O138"/>
          <cell r="P138"/>
        </row>
        <row r="139">
          <cell r="A139"/>
          <cell r="B139"/>
          <cell r="C139"/>
          <cell r="E139"/>
          <cell r="F139"/>
          <cell r="G139"/>
          <cell r="J139"/>
          <cell r="K139"/>
          <cell r="L139"/>
          <cell r="N139"/>
          <cell r="O139"/>
          <cell r="P139"/>
        </row>
        <row r="140">
          <cell r="A140"/>
          <cell r="B140"/>
          <cell r="C140"/>
          <cell r="E140"/>
          <cell r="F140"/>
          <cell r="G140"/>
          <cell r="J140"/>
          <cell r="K140"/>
          <cell r="L140"/>
          <cell r="N140"/>
          <cell r="O140"/>
          <cell r="P140"/>
        </row>
        <row r="141">
          <cell r="A141"/>
          <cell r="B141"/>
          <cell r="C141"/>
          <cell r="E141"/>
          <cell r="F141"/>
          <cell r="G141"/>
          <cell r="J141"/>
          <cell r="K141"/>
          <cell r="L141"/>
          <cell r="N141"/>
          <cell r="O141"/>
          <cell r="P141"/>
        </row>
        <row r="142">
          <cell r="A142"/>
          <cell r="B142"/>
          <cell r="C142"/>
          <cell r="E142"/>
          <cell r="F142"/>
          <cell r="G142"/>
          <cell r="J142"/>
          <cell r="K142"/>
          <cell r="L142"/>
          <cell r="N142"/>
          <cell r="O142"/>
          <cell r="P142"/>
        </row>
        <row r="143">
          <cell r="A143"/>
          <cell r="B143"/>
          <cell r="C143"/>
          <cell r="E143"/>
          <cell r="F143"/>
          <cell r="G143"/>
          <cell r="J143"/>
          <cell r="K143"/>
          <cell r="L143"/>
          <cell r="N143"/>
          <cell r="O143"/>
          <cell r="P143"/>
        </row>
        <row r="144">
          <cell r="A144"/>
          <cell r="B144"/>
          <cell r="C144"/>
          <cell r="E144"/>
          <cell r="F144"/>
          <cell r="G144"/>
          <cell r="J144"/>
          <cell r="K144"/>
          <cell r="L144"/>
          <cell r="N144"/>
          <cell r="O144"/>
          <cell r="P144"/>
        </row>
        <row r="145">
          <cell r="A145"/>
          <cell r="B145"/>
          <cell r="C145"/>
          <cell r="E145"/>
          <cell r="F145"/>
          <cell r="G145"/>
          <cell r="J145"/>
          <cell r="K145"/>
          <cell r="L145"/>
          <cell r="N145"/>
          <cell r="O145"/>
          <cell r="P145"/>
        </row>
        <row r="146">
          <cell r="A146"/>
          <cell r="B146"/>
          <cell r="C146"/>
          <cell r="E146"/>
          <cell r="F146"/>
          <cell r="G146"/>
          <cell r="J146"/>
          <cell r="K146"/>
          <cell r="L146"/>
          <cell r="N146"/>
          <cell r="O146"/>
          <cell r="P146"/>
        </row>
        <row r="147">
          <cell r="A147"/>
          <cell r="B147"/>
          <cell r="C147"/>
          <cell r="E147"/>
          <cell r="F147"/>
          <cell r="G147"/>
          <cell r="J147"/>
          <cell r="K147"/>
          <cell r="L147"/>
          <cell r="N147"/>
          <cell r="O147"/>
          <cell r="P147"/>
        </row>
        <row r="148">
          <cell r="A148"/>
          <cell r="B148"/>
          <cell r="C148"/>
          <cell r="E148"/>
          <cell r="F148"/>
          <cell r="G148"/>
          <cell r="J148"/>
          <cell r="K148"/>
          <cell r="L148"/>
          <cell r="N148"/>
          <cell r="O148"/>
          <cell r="P148"/>
        </row>
        <row r="149">
          <cell r="A149"/>
          <cell r="B149"/>
          <cell r="C149"/>
          <cell r="E149"/>
          <cell r="F149"/>
          <cell r="G149"/>
          <cell r="J149"/>
          <cell r="K149"/>
          <cell r="L149"/>
          <cell r="N149"/>
          <cell r="O149"/>
          <cell r="P149"/>
        </row>
        <row r="150">
          <cell r="A150"/>
          <cell r="B150"/>
          <cell r="C150"/>
          <cell r="E150"/>
          <cell r="F150"/>
          <cell r="G150"/>
          <cell r="J150"/>
          <cell r="K150"/>
          <cell r="L150"/>
          <cell r="N150"/>
          <cell r="O150"/>
          <cell r="P150"/>
        </row>
        <row r="151">
          <cell r="A151"/>
          <cell r="B151"/>
          <cell r="C151"/>
          <cell r="E151"/>
          <cell r="F151"/>
          <cell r="G151"/>
          <cell r="J151"/>
          <cell r="K151"/>
          <cell r="L151"/>
          <cell r="N151"/>
          <cell r="O151"/>
          <cell r="P151"/>
        </row>
        <row r="152">
          <cell r="A152"/>
          <cell r="B152"/>
          <cell r="C152"/>
          <cell r="E152"/>
          <cell r="F152"/>
          <cell r="G152"/>
          <cell r="J152"/>
          <cell r="K152"/>
          <cell r="L152"/>
          <cell r="N152"/>
          <cell r="O152"/>
          <cell r="P152"/>
        </row>
        <row r="153">
          <cell r="A153"/>
          <cell r="B153"/>
          <cell r="C153"/>
          <cell r="E153"/>
          <cell r="F153"/>
          <cell r="G153"/>
          <cell r="J153"/>
          <cell r="K153"/>
          <cell r="L153"/>
          <cell r="N153"/>
          <cell r="O153"/>
          <cell r="P153"/>
        </row>
        <row r="154">
          <cell r="A154"/>
          <cell r="B154"/>
          <cell r="C154"/>
          <cell r="E154"/>
          <cell r="F154"/>
          <cell r="G154"/>
          <cell r="J154"/>
          <cell r="K154"/>
          <cell r="L154"/>
          <cell r="N154"/>
          <cell r="O154"/>
          <cell r="P154"/>
        </row>
        <row r="155">
          <cell r="A155"/>
          <cell r="B155"/>
          <cell r="C155"/>
          <cell r="E155"/>
          <cell r="F155"/>
          <cell r="G155"/>
          <cell r="J155"/>
          <cell r="K155"/>
          <cell r="L155"/>
          <cell r="N155"/>
          <cell r="O155"/>
          <cell r="P155"/>
        </row>
        <row r="156">
          <cell r="A156"/>
          <cell r="B156"/>
          <cell r="C156"/>
          <cell r="E156"/>
          <cell r="F156"/>
          <cell r="G156"/>
          <cell r="J156"/>
          <cell r="K156"/>
          <cell r="L156"/>
          <cell r="N156"/>
          <cell r="O156"/>
          <cell r="P156"/>
        </row>
        <row r="157">
          <cell r="A157"/>
          <cell r="B157"/>
          <cell r="C157"/>
          <cell r="E157"/>
          <cell r="F157"/>
          <cell r="G157"/>
          <cell r="J157"/>
          <cell r="K157"/>
          <cell r="L157"/>
          <cell r="N157"/>
          <cell r="O157"/>
          <cell r="P157"/>
        </row>
        <row r="158">
          <cell r="A158"/>
          <cell r="B158"/>
          <cell r="C158"/>
          <cell r="E158"/>
          <cell r="F158"/>
          <cell r="G158"/>
          <cell r="J158"/>
          <cell r="K158"/>
          <cell r="L158"/>
          <cell r="N158"/>
          <cell r="O158"/>
          <cell r="P158"/>
        </row>
        <row r="159">
          <cell r="A159"/>
          <cell r="B159"/>
          <cell r="C159"/>
          <cell r="E159"/>
          <cell r="F159"/>
          <cell r="G159"/>
          <cell r="J159"/>
          <cell r="K159"/>
          <cell r="L159"/>
          <cell r="N159"/>
          <cell r="O159"/>
          <cell r="P159"/>
        </row>
        <row r="160">
          <cell r="A160"/>
          <cell r="B160"/>
          <cell r="C160"/>
          <cell r="E160"/>
          <cell r="F160"/>
          <cell r="G160"/>
          <cell r="J160"/>
          <cell r="K160"/>
          <cell r="L160"/>
          <cell r="N160"/>
          <cell r="O160"/>
          <cell r="P160"/>
        </row>
        <row r="161">
          <cell r="A161"/>
          <cell r="B161"/>
          <cell r="C161"/>
          <cell r="E161"/>
          <cell r="F161"/>
          <cell r="G161"/>
          <cell r="J161"/>
          <cell r="K161"/>
          <cell r="L161"/>
          <cell r="N161"/>
          <cell r="O161"/>
          <cell r="P161"/>
        </row>
        <row r="162">
          <cell r="A162"/>
          <cell r="B162"/>
          <cell r="C162"/>
          <cell r="E162"/>
          <cell r="F162"/>
          <cell r="G162"/>
          <cell r="J162"/>
          <cell r="K162"/>
          <cell r="L162"/>
          <cell r="N162"/>
          <cell r="O162"/>
          <cell r="P162"/>
        </row>
        <row r="163">
          <cell r="A163"/>
          <cell r="B163"/>
          <cell r="C163"/>
          <cell r="E163"/>
          <cell r="F163"/>
          <cell r="G163"/>
          <cell r="J163"/>
          <cell r="K163"/>
          <cell r="L163"/>
          <cell r="N163"/>
          <cell r="O163"/>
          <cell r="P163"/>
        </row>
        <row r="164">
          <cell r="A164"/>
          <cell r="B164"/>
          <cell r="C164"/>
          <cell r="E164"/>
          <cell r="F164"/>
          <cell r="G164"/>
          <cell r="J164"/>
          <cell r="K164"/>
          <cell r="L164"/>
          <cell r="N164"/>
          <cell r="O164"/>
          <cell r="P164"/>
        </row>
        <row r="165">
          <cell r="A165"/>
          <cell r="B165"/>
          <cell r="C165"/>
          <cell r="E165"/>
          <cell r="F165"/>
          <cell r="G165"/>
          <cell r="J165"/>
          <cell r="K165"/>
          <cell r="L165"/>
          <cell r="N165"/>
          <cell r="O165"/>
          <cell r="P165"/>
        </row>
        <row r="166">
          <cell r="A166"/>
          <cell r="B166"/>
          <cell r="C166"/>
          <cell r="E166"/>
          <cell r="F166"/>
          <cell r="G166"/>
          <cell r="J166"/>
          <cell r="K166"/>
          <cell r="L166"/>
          <cell r="N166"/>
          <cell r="O166"/>
          <cell r="P166"/>
        </row>
        <row r="167">
          <cell r="A167"/>
          <cell r="B167"/>
          <cell r="C167"/>
          <cell r="E167"/>
          <cell r="F167"/>
          <cell r="G167"/>
          <cell r="J167"/>
          <cell r="K167"/>
          <cell r="L167"/>
          <cell r="N167"/>
          <cell r="O167"/>
          <cell r="P167"/>
        </row>
        <row r="168">
          <cell r="A168"/>
          <cell r="B168"/>
          <cell r="C168"/>
          <cell r="E168"/>
          <cell r="F168"/>
          <cell r="G168"/>
          <cell r="J168"/>
          <cell r="K168"/>
          <cell r="L168"/>
          <cell r="N168"/>
          <cell r="O168"/>
          <cell r="P168"/>
        </row>
        <row r="169">
          <cell r="A169"/>
          <cell r="B169"/>
          <cell r="C169"/>
          <cell r="E169"/>
          <cell r="F169"/>
          <cell r="G169"/>
          <cell r="J169"/>
          <cell r="K169"/>
          <cell r="L169"/>
          <cell r="N169"/>
          <cell r="O169"/>
          <cell r="P169"/>
        </row>
        <row r="170">
          <cell r="A170"/>
          <cell r="B170"/>
          <cell r="C170"/>
          <cell r="E170"/>
          <cell r="F170"/>
          <cell r="G170"/>
          <cell r="J170"/>
          <cell r="K170"/>
          <cell r="L170"/>
          <cell r="N170"/>
          <cell r="O170"/>
          <cell r="P170"/>
        </row>
        <row r="171">
          <cell r="A171"/>
          <cell r="B171"/>
          <cell r="C171"/>
          <cell r="E171"/>
          <cell r="F171"/>
          <cell r="G171"/>
          <cell r="J171"/>
          <cell r="K171"/>
          <cell r="L171"/>
          <cell r="N171"/>
          <cell r="O171"/>
          <cell r="P171"/>
        </row>
        <row r="172">
          <cell r="A172"/>
          <cell r="B172"/>
          <cell r="C172"/>
          <cell r="E172"/>
          <cell r="F172"/>
          <cell r="G172"/>
          <cell r="J172"/>
          <cell r="K172"/>
          <cell r="L172"/>
          <cell r="N172"/>
          <cell r="O172"/>
          <cell r="P172"/>
        </row>
        <row r="173">
          <cell r="A173"/>
          <cell r="B173"/>
          <cell r="C173"/>
          <cell r="E173"/>
          <cell r="F173"/>
          <cell r="G173"/>
          <cell r="J173"/>
          <cell r="K173"/>
          <cell r="L173"/>
          <cell r="N173"/>
          <cell r="O173"/>
          <cell r="P173"/>
        </row>
        <row r="174">
          <cell r="A174"/>
          <cell r="B174"/>
          <cell r="C174"/>
          <cell r="E174"/>
          <cell r="F174"/>
          <cell r="G174"/>
          <cell r="J174"/>
          <cell r="K174"/>
          <cell r="L174"/>
          <cell r="N174"/>
          <cell r="O174"/>
          <cell r="P174"/>
        </row>
        <row r="175">
          <cell r="A175"/>
          <cell r="B175"/>
          <cell r="C175"/>
          <cell r="E175"/>
          <cell r="F175"/>
          <cell r="G175"/>
          <cell r="J175"/>
          <cell r="K175"/>
          <cell r="L175"/>
          <cell r="N175"/>
          <cell r="O175"/>
          <cell r="P175"/>
        </row>
        <row r="176">
          <cell r="A176"/>
          <cell r="B176"/>
          <cell r="C176"/>
          <cell r="E176"/>
          <cell r="F176"/>
          <cell r="G176"/>
          <cell r="J176"/>
          <cell r="K176"/>
          <cell r="L176"/>
          <cell r="N176"/>
          <cell r="O176"/>
          <cell r="P176"/>
        </row>
        <row r="177">
          <cell r="A177"/>
          <cell r="B177"/>
          <cell r="C177"/>
          <cell r="E177"/>
          <cell r="F177"/>
          <cell r="G177"/>
          <cell r="J177"/>
          <cell r="K177"/>
          <cell r="L177"/>
          <cell r="N177"/>
          <cell r="O177"/>
          <cell r="P177"/>
        </row>
        <row r="178">
          <cell r="A178"/>
          <cell r="B178"/>
          <cell r="C178"/>
          <cell r="E178"/>
          <cell r="F178"/>
          <cell r="G178"/>
          <cell r="J178"/>
          <cell r="K178"/>
          <cell r="L178"/>
          <cell r="N178"/>
          <cell r="O178"/>
          <cell r="P178"/>
        </row>
        <row r="179">
          <cell r="A179"/>
          <cell r="B179"/>
          <cell r="C179"/>
          <cell r="E179"/>
          <cell r="F179"/>
          <cell r="G179"/>
          <cell r="J179"/>
          <cell r="K179"/>
          <cell r="L179"/>
          <cell r="N179"/>
          <cell r="O179"/>
          <cell r="P179"/>
        </row>
        <row r="180">
          <cell r="A180"/>
          <cell r="B180"/>
          <cell r="C180"/>
          <cell r="E180"/>
          <cell r="F180"/>
          <cell r="G180"/>
          <cell r="J180"/>
          <cell r="K180"/>
          <cell r="L180"/>
          <cell r="N180"/>
          <cell r="O180"/>
          <cell r="P180"/>
        </row>
        <row r="181">
          <cell r="A181"/>
          <cell r="B181"/>
          <cell r="C181"/>
          <cell r="E181"/>
          <cell r="F181"/>
          <cell r="G181"/>
          <cell r="J181"/>
          <cell r="K181"/>
          <cell r="L181"/>
          <cell r="N181"/>
          <cell r="O181"/>
          <cell r="P181"/>
        </row>
        <row r="182">
          <cell r="A182"/>
          <cell r="B182"/>
          <cell r="C182"/>
          <cell r="E182"/>
          <cell r="F182"/>
          <cell r="G182"/>
          <cell r="J182"/>
          <cell r="K182"/>
          <cell r="L182"/>
          <cell r="N182"/>
          <cell r="O182"/>
          <cell r="P182"/>
        </row>
        <row r="183">
          <cell r="A183"/>
          <cell r="B183"/>
          <cell r="C183"/>
          <cell r="E183"/>
          <cell r="F183"/>
          <cell r="G183"/>
          <cell r="J183"/>
          <cell r="K183"/>
          <cell r="L183"/>
          <cell r="N183"/>
          <cell r="O183"/>
          <cell r="P183"/>
        </row>
        <row r="184">
          <cell r="A184"/>
          <cell r="B184"/>
          <cell r="C184"/>
          <cell r="E184"/>
          <cell r="F184"/>
          <cell r="G184"/>
          <cell r="J184"/>
          <cell r="K184"/>
          <cell r="L184"/>
          <cell r="N184"/>
          <cell r="O184"/>
          <cell r="P184"/>
        </row>
        <row r="185">
          <cell r="A185"/>
          <cell r="B185"/>
          <cell r="C185"/>
          <cell r="E185"/>
          <cell r="F185"/>
          <cell r="G185"/>
          <cell r="J185"/>
          <cell r="K185"/>
          <cell r="L185"/>
          <cell r="N185"/>
          <cell r="O185"/>
          <cell r="P185"/>
        </row>
        <row r="186">
          <cell r="A186"/>
          <cell r="B186"/>
          <cell r="C186"/>
          <cell r="E186"/>
          <cell r="F186"/>
          <cell r="G186"/>
          <cell r="J186"/>
          <cell r="K186"/>
          <cell r="L186"/>
          <cell r="N186"/>
          <cell r="O186"/>
          <cell r="P186"/>
        </row>
        <row r="187">
          <cell r="A187"/>
          <cell r="B187"/>
          <cell r="C187"/>
          <cell r="E187"/>
          <cell r="F187"/>
          <cell r="G187"/>
          <cell r="J187"/>
          <cell r="K187"/>
          <cell r="L187"/>
          <cell r="N187"/>
          <cell r="O187"/>
          <cell r="P187"/>
        </row>
        <row r="188">
          <cell r="A188"/>
          <cell r="B188"/>
          <cell r="C188"/>
          <cell r="E188"/>
          <cell r="F188"/>
          <cell r="G188"/>
          <cell r="J188"/>
          <cell r="K188"/>
          <cell r="L188"/>
          <cell r="N188"/>
          <cell r="O188"/>
          <cell r="P188"/>
        </row>
        <row r="189">
          <cell r="A189"/>
          <cell r="B189"/>
          <cell r="C189"/>
          <cell r="E189"/>
          <cell r="F189"/>
          <cell r="G189"/>
          <cell r="J189"/>
          <cell r="K189"/>
          <cell r="L189"/>
          <cell r="N189"/>
          <cell r="O189"/>
          <cell r="P189"/>
        </row>
        <row r="190">
          <cell r="A190"/>
          <cell r="B190"/>
          <cell r="C190"/>
          <cell r="E190"/>
          <cell r="F190"/>
          <cell r="G190"/>
          <cell r="J190"/>
          <cell r="K190"/>
          <cell r="L190"/>
          <cell r="N190"/>
          <cell r="O190"/>
          <cell r="P190"/>
        </row>
        <row r="191">
          <cell r="A191"/>
          <cell r="B191"/>
          <cell r="C191"/>
          <cell r="E191"/>
          <cell r="F191"/>
          <cell r="G191"/>
          <cell r="J191"/>
          <cell r="K191"/>
          <cell r="L191"/>
          <cell r="N191"/>
          <cell r="O191"/>
          <cell r="P191"/>
        </row>
        <row r="192">
          <cell r="A192"/>
          <cell r="B192"/>
          <cell r="C192"/>
          <cell r="E192"/>
          <cell r="F192"/>
          <cell r="G192"/>
          <cell r="J192"/>
          <cell r="K192"/>
          <cell r="L192"/>
          <cell r="N192"/>
          <cell r="O192"/>
          <cell r="P192"/>
        </row>
        <row r="193">
          <cell r="A193"/>
          <cell r="B193"/>
          <cell r="C193"/>
          <cell r="E193"/>
          <cell r="F193"/>
          <cell r="G193"/>
          <cell r="J193"/>
          <cell r="K193"/>
          <cell r="L193"/>
          <cell r="N193"/>
          <cell r="O193"/>
          <cell r="P193"/>
        </row>
        <row r="194">
          <cell r="A194"/>
          <cell r="B194"/>
          <cell r="C194"/>
          <cell r="E194"/>
          <cell r="F194"/>
          <cell r="G194"/>
          <cell r="J194"/>
          <cell r="K194"/>
          <cell r="L194"/>
          <cell r="N194"/>
          <cell r="O194"/>
          <cell r="P194"/>
        </row>
        <row r="195">
          <cell r="A195"/>
          <cell r="B195"/>
          <cell r="C195"/>
          <cell r="E195"/>
          <cell r="F195"/>
          <cell r="G195"/>
          <cell r="J195"/>
          <cell r="K195"/>
          <cell r="L195"/>
          <cell r="N195"/>
          <cell r="O195"/>
          <cell r="P195"/>
        </row>
        <row r="196">
          <cell r="A196"/>
          <cell r="B196"/>
          <cell r="C196"/>
          <cell r="E196"/>
          <cell r="F196"/>
          <cell r="G196"/>
          <cell r="J196"/>
          <cell r="K196"/>
          <cell r="L196"/>
          <cell r="N196"/>
          <cell r="O196"/>
          <cell r="P196"/>
        </row>
        <row r="197">
          <cell r="A197"/>
          <cell r="B197"/>
          <cell r="C197"/>
          <cell r="E197"/>
          <cell r="F197"/>
          <cell r="G197"/>
          <cell r="J197"/>
          <cell r="K197"/>
          <cell r="L197"/>
          <cell r="N197"/>
          <cell r="O197"/>
          <cell r="P197"/>
        </row>
        <row r="198">
          <cell r="A198"/>
          <cell r="B198"/>
          <cell r="C198"/>
          <cell r="E198"/>
          <cell r="F198"/>
          <cell r="G198"/>
          <cell r="J198"/>
          <cell r="K198"/>
          <cell r="L198"/>
          <cell r="N198"/>
          <cell r="O198"/>
          <cell r="P198"/>
        </row>
        <row r="199">
          <cell r="A199"/>
          <cell r="B199"/>
          <cell r="C199"/>
          <cell r="E199"/>
          <cell r="F199"/>
          <cell r="G199"/>
          <cell r="J199"/>
          <cell r="K199"/>
          <cell r="L199"/>
          <cell r="N199"/>
          <cell r="O199"/>
          <cell r="P199"/>
        </row>
        <row r="200">
          <cell r="A200"/>
          <cell r="B200"/>
          <cell r="C200"/>
          <cell r="E200"/>
          <cell r="F200"/>
          <cell r="G200"/>
          <cell r="J200"/>
          <cell r="K200"/>
          <cell r="L200"/>
          <cell r="N200"/>
          <cell r="O200"/>
          <cell r="P200"/>
        </row>
        <row r="201">
          <cell r="A201"/>
          <cell r="B201"/>
          <cell r="C201"/>
          <cell r="E201"/>
          <cell r="F201"/>
          <cell r="G201"/>
          <cell r="J201"/>
          <cell r="K201"/>
          <cell r="L201"/>
          <cell r="N201"/>
          <cell r="O201"/>
          <cell r="P201"/>
        </row>
        <row r="202">
          <cell r="A202"/>
          <cell r="B202"/>
          <cell r="C202"/>
          <cell r="E202"/>
          <cell r="F202"/>
          <cell r="G202"/>
          <cell r="J202"/>
          <cell r="K202"/>
          <cell r="L202"/>
          <cell r="N202"/>
          <cell r="O202"/>
          <cell r="P202"/>
        </row>
        <row r="203">
          <cell r="A203"/>
          <cell r="B203"/>
          <cell r="C203"/>
          <cell r="E203"/>
          <cell r="F203"/>
          <cell r="G203"/>
          <cell r="J203"/>
          <cell r="K203"/>
          <cell r="L203"/>
          <cell r="N203"/>
          <cell r="O203"/>
          <cell r="P203"/>
        </row>
        <row r="204">
          <cell r="A204"/>
          <cell r="B204"/>
          <cell r="C204"/>
          <cell r="E204"/>
          <cell r="F204"/>
          <cell r="G204"/>
          <cell r="J204"/>
          <cell r="K204"/>
          <cell r="L204"/>
          <cell r="N204"/>
          <cell r="O204"/>
          <cell r="P204"/>
        </row>
        <row r="205">
          <cell r="A205"/>
          <cell r="B205"/>
          <cell r="C205"/>
          <cell r="E205"/>
          <cell r="F205"/>
          <cell r="G205"/>
          <cell r="J205"/>
          <cell r="K205"/>
          <cell r="L205"/>
          <cell r="N205"/>
          <cell r="O205"/>
          <cell r="P205"/>
        </row>
        <row r="206">
          <cell r="A206"/>
          <cell r="B206"/>
          <cell r="C206"/>
          <cell r="E206"/>
          <cell r="F206"/>
          <cell r="G206"/>
          <cell r="J206"/>
          <cell r="K206"/>
          <cell r="L206"/>
          <cell r="N206"/>
          <cell r="O206"/>
          <cell r="P206"/>
        </row>
        <row r="207">
          <cell r="A207"/>
          <cell r="B207"/>
          <cell r="C207"/>
          <cell r="E207"/>
          <cell r="F207"/>
          <cell r="G207"/>
          <cell r="J207"/>
          <cell r="K207"/>
          <cell r="L207"/>
          <cell r="N207"/>
          <cell r="O207"/>
          <cell r="P207"/>
        </row>
        <row r="208">
          <cell r="A208"/>
          <cell r="B208"/>
          <cell r="C208"/>
          <cell r="E208"/>
          <cell r="F208"/>
          <cell r="G208"/>
          <cell r="J208"/>
          <cell r="K208"/>
          <cell r="L208"/>
          <cell r="N208"/>
          <cell r="O208"/>
          <cell r="P208"/>
        </row>
        <row r="209">
          <cell r="A209"/>
          <cell r="B209"/>
          <cell r="C209"/>
          <cell r="E209"/>
          <cell r="F209"/>
          <cell r="G209"/>
          <cell r="J209"/>
          <cell r="K209"/>
          <cell r="L209"/>
          <cell r="N209"/>
          <cell r="O209"/>
          <cell r="P209"/>
        </row>
        <row r="210">
          <cell r="A210"/>
          <cell r="B210"/>
          <cell r="C210"/>
          <cell r="E210"/>
          <cell r="F210"/>
          <cell r="G210"/>
          <cell r="J210"/>
          <cell r="K210"/>
          <cell r="L210"/>
          <cell r="N210"/>
          <cell r="O210"/>
          <cell r="P210"/>
        </row>
        <row r="211">
          <cell r="A211"/>
          <cell r="B211"/>
          <cell r="C211"/>
          <cell r="E211"/>
          <cell r="F211"/>
          <cell r="G211"/>
          <cell r="J211"/>
          <cell r="K211"/>
          <cell r="L211"/>
          <cell r="N211"/>
          <cell r="O211"/>
          <cell r="P211"/>
        </row>
        <row r="212">
          <cell r="A212"/>
          <cell r="B212"/>
          <cell r="C212"/>
          <cell r="E212"/>
          <cell r="F212"/>
          <cell r="G212"/>
          <cell r="J212"/>
          <cell r="K212"/>
          <cell r="L212"/>
          <cell r="N212"/>
          <cell r="O212"/>
          <cell r="P212"/>
        </row>
        <row r="213">
          <cell r="A213"/>
          <cell r="B213"/>
          <cell r="C213"/>
          <cell r="E213"/>
          <cell r="F213"/>
          <cell r="G213"/>
          <cell r="J213"/>
          <cell r="K213"/>
          <cell r="L213"/>
          <cell r="N213"/>
          <cell r="O213"/>
          <cell r="P213"/>
        </row>
        <row r="214">
          <cell r="A214"/>
          <cell r="B214"/>
          <cell r="C214"/>
          <cell r="E214"/>
          <cell r="F214"/>
          <cell r="G214"/>
          <cell r="J214"/>
          <cell r="K214"/>
          <cell r="L214"/>
          <cell r="N214"/>
          <cell r="O214"/>
          <cell r="P214"/>
        </row>
        <row r="215">
          <cell r="A215"/>
          <cell r="B215"/>
          <cell r="C215"/>
          <cell r="E215"/>
          <cell r="F215"/>
          <cell r="G215"/>
          <cell r="J215"/>
          <cell r="K215"/>
          <cell r="L215"/>
          <cell r="N215"/>
          <cell r="O215"/>
          <cell r="P215"/>
        </row>
        <row r="216">
          <cell r="A216"/>
          <cell r="B216"/>
          <cell r="C216"/>
          <cell r="E216"/>
          <cell r="F216"/>
          <cell r="G216"/>
          <cell r="J216"/>
          <cell r="K216"/>
          <cell r="L216"/>
          <cell r="N216"/>
          <cell r="O216"/>
          <cell r="P216"/>
        </row>
        <row r="217">
          <cell r="A217"/>
          <cell r="B217"/>
          <cell r="C217"/>
          <cell r="E217"/>
          <cell r="F217"/>
          <cell r="G217"/>
          <cell r="J217"/>
          <cell r="K217"/>
          <cell r="L217"/>
          <cell r="N217"/>
          <cell r="O217"/>
          <cell r="P217"/>
        </row>
        <row r="218">
          <cell r="A218"/>
          <cell r="B218"/>
          <cell r="C218"/>
          <cell r="E218"/>
          <cell r="F218"/>
          <cell r="G218"/>
          <cell r="J218"/>
          <cell r="K218"/>
          <cell r="L218"/>
          <cell r="N218"/>
          <cell r="O218"/>
          <cell r="P218"/>
        </row>
        <row r="219">
          <cell r="A219"/>
          <cell r="B219"/>
          <cell r="C219"/>
          <cell r="E219"/>
          <cell r="F219"/>
          <cell r="G219"/>
          <cell r="J219"/>
          <cell r="K219"/>
          <cell r="L219"/>
          <cell r="N219"/>
          <cell r="O219"/>
          <cell r="P219"/>
        </row>
        <row r="220">
          <cell r="A220"/>
          <cell r="B220"/>
          <cell r="C220"/>
          <cell r="E220"/>
          <cell r="F220"/>
          <cell r="G220"/>
          <cell r="J220"/>
          <cell r="K220"/>
          <cell r="L220"/>
          <cell r="N220"/>
          <cell r="O220"/>
          <cell r="P220"/>
        </row>
        <row r="221">
          <cell r="A221"/>
          <cell r="B221"/>
          <cell r="C221"/>
          <cell r="E221"/>
          <cell r="F221"/>
          <cell r="G221"/>
          <cell r="J221"/>
          <cell r="K221"/>
          <cell r="L221"/>
          <cell r="N221"/>
          <cell r="O221"/>
          <cell r="P221"/>
        </row>
        <row r="222">
          <cell r="A222"/>
          <cell r="B222"/>
          <cell r="C222"/>
          <cell r="E222"/>
          <cell r="F222"/>
          <cell r="G222"/>
          <cell r="J222"/>
          <cell r="K222"/>
          <cell r="L222"/>
          <cell r="N222"/>
          <cell r="O222"/>
          <cell r="P222"/>
        </row>
        <row r="223">
          <cell r="A223"/>
          <cell r="B223"/>
          <cell r="C223"/>
          <cell r="E223"/>
          <cell r="F223"/>
          <cell r="G223"/>
          <cell r="J223"/>
          <cell r="K223"/>
          <cell r="L223"/>
          <cell r="N223"/>
          <cell r="O223"/>
          <cell r="P223"/>
        </row>
        <row r="224">
          <cell r="A224"/>
          <cell r="B224"/>
          <cell r="C224"/>
          <cell r="E224"/>
          <cell r="F224"/>
          <cell r="G224"/>
          <cell r="J224"/>
          <cell r="K224"/>
          <cell r="L224"/>
          <cell r="N224"/>
          <cell r="O224"/>
          <cell r="P224"/>
        </row>
        <row r="225">
          <cell r="A225"/>
          <cell r="B225"/>
          <cell r="C225"/>
          <cell r="E225"/>
          <cell r="F225"/>
          <cell r="G225"/>
          <cell r="J225"/>
          <cell r="K225"/>
          <cell r="L225"/>
          <cell r="N225"/>
          <cell r="O225"/>
          <cell r="P225"/>
        </row>
        <row r="226">
          <cell r="A226"/>
          <cell r="B226"/>
          <cell r="C226"/>
          <cell r="E226"/>
          <cell r="F226"/>
          <cell r="G226"/>
          <cell r="J226"/>
          <cell r="K226"/>
          <cell r="L226"/>
          <cell r="N226"/>
          <cell r="O226"/>
          <cell r="P226"/>
        </row>
        <row r="227">
          <cell r="A227"/>
          <cell r="B227"/>
          <cell r="C227"/>
          <cell r="E227"/>
          <cell r="F227"/>
          <cell r="G227"/>
          <cell r="J227"/>
          <cell r="K227"/>
          <cell r="L227"/>
          <cell r="N227"/>
          <cell r="O227"/>
          <cell r="P227"/>
        </row>
        <row r="228">
          <cell r="A228"/>
          <cell r="B228"/>
          <cell r="C228"/>
          <cell r="E228"/>
          <cell r="F228"/>
          <cell r="G228"/>
          <cell r="J228"/>
          <cell r="K228"/>
          <cell r="L228"/>
          <cell r="N228"/>
          <cell r="O228"/>
          <cell r="P228"/>
        </row>
        <row r="229">
          <cell r="A229"/>
          <cell r="B229"/>
          <cell r="C229"/>
          <cell r="E229"/>
          <cell r="F229"/>
          <cell r="G229"/>
          <cell r="J229"/>
          <cell r="K229"/>
          <cell r="L229"/>
          <cell r="N229"/>
          <cell r="O229"/>
          <cell r="P229"/>
        </row>
        <row r="230">
          <cell r="A230"/>
          <cell r="B230"/>
          <cell r="C230"/>
          <cell r="E230"/>
          <cell r="F230"/>
          <cell r="G230"/>
          <cell r="J230"/>
          <cell r="K230"/>
          <cell r="L230"/>
          <cell r="N230"/>
          <cell r="O230"/>
          <cell r="P230"/>
        </row>
        <row r="231">
          <cell r="A231"/>
          <cell r="B231"/>
          <cell r="C231"/>
          <cell r="E231"/>
          <cell r="F231"/>
          <cell r="G231"/>
          <cell r="J231"/>
          <cell r="K231"/>
          <cell r="L231"/>
          <cell r="N231"/>
          <cell r="O231"/>
          <cell r="P231"/>
        </row>
        <row r="232">
          <cell r="A232"/>
          <cell r="B232"/>
          <cell r="C232"/>
          <cell r="E232"/>
          <cell r="F232"/>
          <cell r="G232"/>
          <cell r="J232"/>
          <cell r="K232"/>
          <cell r="L232"/>
          <cell r="N232"/>
          <cell r="O232"/>
          <cell r="P232"/>
        </row>
        <row r="233">
          <cell r="A233"/>
          <cell r="B233"/>
          <cell r="C233"/>
          <cell r="E233"/>
          <cell r="F233"/>
          <cell r="G233"/>
          <cell r="J233"/>
          <cell r="K233"/>
          <cell r="L233"/>
          <cell r="N233"/>
          <cell r="O233"/>
          <cell r="P233"/>
        </row>
        <row r="234">
          <cell r="A234"/>
          <cell r="B234"/>
          <cell r="C234"/>
          <cell r="E234"/>
          <cell r="F234"/>
          <cell r="G234"/>
          <cell r="J234"/>
          <cell r="K234"/>
          <cell r="L234"/>
          <cell r="N234"/>
          <cell r="O234"/>
          <cell r="P234"/>
        </row>
        <row r="235">
          <cell r="A235"/>
          <cell r="B235"/>
          <cell r="C235"/>
          <cell r="E235"/>
          <cell r="F235"/>
          <cell r="G235"/>
          <cell r="J235"/>
          <cell r="K235"/>
          <cell r="L235"/>
          <cell r="N235"/>
          <cell r="O235"/>
          <cell r="P235"/>
        </row>
        <row r="236">
          <cell r="A236"/>
          <cell r="B236"/>
          <cell r="C236"/>
          <cell r="E236"/>
          <cell r="F236"/>
          <cell r="G236"/>
          <cell r="J236"/>
          <cell r="K236"/>
          <cell r="L236"/>
          <cell r="N236"/>
          <cell r="O236"/>
          <cell r="P236"/>
        </row>
        <row r="237">
          <cell r="A237"/>
          <cell r="B237"/>
          <cell r="C237"/>
          <cell r="E237"/>
          <cell r="F237"/>
          <cell r="G237"/>
          <cell r="J237"/>
          <cell r="K237"/>
          <cell r="L237"/>
          <cell r="N237"/>
          <cell r="O237"/>
          <cell r="P237"/>
        </row>
        <row r="238">
          <cell r="A238"/>
          <cell r="B238"/>
          <cell r="C238"/>
          <cell r="E238"/>
          <cell r="F238"/>
          <cell r="G238"/>
          <cell r="J238"/>
          <cell r="K238"/>
          <cell r="L238"/>
          <cell r="N238"/>
          <cell r="O238"/>
          <cell r="P238"/>
        </row>
        <row r="239">
          <cell r="A239"/>
          <cell r="B239"/>
          <cell r="C239"/>
          <cell r="E239"/>
          <cell r="F239"/>
          <cell r="G239"/>
          <cell r="J239"/>
          <cell r="K239"/>
          <cell r="L239"/>
          <cell r="N239"/>
          <cell r="O239"/>
          <cell r="P239"/>
        </row>
        <row r="240">
          <cell r="A240"/>
          <cell r="B240"/>
          <cell r="C240"/>
          <cell r="E240"/>
          <cell r="F240"/>
          <cell r="G240"/>
          <cell r="J240"/>
          <cell r="K240"/>
          <cell r="L240"/>
          <cell r="N240"/>
          <cell r="O240"/>
          <cell r="P240"/>
        </row>
        <row r="241">
          <cell r="A241"/>
          <cell r="B241"/>
          <cell r="C241"/>
          <cell r="E241"/>
          <cell r="F241"/>
          <cell r="G241"/>
          <cell r="J241"/>
          <cell r="K241"/>
          <cell r="L241"/>
          <cell r="N241"/>
          <cell r="O241"/>
          <cell r="P241"/>
        </row>
        <row r="242">
          <cell r="A242"/>
          <cell r="B242"/>
          <cell r="C242"/>
          <cell r="E242"/>
          <cell r="F242"/>
          <cell r="G242"/>
          <cell r="J242"/>
          <cell r="K242"/>
          <cell r="L242"/>
          <cell r="N242"/>
          <cell r="O242"/>
          <cell r="P242"/>
        </row>
        <row r="243">
          <cell r="A243"/>
          <cell r="B243"/>
          <cell r="C243"/>
          <cell r="E243"/>
          <cell r="F243"/>
          <cell r="G243"/>
          <cell r="J243"/>
          <cell r="K243"/>
          <cell r="L243"/>
          <cell r="N243"/>
          <cell r="O243"/>
          <cell r="P243"/>
        </row>
        <row r="244">
          <cell r="A244"/>
          <cell r="B244"/>
          <cell r="C244"/>
          <cell r="E244"/>
          <cell r="F244"/>
          <cell r="G244"/>
          <cell r="J244"/>
          <cell r="K244"/>
          <cell r="L244"/>
          <cell r="N244"/>
          <cell r="O244"/>
          <cell r="P244"/>
        </row>
        <row r="245">
          <cell r="A245"/>
          <cell r="B245"/>
          <cell r="C245"/>
          <cell r="E245"/>
          <cell r="F245"/>
          <cell r="G245"/>
          <cell r="J245"/>
          <cell r="K245"/>
          <cell r="L245"/>
          <cell r="N245"/>
          <cell r="O245"/>
          <cell r="P245"/>
        </row>
        <row r="246">
          <cell r="A246"/>
          <cell r="B246"/>
          <cell r="C246"/>
          <cell r="E246"/>
          <cell r="F246"/>
          <cell r="G246"/>
          <cell r="J246"/>
          <cell r="K246"/>
          <cell r="L246"/>
          <cell r="N246"/>
          <cell r="O246"/>
          <cell r="P246"/>
        </row>
        <row r="247">
          <cell r="A247"/>
          <cell r="B247"/>
          <cell r="C247"/>
          <cell r="E247"/>
          <cell r="F247"/>
          <cell r="G247"/>
          <cell r="J247"/>
          <cell r="K247"/>
          <cell r="L247"/>
          <cell r="N247"/>
          <cell r="O247"/>
          <cell r="P247"/>
        </row>
        <row r="248">
          <cell r="A248"/>
          <cell r="B248"/>
          <cell r="C248"/>
          <cell r="E248"/>
          <cell r="F248"/>
          <cell r="G248"/>
          <cell r="J248"/>
          <cell r="K248"/>
          <cell r="L248"/>
          <cell r="N248"/>
          <cell r="O248"/>
          <cell r="P248"/>
        </row>
        <row r="249">
          <cell r="A249"/>
          <cell r="B249"/>
          <cell r="C249"/>
          <cell r="E249"/>
          <cell r="F249"/>
          <cell r="G249"/>
          <cell r="J249"/>
          <cell r="K249"/>
          <cell r="L249"/>
          <cell r="N249"/>
          <cell r="O249"/>
          <cell r="P249"/>
        </row>
        <row r="250">
          <cell r="A250"/>
          <cell r="B250"/>
          <cell r="C250"/>
          <cell r="E250"/>
          <cell r="F250"/>
          <cell r="G250"/>
          <cell r="J250"/>
          <cell r="K250"/>
          <cell r="L250"/>
          <cell r="N250"/>
          <cell r="O250"/>
          <cell r="P250"/>
        </row>
        <row r="251">
          <cell r="A251"/>
          <cell r="B251"/>
          <cell r="C251"/>
          <cell r="E251"/>
          <cell r="F251"/>
          <cell r="G251"/>
          <cell r="J251"/>
          <cell r="K251"/>
          <cell r="L251"/>
          <cell r="N251"/>
          <cell r="O251"/>
          <cell r="P251"/>
        </row>
        <row r="252">
          <cell r="A252"/>
          <cell r="B252"/>
          <cell r="C252"/>
          <cell r="E252"/>
          <cell r="F252"/>
          <cell r="G252"/>
          <cell r="J252"/>
          <cell r="K252"/>
          <cell r="L252"/>
          <cell r="N252"/>
          <cell r="O252"/>
          <cell r="P252"/>
        </row>
        <row r="253">
          <cell r="A253"/>
          <cell r="B253"/>
          <cell r="C253"/>
          <cell r="E253"/>
          <cell r="F253"/>
          <cell r="G253"/>
          <cell r="J253"/>
          <cell r="K253"/>
          <cell r="L253"/>
          <cell r="N253"/>
          <cell r="O253"/>
          <cell r="P253"/>
        </row>
        <row r="254">
          <cell r="A254"/>
          <cell r="B254"/>
          <cell r="C254"/>
          <cell r="E254"/>
          <cell r="F254"/>
          <cell r="G254"/>
          <cell r="J254"/>
          <cell r="K254"/>
          <cell r="L254"/>
          <cell r="N254"/>
          <cell r="O254"/>
          <cell r="P254"/>
        </row>
        <row r="255">
          <cell r="A255"/>
          <cell r="B255"/>
          <cell r="C255"/>
          <cell r="E255"/>
          <cell r="F255"/>
          <cell r="G255"/>
          <cell r="J255"/>
          <cell r="K255"/>
          <cell r="L255"/>
          <cell r="N255"/>
          <cell r="O255"/>
          <cell r="P255"/>
        </row>
        <row r="256">
          <cell r="A256"/>
          <cell r="B256"/>
          <cell r="C256"/>
          <cell r="E256"/>
          <cell r="F256"/>
          <cell r="G256"/>
          <cell r="J256"/>
          <cell r="K256"/>
          <cell r="L256"/>
          <cell r="N256"/>
          <cell r="O256"/>
          <cell r="P256"/>
        </row>
        <row r="257">
          <cell r="A257"/>
          <cell r="B257"/>
          <cell r="C257"/>
          <cell r="E257"/>
          <cell r="F257"/>
          <cell r="G257"/>
          <cell r="J257"/>
          <cell r="K257"/>
          <cell r="L257"/>
          <cell r="N257"/>
          <cell r="O257"/>
          <cell r="P257"/>
        </row>
        <row r="258">
          <cell r="A258"/>
          <cell r="B258"/>
          <cell r="C258"/>
          <cell r="E258"/>
          <cell r="F258"/>
          <cell r="G258"/>
          <cell r="J258"/>
          <cell r="K258"/>
          <cell r="L258"/>
          <cell r="N258"/>
          <cell r="O258"/>
          <cell r="P258"/>
        </row>
        <row r="259">
          <cell r="A259"/>
          <cell r="B259"/>
          <cell r="C259"/>
          <cell r="E259"/>
          <cell r="F259"/>
          <cell r="G259"/>
          <cell r="J259"/>
          <cell r="K259"/>
          <cell r="L259"/>
          <cell r="N259"/>
          <cell r="O259"/>
          <cell r="P259"/>
        </row>
        <row r="260">
          <cell r="A260"/>
          <cell r="B260"/>
          <cell r="C260"/>
          <cell r="E260"/>
          <cell r="F260"/>
          <cell r="G260"/>
          <cell r="J260"/>
          <cell r="K260"/>
          <cell r="L260"/>
          <cell r="N260"/>
          <cell r="O260"/>
          <cell r="P260"/>
        </row>
        <row r="261">
          <cell r="A261"/>
          <cell r="B261"/>
          <cell r="C261"/>
          <cell r="E261"/>
          <cell r="F261"/>
          <cell r="G261"/>
          <cell r="J261"/>
          <cell r="K261"/>
          <cell r="L261"/>
          <cell r="N261"/>
          <cell r="O261"/>
          <cell r="P261"/>
        </row>
        <row r="262">
          <cell r="A262"/>
          <cell r="B262"/>
          <cell r="C262"/>
          <cell r="E262"/>
          <cell r="F262"/>
          <cell r="G262"/>
          <cell r="J262"/>
          <cell r="K262"/>
          <cell r="L262"/>
          <cell r="N262"/>
          <cell r="O262"/>
          <cell r="P262"/>
        </row>
        <row r="263">
          <cell r="A263"/>
          <cell r="B263"/>
          <cell r="C263"/>
          <cell r="E263"/>
          <cell r="F263"/>
          <cell r="G263"/>
          <cell r="J263"/>
          <cell r="K263"/>
          <cell r="L263"/>
          <cell r="N263"/>
          <cell r="O263"/>
          <cell r="P263"/>
        </row>
        <row r="264">
          <cell r="A264"/>
          <cell r="B264"/>
          <cell r="C264"/>
          <cell r="E264"/>
          <cell r="F264"/>
          <cell r="G264"/>
          <cell r="J264"/>
          <cell r="K264"/>
          <cell r="L264"/>
          <cell r="N264"/>
          <cell r="O264"/>
          <cell r="P264"/>
        </row>
        <row r="265">
          <cell r="A265"/>
          <cell r="B265"/>
          <cell r="C265"/>
          <cell r="E265"/>
          <cell r="F265"/>
          <cell r="G265"/>
          <cell r="J265"/>
          <cell r="K265"/>
          <cell r="L265"/>
          <cell r="N265"/>
          <cell r="O265"/>
          <cell r="P265"/>
        </row>
        <row r="266">
          <cell r="A266"/>
          <cell r="B266"/>
          <cell r="C266"/>
          <cell r="E266"/>
          <cell r="F266"/>
          <cell r="G266"/>
          <cell r="J266"/>
          <cell r="K266"/>
          <cell r="L266"/>
          <cell r="N266"/>
          <cell r="O266"/>
          <cell r="P266"/>
        </row>
        <row r="267">
          <cell r="A267"/>
          <cell r="B267"/>
          <cell r="C267"/>
          <cell r="E267"/>
          <cell r="F267"/>
          <cell r="G267"/>
          <cell r="J267"/>
          <cell r="K267"/>
          <cell r="L267"/>
          <cell r="N267"/>
          <cell r="O267"/>
          <cell r="P267"/>
        </row>
        <row r="268">
          <cell r="A268"/>
          <cell r="B268"/>
          <cell r="C268"/>
          <cell r="E268"/>
          <cell r="F268"/>
          <cell r="G268"/>
          <cell r="J268"/>
          <cell r="K268"/>
          <cell r="L268"/>
          <cell r="N268"/>
          <cell r="O268"/>
          <cell r="P268"/>
        </row>
        <row r="269">
          <cell r="A269"/>
          <cell r="B269"/>
          <cell r="C269"/>
          <cell r="E269"/>
          <cell r="F269"/>
          <cell r="G269"/>
          <cell r="J269"/>
          <cell r="K269"/>
          <cell r="L269"/>
          <cell r="N269"/>
          <cell r="O269"/>
          <cell r="P269"/>
        </row>
        <row r="270">
          <cell r="A270"/>
          <cell r="B270"/>
          <cell r="C270"/>
          <cell r="E270"/>
          <cell r="F270"/>
          <cell r="G270"/>
          <cell r="J270"/>
          <cell r="K270"/>
          <cell r="L270"/>
          <cell r="N270"/>
          <cell r="O270"/>
          <cell r="P270"/>
        </row>
        <row r="271">
          <cell r="A271"/>
          <cell r="B271"/>
          <cell r="C271"/>
          <cell r="E271"/>
          <cell r="F271"/>
          <cell r="G271"/>
          <cell r="J271"/>
          <cell r="K271"/>
          <cell r="L271"/>
          <cell r="N271"/>
          <cell r="O271"/>
          <cell r="P271"/>
        </row>
        <row r="272">
          <cell r="A272"/>
          <cell r="B272"/>
          <cell r="C272"/>
          <cell r="E272"/>
          <cell r="F272"/>
          <cell r="G272"/>
          <cell r="J272"/>
          <cell r="K272"/>
          <cell r="L272"/>
          <cell r="N272"/>
          <cell r="O272"/>
          <cell r="P272"/>
        </row>
        <row r="273">
          <cell r="A273"/>
          <cell r="B273"/>
          <cell r="C273"/>
          <cell r="E273"/>
          <cell r="F273"/>
          <cell r="G273"/>
          <cell r="J273"/>
          <cell r="K273"/>
          <cell r="L273"/>
          <cell r="N273"/>
          <cell r="O273"/>
          <cell r="P273"/>
        </row>
        <row r="274">
          <cell r="A274"/>
          <cell r="B274"/>
          <cell r="C274"/>
          <cell r="E274"/>
          <cell r="F274"/>
          <cell r="G274"/>
          <cell r="J274"/>
          <cell r="K274"/>
          <cell r="L274"/>
          <cell r="N274"/>
          <cell r="O274"/>
          <cell r="P274"/>
        </row>
        <row r="275">
          <cell r="A275"/>
          <cell r="B275"/>
          <cell r="C275"/>
          <cell r="E275"/>
          <cell r="F275"/>
          <cell r="G275"/>
          <cell r="J275"/>
          <cell r="K275"/>
          <cell r="L275"/>
          <cell r="N275"/>
          <cell r="O275"/>
          <cell r="P275"/>
        </row>
        <row r="276">
          <cell r="A276"/>
          <cell r="B276"/>
          <cell r="C276"/>
          <cell r="E276"/>
          <cell r="F276"/>
          <cell r="G276"/>
          <cell r="J276"/>
          <cell r="K276"/>
          <cell r="L276"/>
          <cell r="N276"/>
          <cell r="O276"/>
          <cell r="P276"/>
        </row>
        <row r="277">
          <cell r="A277"/>
          <cell r="B277"/>
          <cell r="C277"/>
          <cell r="E277"/>
          <cell r="F277"/>
          <cell r="G277"/>
          <cell r="J277"/>
          <cell r="K277"/>
          <cell r="L277"/>
          <cell r="N277"/>
          <cell r="O277"/>
          <cell r="P277"/>
        </row>
        <row r="278">
          <cell r="A278"/>
          <cell r="B278"/>
          <cell r="C278"/>
          <cell r="E278"/>
          <cell r="F278"/>
          <cell r="G278"/>
          <cell r="J278"/>
          <cell r="K278"/>
          <cell r="L278"/>
          <cell r="N278"/>
          <cell r="O278"/>
          <cell r="P278"/>
        </row>
        <row r="279">
          <cell r="A279"/>
          <cell r="B279"/>
          <cell r="C279"/>
          <cell r="E279"/>
          <cell r="F279"/>
          <cell r="G279"/>
          <cell r="J279"/>
          <cell r="K279"/>
          <cell r="L279"/>
          <cell r="N279"/>
          <cell r="O279"/>
          <cell r="P279"/>
        </row>
        <row r="280">
          <cell r="A280"/>
          <cell r="B280"/>
          <cell r="C280"/>
          <cell r="E280"/>
          <cell r="F280"/>
          <cell r="G280"/>
          <cell r="J280"/>
          <cell r="K280"/>
          <cell r="L280"/>
          <cell r="N280"/>
          <cell r="O280"/>
          <cell r="P280"/>
        </row>
        <row r="281">
          <cell r="A281"/>
          <cell r="B281"/>
          <cell r="C281"/>
          <cell r="E281"/>
          <cell r="F281"/>
          <cell r="G281"/>
          <cell r="J281"/>
          <cell r="K281"/>
          <cell r="L281"/>
          <cell r="N281"/>
          <cell r="O281"/>
          <cell r="P281"/>
        </row>
        <row r="282">
          <cell r="A282"/>
          <cell r="B282"/>
          <cell r="C282"/>
          <cell r="E282"/>
          <cell r="F282"/>
          <cell r="G282"/>
          <cell r="J282"/>
          <cell r="K282"/>
          <cell r="L282"/>
          <cell r="N282"/>
          <cell r="O282"/>
          <cell r="P282"/>
        </row>
        <row r="283">
          <cell r="A283"/>
          <cell r="B283"/>
          <cell r="C283"/>
          <cell r="E283"/>
          <cell r="F283"/>
          <cell r="G283"/>
          <cell r="J283"/>
          <cell r="K283"/>
          <cell r="L283"/>
          <cell r="N283"/>
          <cell r="O283"/>
          <cell r="P283"/>
        </row>
        <row r="284">
          <cell r="A284"/>
          <cell r="B284"/>
          <cell r="C284"/>
          <cell r="E284"/>
          <cell r="F284"/>
          <cell r="G284"/>
          <cell r="J284"/>
          <cell r="K284"/>
          <cell r="L284"/>
          <cell r="N284"/>
          <cell r="O284"/>
          <cell r="P284"/>
        </row>
        <row r="285">
          <cell r="A285"/>
          <cell r="B285"/>
          <cell r="C285"/>
          <cell r="E285"/>
          <cell r="F285"/>
          <cell r="G285"/>
          <cell r="J285"/>
          <cell r="K285"/>
          <cell r="L285"/>
          <cell r="N285"/>
          <cell r="O285"/>
          <cell r="P285"/>
        </row>
        <row r="286">
          <cell r="A286"/>
          <cell r="B286"/>
          <cell r="C286"/>
          <cell r="E286"/>
          <cell r="F286"/>
          <cell r="G286"/>
          <cell r="J286"/>
          <cell r="K286"/>
          <cell r="L286"/>
          <cell r="N286"/>
          <cell r="O286"/>
          <cell r="P286"/>
        </row>
        <row r="287">
          <cell r="A287"/>
          <cell r="B287"/>
          <cell r="C287"/>
          <cell r="E287"/>
          <cell r="F287"/>
          <cell r="G287"/>
          <cell r="J287"/>
          <cell r="K287"/>
          <cell r="L287"/>
          <cell r="N287"/>
          <cell r="O287"/>
          <cell r="P287"/>
        </row>
        <row r="288">
          <cell r="A288"/>
          <cell r="B288"/>
          <cell r="C288"/>
          <cell r="E288"/>
          <cell r="F288"/>
          <cell r="G288"/>
          <cell r="J288"/>
          <cell r="K288"/>
          <cell r="L288"/>
          <cell r="N288"/>
          <cell r="O288"/>
          <cell r="P288"/>
        </row>
        <row r="289">
          <cell r="A289"/>
          <cell r="B289"/>
          <cell r="C289"/>
          <cell r="E289"/>
          <cell r="F289"/>
          <cell r="G289"/>
          <cell r="J289"/>
          <cell r="K289"/>
          <cell r="L289"/>
          <cell r="N289"/>
          <cell r="O289"/>
          <cell r="P289"/>
        </row>
        <row r="290">
          <cell r="A290"/>
          <cell r="B290"/>
          <cell r="C290"/>
          <cell r="E290"/>
          <cell r="F290"/>
          <cell r="G290"/>
          <cell r="J290"/>
          <cell r="K290"/>
          <cell r="L290"/>
          <cell r="N290"/>
          <cell r="O290"/>
          <cell r="P290"/>
        </row>
        <row r="291">
          <cell r="A291"/>
          <cell r="B291"/>
          <cell r="C291"/>
          <cell r="E291"/>
          <cell r="F291"/>
          <cell r="G291"/>
          <cell r="J291"/>
          <cell r="K291"/>
          <cell r="L291"/>
          <cell r="N291"/>
          <cell r="O291"/>
          <cell r="P291"/>
        </row>
        <row r="292">
          <cell r="A292"/>
          <cell r="B292"/>
          <cell r="C292"/>
          <cell r="E292"/>
          <cell r="F292"/>
          <cell r="G292"/>
          <cell r="J292"/>
          <cell r="K292"/>
          <cell r="L292"/>
          <cell r="N292"/>
          <cell r="O292"/>
          <cell r="P292"/>
        </row>
        <row r="293">
          <cell r="A293"/>
          <cell r="B293"/>
          <cell r="C293"/>
          <cell r="E293"/>
          <cell r="F293"/>
          <cell r="G293"/>
          <cell r="J293"/>
          <cell r="K293"/>
          <cell r="L293"/>
          <cell r="N293"/>
          <cell r="O293"/>
          <cell r="P293"/>
        </row>
        <row r="294">
          <cell r="A294"/>
          <cell r="B294"/>
          <cell r="C294"/>
          <cell r="E294"/>
          <cell r="F294"/>
          <cell r="G294"/>
          <cell r="J294"/>
          <cell r="K294"/>
          <cell r="L294"/>
          <cell r="N294"/>
          <cell r="O294"/>
          <cell r="P294"/>
        </row>
        <row r="295">
          <cell r="A295"/>
          <cell r="B295"/>
          <cell r="C295"/>
          <cell r="E295"/>
          <cell r="F295"/>
          <cell r="G295"/>
          <cell r="J295"/>
          <cell r="K295"/>
          <cell r="L295"/>
          <cell r="N295"/>
          <cell r="O295"/>
          <cell r="P295"/>
        </row>
        <row r="296">
          <cell r="A296"/>
          <cell r="B296"/>
          <cell r="C296"/>
          <cell r="E296"/>
          <cell r="F296"/>
          <cell r="G296"/>
          <cell r="J296"/>
          <cell r="K296"/>
          <cell r="L296"/>
          <cell r="N296"/>
          <cell r="O296"/>
          <cell r="P296"/>
        </row>
        <row r="297">
          <cell r="A297"/>
          <cell r="B297"/>
          <cell r="C297"/>
          <cell r="E297"/>
          <cell r="F297"/>
          <cell r="G297"/>
          <cell r="J297"/>
          <cell r="K297"/>
          <cell r="L297"/>
          <cell r="N297"/>
          <cell r="O297"/>
          <cell r="P297"/>
        </row>
        <row r="298">
          <cell r="A298"/>
          <cell r="B298"/>
          <cell r="C298"/>
          <cell r="E298"/>
          <cell r="F298"/>
          <cell r="G298"/>
          <cell r="J298"/>
          <cell r="K298"/>
          <cell r="L298"/>
          <cell r="N298"/>
          <cell r="O298"/>
          <cell r="P298"/>
        </row>
        <row r="299">
          <cell r="A299"/>
          <cell r="B299"/>
          <cell r="C299"/>
          <cell r="E299"/>
          <cell r="F299"/>
          <cell r="G299"/>
          <cell r="J299"/>
          <cell r="K299"/>
          <cell r="L299"/>
          <cell r="N299"/>
          <cell r="O299"/>
          <cell r="P299"/>
        </row>
        <row r="300">
          <cell r="A300"/>
          <cell r="B300"/>
          <cell r="C300"/>
          <cell r="E300"/>
          <cell r="F300"/>
          <cell r="G300"/>
          <cell r="J300"/>
          <cell r="K300"/>
          <cell r="L300"/>
          <cell r="N300"/>
          <cell r="O300"/>
          <cell r="P300"/>
        </row>
        <row r="301">
          <cell r="A301"/>
          <cell r="B301"/>
          <cell r="C301"/>
          <cell r="E301"/>
          <cell r="F301"/>
          <cell r="G301"/>
          <cell r="J301"/>
          <cell r="K301"/>
          <cell r="L301"/>
          <cell r="N301"/>
          <cell r="O301"/>
          <cell r="P301"/>
        </row>
        <row r="302">
          <cell r="A302"/>
          <cell r="B302"/>
          <cell r="C302"/>
          <cell r="E302"/>
          <cell r="F302"/>
          <cell r="G302"/>
          <cell r="J302"/>
          <cell r="K302"/>
          <cell r="L302"/>
          <cell r="N302"/>
          <cell r="O302"/>
          <cell r="P302"/>
        </row>
        <row r="303">
          <cell r="A303"/>
          <cell r="B303"/>
          <cell r="C303"/>
          <cell r="E303"/>
          <cell r="F303"/>
          <cell r="G303"/>
          <cell r="J303"/>
          <cell r="K303"/>
          <cell r="L303"/>
          <cell r="N303"/>
          <cell r="O303"/>
          <cell r="P303"/>
        </row>
        <row r="304">
          <cell r="A304"/>
          <cell r="B304"/>
          <cell r="C304"/>
          <cell r="E304"/>
          <cell r="F304"/>
          <cell r="G304"/>
          <cell r="J304"/>
          <cell r="K304"/>
          <cell r="L304"/>
          <cell r="N304"/>
          <cell r="O304"/>
          <cell r="P304"/>
        </row>
        <row r="305">
          <cell r="A305"/>
          <cell r="B305"/>
          <cell r="C305"/>
          <cell r="E305"/>
          <cell r="F305"/>
          <cell r="G305"/>
          <cell r="J305"/>
          <cell r="K305"/>
          <cell r="L305"/>
          <cell r="N305"/>
          <cell r="O305"/>
          <cell r="P305"/>
        </row>
        <row r="306">
          <cell r="A306"/>
          <cell r="B306"/>
          <cell r="C306"/>
          <cell r="E306"/>
          <cell r="F306"/>
          <cell r="G306"/>
          <cell r="J306"/>
          <cell r="K306"/>
          <cell r="L306"/>
          <cell r="N306"/>
          <cell r="O306"/>
          <cell r="P306"/>
        </row>
        <row r="307">
          <cell r="A307"/>
          <cell r="B307"/>
          <cell r="C307"/>
          <cell r="E307"/>
          <cell r="F307"/>
          <cell r="G307"/>
          <cell r="J307"/>
          <cell r="K307"/>
          <cell r="L307"/>
          <cell r="N307"/>
          <cell r="O307"/>
          <cell r="P307"/>
        </row>
        <row r="308">
          <cell r="A308"/>
          <cell r="B308"/>
          <cell r="C308"/>
          <cell r="E308"/>
          <cell r="F308"/>
          <cell r="G308"/>
          <cell r="J308"/>
          <cell r="K308"/>
          <cell r="L308"/>
          <cell r="N308"/>
          <cell r="O308"/>
          <cell r="P308"/>
        </row>
        <row r="309">
          <cell r="A309"/>
          <cell r="B309"/>
          <cell r="C309"/>
          <cell r="E309"/>
          <cell r="F309"/>
          <cell r="G309"/>
          <cell r="J309"/>
          <cell r="K309"/>
          <cell r="L309"/>
          <cell r="N309"/>
          <cell r="O309"/>
          <cell r="P309"/>
        </row>
        <row r="310">
          <cell r="A310"/>
          <cell r="B310"/>
          <cell r="C310"/>
          <cell r="E310"/>
          <cell r="F310"/>
          <cell r="G310"/>
          <cell r="J310"/>
          <cell r="K310"/>
          <cell r="L310"/>
          <cell r="N310"/>
          <cell r="O310"/>
          <cell r="P310"/>
        </row>
        <row r="311">
          <cell r="A311"/>
          <cell r="B311"/>
          <cell r="C311"/>
          <cell r="E311"/>
          <cell r="F311"/>
          <cell r="G311"/>
          <cell r="J311"/>
          <cell r="K311"/>
          <cell r="L311"/>
          <cell r="N311"/>
          <cell r="O311"/>
          <cell r="P311"/>
        </row>
        <row r="312">
          <cell r="A312"/>
          <cell r="B312"/>
          <cell r="C312"/>
          <cell r="E312"/>
          <cell r="F312"/>
          <cell r="G312"/>
          <cell r="J312"/>
          <cell r="K312"/>
          <cell r="L312"/>
          <cell r="N312"/>
          <cell r="O312"/>
          <cell r="P312"/>
        </row>
        <row r="313">
          <cell r="A313"/>
          <cell r="B313"/>
          <cell r="C313"/>
          <cell r="E313"/>
          <cell r="F313"/>
          <cell r="G313"/>
          <cell r="J313"/>
          <cell r="K313"/>
          <cell r="L313"/>
          <cell r="N313"/>
          <cell r="O313"/>
          <cell r="P313"/>
        </row>
        <row r="314">
          <cell r="A314"/>
          <cell r="B314"/>
          <cell r="C314"/>
          <cell r="E314"/>
          <cell r="F314"/>
          <cell r="G314"/>
          <cell r="J314"/>
          <cell r="K314"/>
          <cell r="L314"/>
          <cell r="N314"/>
          <cell r="O314"/>
          <cell r="P314"/>
        </row>
        <row r="315">
          <cell r="A315"/>
          <cell r="B315"/>
          <cell r="C315"/>
          <cell r="E315"/>
          <cell r="F315"/>
          <cell r="G315"/>
          <cell r="J315"/>
          <cell r="K315"/>
          <cell r="L315"/>
          <cell r="N315"/>
          <cell r="O315"/>
          <cell r="P315"/>
        </row>
        <row r="316">
          <cell r="A316"/>
          <cell r="B316"/>
          <cell r="C316"/>
          <cell r="E316"/>
          <cell r="F316"/>
          <cell r="G316"/>
          <cell r="J316"/>
          <cell r="K316"/>
          <cell r="L316"/>
          <cell r="N316"/>
          <cell r="O316"/>
          <cell r="P316"/>
        </row>
        <row r="317">
          <cell r="A317"/>
          <cell r="B317"/>
          <cell r="C317"/>
          <cell r="E317"/>
          <cell r="F317"/>
          <cell r="G317"/>
          <cell r="J317"/>
          <cell r="K317"/>
          <cell r="L317"/>
          <cell r="N317"/>
          <cell r="O317"/>
          <cell r="P317"/>
        </row>
        <row r="318">
          <cell r="A318"/>
          <cell r="B318"/>
          <cell r="C318"/>
          <cell r="E318"/>
          <cell r="F318"/>
          <cell r="G318"/>
          <cell r="J318"/>
          <cell r="K318"/>
          <cell r="L318"/>
          <cell r="N318"/>
          <cell r="O318"/>
          <cell r="P318"/>
        </row>
        <row r="319">
          <cell r="A319"/>
          <cell r="B319"/>
          <cell r="C319"/>
          <cell r="E319"/>
          <cell r="F319"/>
          <cell r="G319"/>
          <cell r="J319"/>
          <cell r="K319"/>
          <cell r="L319"/>
          <cell r="N319"/>
          <cell r="O319"/>
          <cell r="P319"/>
        </row>
        <row r="320">
          <cell r="A320"/>
          <cell r="B320"/>
          <cell r="C320"/>
          <cell r="E320"/>
          <cell r="F320"/>
          <cell r="G320"/>
          <cell r="J320"/>
          <cell r="K320"/>
          <cell r="L320"/>
          <cell r="N320"/>
          <cell r="O320"/>
          <cell r="P320"/>
        </row>
        <row r="321">
          <cell r="A321"/>
          <cell r="B321"/>
          <cell r="C321"/>
          <cell r="E321"/>
          <cell r="F321"/>
          <cell r="G321"/>
          <cell r="J321"/>
          <cell r="K321"/>
          <cell r="L321"/>
          <cell r="N321"/>
          <cell r="O321"/>
          <cell r="P321"/>
        </row>
        <row r="322">
          <cell r="A322"/>
          <cell r="B322"/>
          <cell r="C322"/>
          <cell r="E322"/>
          <cell r="F322"/>
          <cell r="G322"/>
          <cell r="J322"/>
          <cell r="K322"/>
          <cell r="L322"/>
          <cell r="N322"/>
          <cell r="O322"/>
          <cell r="P322"/>
        </row>
        <row r="323">
          <cell r="A323"/>
          <cell r="B323"/>
          <cell r="C323"/>
          <cell r="E323"/>
          <cell r="F323"/>
          <cell r="G323"/>
          <cell r="J323"/>
          <cell r="K323"/>
          <cell r="L323"/>
          <cell r="N323"/>
          <cell r="O323"/>
          <cell r="P323"/>
        </row>
        <row r="324">
          <cell r="A324"/>
          <cell r="B324"/>
          <cell r="C324"/>
          <cell r="E324"/>
          <cell r="F324"/>
          <cell r="G324"/>
          <cell r="J324"/>
          <cell r="K324"/>
          <cell r="L324"/>
          <cell r="N324"/>
          <cell r="O324"/>
          <cell r="P324"/>
        </row>
        <row r="325">
          <cell r="A325"/>
          <cell r="B325"/>
          <cell r="C325"/>
          <cell r="E325"/>
          <cell r="F325"/>
          <cell r="G325"/>
          <cell r="J325"/>
          <cell r="K325"/>
          <cell r="L325"/>
          <cell r="N325"/>
          <cell r="O325"/>
          <cell r="P325"/>
        </row>
        <row r="326">
          <cell r="A326"/>
          <cell r="B326"/>
          <cell r="C326"/>
          <cell r="E326"/>
          <cell r="F326"/>
          <cell r="G326"/>
          <cell r="J326"/>
          <cell r="K326"/>
          <cell r="L326"/>
          <cell r="N326"/>
          <cell r="O326"/>
          <cell r="P326"/>
        </row>
        <row r="327">
          <cell r="A327"/>
          <cell r="B327"/>
          <cell r="C327"/>
          <cell r="E327"/>
          <cell r="F327"/>
          <cell r="G327"/>
          <cell r="J327"/>
          <cell r="K327"/>
          <cell r="L327"/>
          <cell r="N327"/>
          <cell r="O327"/>
          <cell r="P327"/>
        </row>
        <row r="328">
          <cell r="A328"/>
          <cell r="B328"/>
          <cell r="C328"/>
          <cell r="E328"/>
          <cell r="F328"/>
          <cell r="G328"/>
          <cell r="J328"/>
          <cell r="K328"/>
          <cell r="L328"/>
          <cell r="N328"/>
          <cell r="O328"/>
          <cell r="P328"/>
        </row>
        <row r="329">
          <cell r="A329"/>
          <cell r="B329"/>
          <cell r="C329"/>
          <cell r="E329"/>
          <cell r="F329"/>
          <cell r="G329"/>
          <cell r="J329"/>
          <cell r="K329"/>
          <cell r="L329"/>
          <cell r="N329"/>
          <cell r="O329"/>
          <cell r="P329"/>
        </row>
        <row r="330">
          <cell r="A330"/>
          <cell r="B330"/>
          <cell r="C330"/>
          <cell r="E330"/>
          <cell r="F330"/>
          <cell r="G330"/>
          <cell r="J330"/>
          <cell r="K330"/>
          <cell r="L330"/>
          <cell r="N330"/>
          <cell r="O330"/>
          <cell r="P330"/>
        </row>
        <row r="331">
          <cell r="A331"/>
          <cell r="B331"/>
          <cell r="C331"/>
          <cell r="E331"/>
          <cell r="F331"/>
          <cell r="G331"/>
          <cell r="J331"/>
          <cell r="K331"/>
          <cell r="L331"/>
          <cell r="N331"/>
          <cell r="O331"/>
          <cell r="P331"/>
        </row>
        <row r="332">
          <cell r="A332"/>
          <cell r="B332"/>
          <cell r="C332"/>
          <cell r="E332"/>
          <cell r="F332"/>
          <cell r="G332"/>
          <cell r="J332"/>
          <cell r="K332"/>
          <cell r="L332"/>
          <cell r="N332"/>
          <cell r="O332"/>
          <cell r="P332"/>
        </row>
        <row r="333">
          <cell r="A333"/>
          <cell r="B333"/>
          <cell r="C333"/>
          <cell r="E333"/>
          <cell r="F333"/>
          <cell r="G333"/>
          <cell r="J333"/>
          <cell r="K333"/>
          <cell r="L333"/>
          <cell r="N333"/>
          <cell r="O333"/>
          <cell r="P333"/>
        </row>
        <row r="334">
          <cell r="A334"/>
          <cell r="B334"/>
          <cell r="C334"/>
          <cell r="E334"/>
          <cell r="F334"/>
          <cell r="G334"/>
          <cell r="J334"/>
          <cell r="K334"/>
          <cell r="L334"/>
          <cell r="N334"/>
          <cell r="O334"/>
          <cell r="P334"/>
        </row>
        <row r="335">
          <cell r="A335"/>
          <cell r="B335"/>
          <cell r="C335"/>
          <cell r="E335"/>
          <cell r="F335"/>
          <cell r="G335"/>
          <cell r="J335"/>
          <cell r="K335"/>
          <cell r="L335"/>
          <cell r="N335"/>
          <cell r="O335"/>
          <cell r="P335"/>
        </row>
        <row r="336">
          <cell r="A336"/>
          <cell r="B336"/>
          <cell r="C336"/>
          <cell r="E336"/>
          <cell r="F336"/>
          <cell r="G336"/>
          <cell r="J336"/>
          <cell r="K336"/>
          <cell r="L336"/>
          <cell r="N336"/>
          <cell r="O336"/>
          <cell r="P336"/>
        </row>
        <row r="337">
          <cell r="A337"/>
          <cell r="B337"/>
          <cell r="C337"/>
          <cell r="E337"/>
          <cell r="F337"/>
          <cell r="G337"/>
          <cell r="J337"/>
          <cell r="K337"/>
          <cell r="L337"/>
          <cell r="N337"/>
          <cell r="O337"/>
          <cell r="P337"/>
        </row>
        <row r="338">
          <cell r="A338"/>
          <cell r="B338"/>
          <cell r="C338"/>
          <cell r="E338"/>
          <cell r="F338"/>
          <cell r="G338"/>
          <cell r="J338"/>
          <cell r="K338"/>
          <cell r="L338"/>
          <cell r="N338"/>
          <cell r="O338"/>
          <cell r="P338"/>
        </row>
        <row r="339">
          <cell r="A339"/>
          <cell r="B339"/>
          <cell r="C339"/>
          <cell r="E339"/>
          <cell r="F339"/>
          <cell r="G339"/>
          <cell r="J339"/>
          <cell r="K339"/>
          <cell r="L339"/>
          <cell r="N339"/>
          <cell r="O339"/>
          <cell r="P339"/>
        </row>
        <row r="340">
          <cell r="A340"/>
          <cell r="B340"/>
          <cell r="C340"/>
          <cell r="E340"/>
          <cell r="F340"/>
          <cell r="G340"/>
          <cell r="J340"/>
          <cell r="K340"/>
          <cell r="L340"/>
          <cell r="N340"/>
          <cell r="O340"/>
          <cell r="P340"/>
        </row>
        <row r="341">
          <cell r="A341"/>
          <cell r="B341"/>
          <cell r="C341"/>
          <cell r="E341"/>
          <cell r="F341"/>
          <cell r="G341"/>
          <cell r="J341"/>
          <cell r="K341"/>
          <cell r="L341"/>
          <cell r="N341"/>
          <cell r="O341"/>
          <cell r="P341"/>
        </row>
        <row r="342">
          <cell r="A342"/>
          <cell r="B342"/>
          <cell r="C342"/>
          <cell r="E342"/>
          <cell r="F342"/>
          <cell r="G342"/>
          <cell r="J342"/>
          <cell r="K342"/>
          <cell r="L342"/>
          <cell r="N342"/>
          <cell r="O342"/>
          <cell r="P342"/>
        </row>
        <row r="343">
          <cell r="A343"/>
          <cell r="B343"/>
          <cell r="C343"/>
          <cell r="E343"/>
          <cell r="F343"/>
          <cell r="G343"/>
          <cell r="J343"/>
          <cell r="K343"/>
          <cell r="L343"/>
          <cell r="N343"/>
          <cell r="O343"/>
          <cell r="P343"/>
        </row>
        <row r="344">
          <cell r="A344"/>
          <cell r="B344"/>
          <cell r="C344"/>
          <cell r="E344"/>
          <cell r="F344"/>
          <cell r="G344"/>
          <cell r="J344"/>
          <cell r="K344"/>
          <cell r="L344"/>
          <cell r="N344"/>
          <cell r="O344"/>
          <cell r="P344"/>
        </row>
        <row r="345">
          <cell r="A345"/>
          <cell r="B345"/>
          <cell r="C345"/>
          <cell r="E345"/>
          <cell r="F345"/>
          <cell r="G345"/>
          <cell r="J345"/>
          <cell r="K345"/>
          <cell r="L345"/>
          <cell r="N345"/>
          <cell r="O345"/>
          <cell r="P345"/>
        </row>
        <row r="346">
          <cell r="A346"/>
          <cell r="B346"/>
          <cell r="C346"/>
          <cell r="E346"/>
          <cell r="F346"/>
          <cell r="G346"/>
          <cell r="J346"/>
          <cell r="K346"/>
          <cell r="L346"/>
          <cell r="N346"/>
          <cell r="O346"/>
          <cell r="P346"/>
        </row>
        <row r="347">
          <cell r="A347"/>
          <cell r="B347"/>
          <cell r="C347"/>
          <cell r="E347"/>
          <cell r="F347"/>
          <cell r="G347"/>
          <cell r="J347"/>
          <cell r="K347"/>
          <cell r="L347"/>
          <cell r="N347"/>
          <cell r="O347"/>
          <cell r="P347"/>
        </row>
        <row r="348">
          <cell r="A348"/>
          <cell r="B348"/>
          <cell r="C348"/>
          <cell r="E348"/>
          <cell r="F348"/>
          <cell r="G348"/>
          <cell r="J348"/>
          <cell r="K348"/>
          <cell r="L348"/>
          <cell r="N348"/>
          <cell r="O348"/>
          <cell r="P348"/>
        </row>
        <row r="349">
          <cell r="A349"/>
          <cell r="B349"/>
          <cell r="C349"/>
          <cell r="E349"/>
          <cell r="F349"/>
          <cell r="G349"/>
          <cell r="J349"/>
          <cell r="K349"/>
          <cell r="L349"/>
          <cell r="N349"/>
          <cell r="O349"/>
          <cell r="P349"/>
        </row>
        <row r="350">
          <cell r="A350"/>
          <cell r="B350"/>
          <cell r="C350"/>
          <cell r="E350"/>
          <cell r="F350"/>
          <cell r="G350"/>
          <cell r="J350"/>
          <cell r="K350"/>
          <cell r="L350"/>
          <cell r="N350"/>
          <cell r="O350"/>
          <cell r="P350"/>
        </row>
        <row r="351">
          <cell r="A351"/>
          <cell r="B351"/>
          <cell r="C351"/>
          <cell r="E351"/>
          <cell r="F351"/>
          <cell r="G351"/>
          <cell r="J351"/>
          <cell r="K351"/>
          <cell r="L351"/>
          <cell r="N351"/>
          <cell r="O351"/>
          <cell r="P351"/>
        </row>
        <row r="352">
          <cell r="A352"/>
          <cell r="B352"/>
          <cell r="C352"/>
          <cell r="E352"/>
          <cell r="F352"/>
          <cell r="G352"/>
          <cell r="J352"/>
          <cell r="K352"/>
          <cell r="L352"/>
          <cell r="N352"/>
          <cell r="O352"/>
          <cell r="P352"/>
        </row>
        <row r="353">
          <cell r="A353"/>
          <cell r="B353"/>
          <cell r="C353"/>
          <cell r="E353"/>
          <cell r="F353"/>
          <cell r="G353"/>
          <cell r="J353"/>
          <cell r="K353"/>
          <cell r="L353"/>
          <cell r="N353"/>
          <cell r="O353"/>
          <cell r="P353"/>
        </row>
        <row r="354">
          <cell r="A354"/>
          <cell r="B354"/>
          <cell r="C354"/>
          <cell r="E354"/>
          <cell r="F354"/>
          <cell r="G354"/>
          <cell r="J354"/>
          <cell r="K354"/>
          <cell r="L354"/>
          <cell r="N354"/>
          <cell r="O354"/>
          <cell r="P354"/>
        </row>
        <row r="355">
          <cell r="A355"/>
          <cell r="B355"/>
          <cell r="C355"/>
          <cell r="E355"/>
          <cell r="F355"/>
          <cell r="G355"/>
          <cell r="J355"/>
          <cell r="K355"/>
          <cell r="L355"/>
          <cell r="N355"/>
          <cell r="O355"/>
          <cell r="P355"/>
        </row>
        <row r="356">
          <cell r="A356"/>
          <cell r="B356"/>
          <cell r="C356"/>
          <cell r="E356"/>
          <cell r="F356"/>
          <cell r="G356"/>
          <cell r="J356"/>
          <cell r="K356"/>
          <cell r="L356"/>
          <cell r="N356"/>
          <cell r="O356"/>
          <cell r="P356"/>
        </row>
        <row r="357">
          <cell r="A357"/>
          <cell r="B357"/>
          <cell r="C357"/>
          <cell r="E357"/>
          <cell r="F357"/>
          <cell r="G357"/>
          <cell r="J357"/>
          <cell r="K357"/>
          <cell r="L357"/>
          <cell r="N357"/>
          <cell r="O357"/>
          <cell r="P357"/>
        </row>
        <row r="358">
          <cell r="A358"/>
          <cell r="B358"/>
          <cell r="C358"/>
          <cell r="E358"/>
          <cell r="F358"/>
          <cell r="G358"/>
          <cell r="J358"/>
          <cell r="K358"/>
          <cell r="L358"/>
          <cell r="N358"/>
          <cell r="O358"/>
          <cell r="P358"/>
        </row>
        <row r="359">
          <cell r="A359"/>
          <cell r="B359"/>
          <cell r="C359"/>
          <cell r="E359"/>
          <cell r="F359"/>
          <cell r="G359"/>
          <cell r="J359"/>
          <cell r="K359"/>
          <cell r="L359"/>
          <cell r="N359"/>
          <cell r="O359"/>
          <cell r="P359"/>
        </row>
        <row r="360">
          <cell r="A360"/>
          <cell r="B360"/>
          <cell r="C360"/>
          <cell r="E360"/>
          <cell r="F360"/>
          <cell r="G360"/>
          <cell r="J360"/>
          <cell r="K360"/>
          <cell r="L360"/>
          <cell r="N360"/>
          <cell r="O360"/>
          <cell r="P360"/>
        </row>
        <row r="361">
          <cell r="A361"/>
          <cell r="B361"/>
          <cell r="C361"/>
          <cell r="E361"/>
          <cell r="F361"/>
          <cell r="G361"/>
          <cell r="J361"/>
          <cell r="K361"/>
          <cell r="L361"/>
          <cell r="N361"/>
          <cell r="O361"/>
          <cell r="P361"/>
        </row>
        <row r="362">
          <cell r="A362"/>
          <cell r="B362"/>
          <cell r="C362"/>
          <cell r="E362"/>
          <cell r="F362"/>
          <cell r="G362"/>
          <cell r="J362"/>
          <cell r="K362"/>
          <cell r="L362"/>
          <cell r="N362"/>
          <cell r="O362"/>
          <cell r="P362"/>
        </row>
        <row r="363">
          <cell r="A363"/>
          <cell r="B363"/>
          <cell r="C363"/>
          <cell r="E363"/>
          <cell r="F363"/>
          <cell r="G363"/>
          <cell r="J363"/>
          <cell r="K363"/>
          <cell r="L363"/>
          <cell r="N363"/>
          <cell r="O363"/>
          <cell r="P363"/>
        </row>
        <row r="364">
          <cell r="A364"/>
          <cell r="B364"/>
          <cell r="C364"/>
          <cell r="E364"/>
          <cell r="F364"/>
          <cell r="G364"/>
          <cell r="J364"/>
          <cell r="K364"/>
          <cell r="L364"/>
          <cell r="N364"/>
          <cell r="O364"/>
          <cell r="P364"/>
        </row>
        <row r="365">
          <cell r="A365"/>
          <cell r="B365"/>
          <cell r="C365"/>
          <cell r="E365"/>
          <cell r="F365"/>
          <cell r="G365"/>
          <cell r="J365"/>
          <cell r="K365"/>
          <cell r="L365"/>
          <cell r="N365"/>
          <cell r="O365"/>
          <cell r="P365"/>
        </row>
        <row r="366">
          <cell r="A366"/>
          <cell r="B366"/>
          <cell r="C366"/>
          <cell r="E366"/>
          <cell r="F366"/>
          <cell r="G366"/>
          <cell r="J366"/>
          <cell r="K366"/>
          <cell r="L366"/>
          <cell r="N366"/>
          <cell r="O366"/>
          <cell r="P366"/>
        </row>
        <row r="367">
          <cell r="A367"/>
          <cell r="B367"/>
          <cell r="C367"/>
          <cell r="E367"/>
          <cell r="F367"/>
          <cell r="G367"/>
          <cell r="J367"/>
          <cell r="K367"/>
          <cell r="L367"/>
          <cell r="N367"/>
          <cell r="O367"/>
          <cell r="P367"/>
        </row>
        <row r="368">
          <cell r="A368"/>
          <cell r="B368"/>
          <cell r="C368"/>
          <cell r="E368"/>
          <cell r="F368"/>
          <cell r="G368"/>
          <cell r="J368"/>
          <cell r="K368"/>
          <cell r="L368"/>
          <cell r="N368"/>
          <cell r="O368"/>
          <cell r="P368"/>
        </row>
        <row r="369">
          <cell r="A369"/>
          <cell r="B369"/>
          <cell r="C369"/>
          <cell r="E369"/>
          <cell r="F369"/>
          <cell r="G369"/>
          <cell r="J369"/>
          <cell r="K369"/>
          <cell r="L369"/>
          <cell r="N369"/>
          <cell r="O369"/>
          <cell r="P369"/>
        </row>
        <row r="370">
          <cell r="A370"/>
          <cell r="B370"/>
          <cell r="C370"/>
          <cell r="E370"/>
          <cell r="F370"/>
          <cell r="G370"/>
          <cell r="J370"/>
          <cell r="K370"/>
          <cell r="L370"/>
          <cell r="N370"/>
          <cell r="O370"/>
          <cell r="P370"/>
        </row>
        <row r="371">
          <cell r="A371"/>
          <cell r="B371"/>
          <cell r="C371"/>
          <cell r="E371"/>
          <cell r="F371"/>
          <cell r="G371"/>
          <cell r="J371"/>
          <cell r="K371"/>
          <cell r="L371"/>
          <cell r="N371"/>
          <cell r="O371"/>
          <cell r="P371"/>
        </row>
        <row r="372">
          <cell r="A372"/>
          <cell r="B372"/>
          <cell r="C372"/>
          <cell r="E372"/>
          <cell r="F372"/>
          <cell r="G372"/>
          <cell r="J372"/>
          <cell r="K372"/>
          <cell r="L372"/>
          <cell r="N372"/>
          <cell r="O372"/>
          <cell r="P372"/>
        </row>
        <row r="373">
          <cell r="A373"/>
          <cell r="B373"/>
          <cell r="C373"/>
          <cell r="E373"/>
          <cell r="F373"/>
          <cell r="G373"/>
          <cell r="J373"/>
          <cell r="K373"/>
          <cell r="L373"/>
          <cell r="N373"/>
          <cell r="O373"/>
          <cell r="P373"/>
        </row>
        <row r="374">
          <cell r="A374"/>
          <cell r="B374"/>
          <cell r="C374"/>
          <cell r="E374"/>
          <cell r="F374"/>
          <cell r="G374"/>
          <cell r="J374"/>
          <cell r="K374"/>
          <cell r="L374"/>
          <cell r="N374"/>
          <cell r="O374"/>
          <cell r="P374"/>
        </row>
        <row r="375">
          <cell r="A375"/>
          <cell r="B375"/>
          <cell r="C375"/>
          <cell r="E375"/>
          <cell r="F375"/>
          <cell r="G375"/>
          <cell r="J375"/>
          <cell r="K375"/>
          <cell r="L375"/>
          <cell r="N375"/>
          <cell r="O375"/>
          <cell r="P375"/>
        </row>
        <row r="376">
          <cell r="A376"/>
          <cell r="B376"/>
          <cell r="C376"/>
          <cell r="E376"/>
          <cell r="F376"/>
          <cell r="G376"/>
          <cell r="J376"/>
          <cell r="K376"/>
          <cell r="L376"/>
          <cell r="N376"/>
          <cell r="O376"/>
          <cell r="P376"/>
        </row>
        <row r="377">
          <cell r="A377"/>
          <cell r="B377"/>
          <cell r="C377"/>
          <cell r="E377"/>
          <cell r="F377"/>
          <cell r="G377"/>
          <cell r="J377"/>
          <cell r="K377"/>
          <cell r="L377"/>
          <cell r="N377"/>
          <cell r="O377"/>
          <cell r="P377"/>
        </row>
        <row r="378">
          <cell r="A378"/>
          <cell r="B378"/>
          <cell r="C378"/>
          <cell r="E378"/>
          <cell r="F378"/>
          <cell r="G378"/>
          <cell r="J378"/>
          <cell r="K378"/>
          <cell r="L378"/>
          <cell r="N378"/>
          <cell r="O378"/>
          <cell r="P378"/>
        </row>
        <row r="379">
          <cell r="A379"/>
          <cell r="B379"/>
          <cell r="C379"/>
          <cell r="E379"/>
          <cell r="F379"/>
          <cell r="G379"/>
          <cell r="J379"/>
          <cell r="K379"/>
          <cell r="L379"/>
          <cell r="N379"/>
          <cell r="O379"/>
          <cell r="P379"/>
        </row>
        <row r="380">
          <cell r="A380"/>
          <cell r="B380"/>
          <cell r="C380"/>
          <cell r="E380"/>
          <cell r="F380"/>
          <cell r="G380"/>
          <cell r="J380"/>
          <cell r="K380"/>
          <cell r="L380"/>
          <cell r="N380"/>
          <cell r="O380"/>
          <cell r="P380"/>
        </row>
        <row r="381">
          <cell r="A381"/>
          <cell r="B381"/>
          <cell r="C381"/>
          <cell r="E381"/>
          <cell r="F381"/>
          <cell r="G381"/>
          <cell r="J381"/>
          <cell r="K381"/>
          <cell r="L381"/>
          <cell r="N381"/>
          <cell r="O381"/>
          <cell r="P381"/>
        </row>
        <row r="382">
          <cell r="A382"/>
          <cell r="B382"/>
          <cell r="C382"/>
          <cell r="E382"/>
          <cell r="F382"/>
          <cell r="G382"/>
          <cell r="J382"/>
          <cell r="K382"/>
          <cell r="L382"/>
          <cell r="N382"/>
          <cell r="O382"/>
          <cell r="P382"/>
        </row>
        <row r="383">
          <cell r="A383"/>
          <cell r="B383"/>
          <cell r="C383"/>
          <cell r="E383"/>
          <cell r="F383"/>
          <cell r="G383"/>
          <cell r="J383"/>
          <cell r="K383"/>
          <cell r="L383"/>
          <cell r="N383"/>
          <cell r="O383"/>
          <cell r="P383"/>
        </row>
        <row r="384">
          <cell r="A384"/>
          <cell r="B384"/>
          <cell r="C384"/>
          <cell r="E384"/>
          <cell r="F384"/>
          <cell r="G384"/>
          <cell r="J384"/>
          <cell r="K384"/>
          <cell r="L384"/>
          <cell r="N384"/>
          <cell r="O384"/>
          <cell r="P384"/>
        </row>
        <row r="385">
          <cell r="A385"/>
          <cell r="B385"/>
          <cell r="C385"/>
          <cell r="E385"/>
          <cell r="F385"/>
          <cell r="G385"/>
          <cell r="J385"/>
          <cell r="K385"/>
          <cell r="L385"/>
          <cell r="N385"/>
          <cell r="O385"/>
          <cell r="P385"/>
        </row>
        <row r="386">
          <cell r="A386"/>
          <cell r="B386"/>
          <cell r="C386"/>
          <cell r="E386"/>
          <cell r="F386"/>
          <cell r="G386"/>
          <cell r="J386"/>
          <cell r="K386"/>
          <cell r="L386"/>
          <cell r="N386"/>
          <cell r="O386"/>
          <cell r="P386"/>
        </row>
        <row r="387">
          <cell r="A387"/>
          <cell r="B387"/>
          <cell r="C387"/>
          <cell r="E387"/>
          <cell r="F387"/>
          <cell r="G387"/>
          <cell r="J387"/>
          <cell r="K387"/>
          <cell r="L387"/>
          <cell r="N387"/>
          <cell r="O387"/>
          <cell r="P387"/>
        </row>
        <row r="388">
          <cell r="A388"/>
          <cell r="B388"/>
          <cell r="C388"/>
          <cell r="E388"/>
          <cell r="F388"/>
          <cell r="G388"/>
          <cell r="J388"/>
          <cell r="K388"/>
          <cell r="L388"/>
          <cell r="N388"/>
          <cell r="O388"/>
          <cell r="P388"/>
        </row>
        <row r="389">
          <cell r="A389"/>
          <cell r="B389"/>
          <cell r="C389"/>
          <cell r="E389"/>
          <cell r="F389"/>
          <cell r="G389"/>
          <cell r="J389"/>
          <cell r="K389"/>
          <cell r="L389"/>
          <cell r="N389"/>
          <cell r="O389"/>
          <cell r="P389"/>
        </row>
        <row r="390">
          <cell r="A390"/>
          <cell r="B390"/>
          <cell r="C390"/>
          <cell r="E390"/>
          <cell r="F390"/>
          <cell r="G390"/>
          <cell r="J390"/>
          <cell r="K390"/>
          <cell r="L390"/>
          <cell r="N390"/>
          <cell r="O390"/>
          <cell r="P390"/>
        </row>
        <row r="391">
          <cell r="A391"/>
          <cell r="B391"/>
          <cell r="C391"/>
          <cell r="E391"/>
          <cell r="F391"/>
          <cell r="G391"/>
          <cell r="J391"/>
          <cell r="K391"/>
          <cell r="L391"/>
          <cell r="N391"/>
          <cell r="O391"/>
          <cell r="P391"/>
        </row>
        <row r="392">
          <cell r="A392"/>
          <cell r="B392"/>
          <cell r="C392"/>
          <cell r="E392"/>
          <cell r="F392"/>
          <cell r="G392"/>
          <cell r="J392"/>
          <cell r="K392"/>
          <cell r="L392"/>
          <cell r="N392"/>
          <cell r="O392"/>
          <cell r="P392"/>
        </row>
        <row r="393">
          <cell r="A393"/>
          <cell r="B393"/>
          <cell r="C393"/>
          <cell r="E393"/>
          <cell r="F393"/>
          <cell r="G393"/>
          <cell r="J393"/>
          <cell r="K393"/>
          <cell r="L393"/>
          <cell r="N393"/>
          <cell r="O393"/>
          <cell r="P393"/>
        </row>
        <row r="394">
          <cell r="A394"/>
          <cell r="B394"/>
          <cell r="C394"/>
          <cell r="E394"/>
          <cell r="F394"/>
          <cell r="G394"/>
          <cell r="J394"/>
          <cell r="K394"/>
          <cell r="L394"/>
          <cell r="N394"/>
          <cell r="O394"/>
          <cell r="P394"/>
        </row>
        <row r="395">
          <cell r="A395"/>
          <cell r="B395"/>
          <cell r="C395"/>
          <cell r="E395"/>
          <cell r="F395"/>
          <cell r="G395"/>
          <cell r="J395"/>
          <cell r="K395"/>
          <cell r="L395"/>
          <cell r="N395"/>
          <cell r="O395"/>
          <cell r="P395"/>
        </row>
        <row r="396">
          <cell r="A396"/>
          <cell r="B396"/>
          <cell r="C396"/>
          <cell r="E396"/>
          <cell r="F396"/>
          <cell r="G396"/>
          <cell r="J396"/>
          <cell r="K396"/>
          <cell r="L396"/>
          <cell r="N396"/>
          <cell r="O396"/>
          <cell r="P396"/>
        </row>
        <row r="397">
          <cell r="A397"/>
          <cell r="B397"/>
          <cell r="C397"/>
          <cell r="E397"/>
          <cell r="F397"/>
          <cell r="G397"/>
          <cell r="J397"/>
          <cell r="K397"/>
          <cell r="L397"/>
          <cell r="N397"/>
          <cell r="O397"/>
          <cell r="P397"/>
        </row>
        <row r="398">
          <cell r="A398"/>
          <cell r="B398"/>
          <cell r="C398"/>
          <cell r="E398"/>
          <cell r="F398"/>
          <cell r="G398"/>
          <cell r="J398"/>
          <cell r="K398"/>
          <cell r="L398"/>
          <cell r="N398"/>
          <cell r="O398"/>
          <cell r="P398"/>
        </row>
        <row r="399">
          <cell r="A399"/>
          <cell r="B399"/>
          <cell r="C399"/>
          <cell r="E399"/>
          <cell r="F399"/>
          <cell r="G399"/>
          <cell r="J399"/>
          <cell r="K399"/>
          <cell r="L399"/>
          <cell r="N399"/>
          <cell r="O399"/>
          <cell r="P399"/>
        </row>
        <row r="400">
          <cell r="A400"/>
          <cell r="B400"/>
          <cell r="C400"/>
          <cell r="E400"/>
          <cell r="F400"/>
          <cell r="G400"/>
          <cell r="J400"/>
          <cell r="K400"/>
          <cell r="L400"/>
          <cell r="N400"/>
          <cell r="O400"/>
          <cell r="P400"/>
        </row>
        <row r="401">
          <cell r="A401"/>
          <cell r="B401"/>
          <cell r="C401"/>
          <cell r="E401"/>
          <cell r="F401"/>
          <cell r="G401"/>
          <cell r="J401"/>
          <cell r="K401"/>
          <cell r="L401"/>
          <cell r="N401"/>
          <cell r="O401"/>
          <cell r="P401"/>
        </row>
        <row r="402">
          <cell r="A402"/>
          <cell r="B402"/>
          <cell r="C402"/>
          <cell r="E402"/>
          <cell r="F402"/>
          <cell r="G402"/>
          <cell r="J402"/>
          <cell r="K402"/>
          <cell r="L402"/>
          <cell r="N402"/>
          <cell r="O402"/>
          <cell r="P402"/>
        </row>
        <row r="403">
          <cell r="A403"/>
          <cell r="B403"/>
          <cell r="C403"/>
          <cell r="E403"/>
          <cell r="F403"/>
          <cell r="G403"/>
          <cell r="J403"/>
          <cell r="K403"/>
          <cell r="L403"/>
          <cell r="N403"/>
          <cell r="O403"/>
          <cell r="P403"/>
        </row>
        <row r="404">
          <cell r="A404"/>
          <cell r="B404"/>
          <cell r="C404"/>
          <cell r="E404"/>
          <cell r="F404"/>
          <cell r="G404"/>
          <cell r="J404"/>
          <cell r="K404"/>
          <cell r="L404"/>
          <cell r="N404"/>
          <cell r="O404"/>
          <cell r="P404"/>
        </row>
        <row r="405">
          <cell r="A405"/>
          <cell r="B405"/>
          <cell r="C405"/>
          <cell r="E405"/>
          <cell r="F405"/>
          <cell r="G405"/>
          <cell r="J405"/>
          <cell r="K405"/>
          <cell r="L405"/>
          <cell r="N405"/>
          <cell r="O405"/>
          <cell r="P405"/>
        </row>
        <row r="406">
          <cell r="A406"/>
          <cell r="B406"/>
          <cell r="C406"/>
          <cell r="E406"/>
          <cell r="F406"/>
          <cell r="G406"/>
          <cell r="J406"/>
          <cell r="K406"/>
          <cell r="L406"/>
          <cell r="N406"/>
          <cell r="O406"/>
          <cell r="P406"/>
        </row>
        <row r="407">
          <cell r="A407"/>
          <cell r="B407"/>
          <cell r="C407"/>
          <cell r="E407"/>
          <cell r="F407"/>
          <cell r="G407"/>
          <cell r="J407"/>
          <cell r="K407"/>
          <cell r="L407"/>
          <cell r="N407"/>
          <cell r="O407"/>
          <cell r="P407"/>
        </row>
        <row r="408">
          <cell r="A408"/>
          <cell r="B408"/>
          <cell r="C408"/>
          <cell r="E408"/>
          <cell r="F408"/>
          <cell r="G408"/>
          <cell r="J408"/>
          <cell r="K408"/>
          <cell r="L408"/>
          <cell r="N408"/>
          <cell r="O408"/>
          <cell r="P408"/>
        </row>
        <row r="409">
          <cell r="A409"/>
          <cell r="B409"/>
          <cell r="C409"/>
          <cell r="E409"/>
          <cell r="F409"/>
          <cell r="G409"/>
          <cell r="J409"/>
          <cell r="K409"/>
          <cell r="L409"/>
          <cell r="N409"/>
          <cell r="O409"/>
          <cell r="P409"/>
        </row>
        <row r="410">
          <cell r="A410"/>
          <cell r="B410"/>
          <cell r="C410"/>
          <cell r="E410"/>
          <cell r="F410"/>
          <cell r="G410"/>
          <cell r="J410"/>
          <cell r="K410"/>
          <cell r="L410"/>
          <cell r="N410"/>
          <cell r="O410"/>
          <cell r="P410"/>
        </row>
        <row r="411">
          <cell r="A411"/>
          <cell r="B411"/>
          <cell r="C411"/>
          <cell r="E411"/>
          <cell r="F411"/>
          <cell r="G411"/>
          <cell r="J411"/>
          <cell r="K411"/>
          <cell r="L411"/>
          <cell r="N411"/>
          <cell r="O411"/>
          <cell r="P411"/>
        </row>
        <row r="412">
          <cell r="A412"/>
          <cell r="B412"/>
          <cell r="C412"/>
          <cell r="E412"/>
          <cell r="F412"/>
          <cell r="G412"/>
          <cell r="J412"/>
          <cell r="K412"/>
          <cell r="L412"/>
          <cell r="N412"/>
          <cell r="O412"/>
          <cell r="P412"/>
        </row>
        <row r="413">
          <cell r="A413"/>
          <cell r="B413"/>
          <cell r="C413"/>
          <cell r="E413"/>
          <cell r="F413"/>
          <cell r="G413"/>
          <cell r="J413"/>
          <cell r="K413"/>
          <cell r="L413"/>
          <cell r="N413"/>
          <cell r="O413"/>
          <cell r="P413"/>
        </row>
        <row r="414">
          <cell r="A414"/>
          <cell r="B414"/>
          <cell r="C414"/>
          <cell r="E414"/>
          <cell r="F414"/>
          <cell r="G414"/>
          <cell r="J414"/>
          <cell r="K414"/>
          <cell r="L414"/>
          <cell r="N414"/>
          <cell r="O414"/>
          <cell r="P414"/>
        </row>
        <row r="415">
          <cell r="A415"/>
          <cell r="B415"/>
          <cell r="C415"/>
          <cell r="E415"/>
          <cell r="F415"/>
          <cell r="G415"/>
          <cell r="J415"/>
          <cell r="K415"/>
          <cell r="L415"/>
          <cell r="N415"/>
          <cell r="O415"/>
          <cell r="P415"/>
        </row>
        <row r="416">
          <cell r="A416"/>
          <cell r="B416"/>
          <cell r="C416"/>
          <cell r="E416"/>
          <cell r="F416"/>
          <cell r="G416"/>
          <cell r="J416"/>
          <cell r="K416"/>
          <cell r="L416"/>
          <cell r="N416"/>
          <cell r="O416"/>
          <cell r="P416"/>
        </row>
        <row r="417">
          <cell r="A417"/>
          <cell r="B417"/>
          <cell r="C417"/>
          <cell r="E417"/>
          <cell r="F417"/>
          <cell r="G417"/>
          <cell r="J417"/>
          <cell r="K417"/>
          <cell r="L417"/>
          <cell r="N417"/>
          <cell r="O417"/>
          <cell r="P417"/>
        </row>
        <row r="418">
          <cell r="A418"/>
          <cell r="B418"/>
          <cell r="C418"/>
          <cell r="E418"/>
          <cell r="F418"/>
          <cell r="G418"/>
          <cell r="J418"/>
          <cell r="K418"/>
          <cell r="L418"/>
          <cell r="N418"/>
          <cell r="O418"/>
          <cell r="P418"/>
        </row>
        <row r="419">
          <cell r="A419"/>
          <cell r="B419"/>
          <cell r="C419"/>
          <cell r="E419"/>
          <cell r="F419"/>
          <cell r="G419"/>
          <cell r="J419"/>
          <cell r="K419"/>
          <cell r="L419"/>
          <cell r="N419"/>
          <cell r="O419"/>
          <cell r="P419"/>
        </row>
        <row r="420">
          <cell r="A420"/>
          <cell r="B420"/>
          <cell r="C420"/>
          <cell r="E420"/>
          <cell r="F420"/>
          <cell r="G420"/>
          <cell r="J420"/>
          <cell r="K420"/>
          <cell r="L420"/>
          <cell r="N420"/>
          <cell r="O420"/>
          <cell r="P420"/>
        </row>
        <row r="421">
          <cell r="A421"/>
          <cell r="B421"/>
          <cell r="C421"/>
          <cell r="E421"/>
          <cell r="F421"/>
          <cell r="G421"/>
          <cell r="J421"/>
          <cell r="K421"/>
          <cell r="L421"/>
          <cell r="N421"/>
          <cell r="O421"/>
          <cell r="P421"/>
        </row>
        <row r="422">
          <cell r="A422"/>
          <cell r="B422"/>
          <cell r="C422"/>
          <cell r="E422"/>
          <cell r="F422"/>
          <cell r="G422"/>
          <cell r="J422"/>
          <cell r="K422"/>
          <cell r="L422"/>
          <cell r="N422"/>
          <cell r="O422"/>
          <cell r="P422"/>
        </row>
        <row r="423">
          <cell r="A423"/>
          <cell r="B423"/>
          <cell r="C423"/>
          <cell r="E423"/>
          <cell r="F423"/>
          <cell r="G423"/>
          <cell r="J423"/>
          <cell r="K423"/>
          <cell r="L423"/>
          <cell r="N423"/>
          <cell r="O423"/>
          <cell r="P423"/>
        </row>
        <row r="424">
          <cell r="A424"/>
          <cell r="B424"/>
          <cell r="C424"/>
          <cell r="E424"/>
          <cell r="F424"/>
          <cell r="G424"/>
          <cell r="J424"/>
          <cell r="K424"/>
          <cell r="L424"/>
          <cell r="N424"/>
          <cell r="O424"/>
          <cell r="P424"/>
        </row>
        <row r="425">
          <cell r="A425"/>
          <cell r="B425"/>
          <cell r="C425"/>
          <cell r="E425"/>
          <cell r="F425"/>
          <cell r="G425"/>
          <cell r="J425"/>
          <cell r="K425"/>
          <cell r="L425"/>
          <cell r="N425"/>
          <cell r="O425"/>
          <cell r="P425"/>
        </row>
        <row r="426">
          <cell r="A426"/>
          <cell r="B426"/>
          <cell r="C426"/>
          <cell r="E426"/>
          <cell r="F426"/>
          <cell r="G426"/>
          <cell r="J426"/>
          <cell r="K426"/>
          <cell r="L426"/>
          <cell r="N426"/>
          <cell r="O426"/>
          <cell r="P426"/>
        </row>
        <row r="427">
          <cell r="A427"/>
          <cell r="B427"/>
          <cell r="C427"/>
          <cell r="E427"/>
          <cell r="F427"/>
          <cell r="G427"/>
          <cell r="J427"/>
          <cell r="K427"/>
          <cell r="L427"/>
          <cell r="N427"/>
          <cell r="O427"/>
          <cell r="P427"/>
        </row>
        <row r="428">
          <cell r="A428"/>
          <cell r="B428"/>
          <cell r="C428"/>
          <cell r="E428"/>
          <cell r="F428"/>
          <cell r="G428"/>
          <cell r="J428"/>
          <cell r="K428"/>
          <cell r="L428"/>
          <cell r="N428"/>
          <cell r="O428"/>
          <cell r="P428"/>
        </row>
        <row r="429">
          <cell r="A429"/>
          <cell r="B429"/>
          <cell r="C429"/>
          <cell r="E429"/>
          <cell r="F429"/>
          <cell r="G429"/>
          <cell r="J429"/>
          <cell r="K429"/>
          <cell r="L429"/>
          <cell r="N429"/>
          <cell r="O429"/>
          <cell r="P429"/>
        </row>
        <row r="430">
          <cell r="A430"/>
          <cell r="B430"/>
          <cell r="C430"/>
          <cell r="E430"/>
          <cell r="F430"/>
          <cell r="G430"/>
          <cell r="J430"/>
          <cell r="K430"/>
          <cell r="L430"/>
          <cell r="N430"/>
          <cell r="O430"/>
          <cell r="P430"/>
        </row>
        <row r="431">
          <cell r="A431"/>
          <cell r="B431"/>
          <cell r="C431"/>
          <cell r="E431"/>
          <cell r="F431"/>
          <cell r="G431"/>
          <cell r="J431"/>
          <cell r="K431"/>
          <cell r="L431"/>
          <cell r="N431"/>
          <cell r="O431"/>
          <cell r="P431"/>
        </row>
        <row r="432">
          <cell r="A432"/>
          <cell r="B432"/>
          <cell r="C432"/>
          <cell r="E432"/>
          <cell r="F432"/>
          <cell r="G432"/>
          <cell r="J432"/>
          <cell r="K432"/>
          <cell r="L432"/>
          <cell r="N432"/>
          <cell r="O432"/>
          <cell r="P432"/>
        </row>
        <row r="433">
          <cell r="A433"/>
          <cell r="B433"/>
          <cell r="C433"/>
          <cell r="E433"/>
          <cell r="F433"/>
          <cell r="G433"/>
          <cell r="J433"/>
          <cell r="K433"/>
          <cell r="L433"/>
          <cell r="N433"/>
          <cell r="O433"/>
          <cell r="P433"/>
        </row>
        <row r="434">
          <cell r="A434"/>
          <cell r="B434"/>
          <cell r="C434"/>
          <cell r="E434"/>
          <cell r="F434"/>
          <cell r="G434"/>
          <cell r="J434"/>
          <cell r="K434"/>
          <cell r="L434"/>
          <cell r="N434"/>
          <cell r="O434"/>
          <cell r="P434"/>
        </row>
        <row r="435">
          <cell r="A435"/>
          <cell r="B435"/>
          <cell r="C435"/>
          <cell r="E435"/>
          <cell r="F435"/>
          <cell r="G435"/>
          <cell r="J435"/>
          <cell r="K435"/>
          <cell r="L435"/>
          <cell r="N435"/>
          <cell r="O435"/>
          <cell r="P435"/>
        </row>
        <row r="436">
          <cell r="A436"/>
          <cell r="B436"/>
          <cell r="C436"/>
          <cell r="E436"/>
          <cell r="F436"/>
          <cell r="G436"/>
          <cell r="J436"/>
          <cell r="K436"/>
          <cell r="L436"/>
          <cell r="N436"/>
          <cell r="O436"/>
          <cell r="P436"/>
        </row>
        <row r="437">
          <cell r="A437"/>
          <cell r="B437"/>
          <cell r="C437"/>
          <cell r="E437"/>
          <cell r="F437"/>
          <cell r="G437"/>
          <cell r="J437"/>
          <cell r="K437"/>
          <cell r="L437"/>
          <cell r="N437"/>
          <cell r="O437"/>
          <cell r="P437"/>
        </row>
        <row r="438">
          <cell r="A438"/>
          <cell r="B438"/>
          <cell r="C438"/>
          <cell r="E438"/>
          <cell r="F438"/>
          <cell r="G438"/>
          <cell r="J438"/>
          <cell r="K438"/>
          <cell r="L438"/>
          <cell r="N438"/>
          <cell r="O438"/>
          <cell r="P438"/>
        </row>
        <row r="439">
          <cell r="A439"/>
          <cell r="B439"/>
          <cell r="C439"/>
          <cell r="E439"/>
          <cell r="F439"/>
          <cell r="G439"/>
          <cell r="J439"/>
          <cell r="K439"/>
          <cell r="L439"/>
          <cell r="N439"/>
          <cell r="O439"/>
          <cell r="P439"/>
        </row>
        <row r="440">
          <cell r="A440"/>
          <cell r="B440"/>
          <cell r="C440"/>
          <cell r="E440"/>
          <cell r="F440"/>
          <cell r="G440"/>
          <cell r="J440"/>
          <cell r="K440"/>
          <cell r="L440"/>
          <cell r="N440"/>
          <cell r="O440"/>
          <cell r="P440"/>
        </row>
        <row r="441">
          <cell r="A441"/>
          <cell r="B441"/>
          <cell r="C441"/>
          <cell r="E441"/>
          <cell r="F441"/>
          <cell r="G441"/>
          <cell r="J441"/>
          <cell r="K441"/>
          <cell r="L441"/>
          <cell r="N441"/>
          <cell r="O441"/>
          <cell r="P441"/>
        </row>
        <row r="442">
          <cell r="A442"/>
          <cell r="B442"/>
          <cell r="C442"/>
          <cell r="E442"/>
          <cell r="F442"/>
          <cell r="G442"/>
          <cell r="J442"/>
          <cell r="K442"/>
          <cell r="L442"/>
          <cell r="N442"/>
          <cell r="O442"/>
          <cell r="P442"/>
        </row>
        <row r="443">
          <cell r="A443"/>
          <cell r="B443"/>
          <cell r="C443"/>
          <cell r="E443"/>
          <cell r="F443"/>
          <cell r="G443"/>
          <cell r="J443"/>
          <cell r="K443"/>
          <cell r="L443"/>
          <cell r="N443"/>
          <cell r="O443"/>
          <cell r="P443"/>
        </row>
        <row r="444">
          <cell r="A444"/>
          <cell r="B444"/>
          <cell r="C444"/>
          <cell r="E444"/>
          <cell r="F444"/>
          <cell r="G444"/>
          <cell r="J444"/>
          <cell r="K444"/>
          <cell r="L444"/>
          <cell r="N444"/>
          <cell r="O444"/>
          <cell r="P444"/>
        </row>
        <row r="445">
          <cell r="A445"/>
          <cell r="B445"/>
          <cell r="C445"/>
          <cell r="E445"/>
          <cell r="F445"/>
          <cell r="G445"/>
          <cell r="J445"/>
          <cell r="K445"/>
          <cell r="L445"/>
          <cell r="N445"/>
          <cell r="O445"/>
          <cell r="P445"/>
        </row>
        <row r="446">
          <cell r="A446"/>
          <cell r="B446"/>
          <cell r="C446"/>
          <cell r="E446"/>
          <cell r="F446"/>
          <cell r="G446"/>
          <cell r="J446"/>
          <cell r="K446"/>
          <cell r="L446"/>
          <cell r="N446"/>
          <cell r="O446"/>
          <cell r="P446"/>
        </row>
        <row r="447">
          <cell r="A447"/>
          <cell r="B447"/>
          <cell r="C447"/>
          <cell r="E447"/>
          <cell r="F447"/>
          <cell r="G447"/>
          <cell r="J447"/>
          <cell r="K447"/>
          <cell r="L447"/>
          <cell r="N447"/>
          <cell r="O447"/>
          <cell r="P447"/>
        </row>
        <row r="448">
          <cell r="A448"/>
          <cell r="B448"/>
          <cell r="C448"/>
          <cell r="E448"/>
          <cell r="F448"/>
          <cell r="G448"/>
          <cell r="J448"/>
          <cell r="K448"/>
          <cell r="L448"/>
          <cell r="N448"/>
          <cell r="O448"/>
          <cell r="P448"/>
        </row>
        <row r="449">
          <cell r="A449"/>
          <cell r="B449"/>
          <cell r="C449"/>
          <cell r="E449"/>
          <cell r="F449"/>
          <cell r="G449"/>
          <cell r="J449"/>
          <cell r="K449"/>
          <cell r="L449"/>
          <cell r="N449"/>
          <cell r="O449"/>
          <cell r="P449"/>
        </row>
        <row r="450">
          <cell r="A450"/>
          <cell r="B450"/>
          <cell r="C450"/>
          <cell r="E450"/>
          <cell r="F450"/>
          <cell r="G450"/>
          <cell r="J450"/>
          <cell r="K450"/>
          <cell r="L450"/>
          <cell r="N450"/>
          <cell r="O450"/>
          <cell r="P450"/>
        </row>
        <row r="451">
          <cell r="A451"/>
          <cell r="B451"/>
          <cell r="C451"/>
          <cell r="E451"/>
          <cell r="F451"/>
          <cell r="G451"/>
          <cell r="J451"/>
          <cell r="K451"/>
          <cell r="L451"/>
          <cell r="N451"/>
          <cell r="O451"/>
          <cell r="P451"/>
        </row>
        <row r="452">
          <cell r="A452"/>
          <cell r="B452"/>
          <cell r="C452"/>
          <cell r="E452"/>
          <cell r="F452"/>
          <cell r="G452"/>
          <cell r="J452"/>
          <cell r="K452"/>
          <cell r="L452"/>
          <cell r="N452"/>
          <cell r="O452"/>
          <cell r="P452"/>
        </row>
        <row r="453">
          <cell r="A453"/>
          <cell r="B453"/>
          <cell r="C453"/>
          <cell r="E453"/>
          <cell r="F453"/>
          <cell r="G453"/>
          <cell r="J453"/>
          <cell r="K453"/>
          <cell r="L453"/>
          <cell r="N453"/>
          <cell r="O453"/>
          <cell r="P453"/>
        </row>
        <row r="454">
          <cell r="A454"/>
          <cell r="B454"/>
          <cell r="C454"/>
          <cell r="E454"/>
          <cell r="F454"/>
          <cell r="G454"/>
          <cell r="J454"/>
          <cell r="K454"/>
          <cell r="L454"/>
          <cell r="N454"/>
          <cell r="O454"/>
          <cell r="P454"/>
        </row>
        <row r="455">
          <cell r="A455"/>
          <cell r="B455"/>
          <cell r="C455"/>
          <cell r="E455"/>
          <cell r="F455"/>
          <cell r="G455"/>
          <cell r="J455"/>
          <cell r="K455"/>
          <cell r="L455"/>
          <cell r="N455"/>
          <cell r="O455"/>
          <cell r="P455"/>
        </row>
        <row r="456">
          <cell r="A456"/>
          <cell r="B456"/>
          <cell r="C456"/>
          <cell r="E456"/>
          <cell r="F456"/>
          <cell r="G456"/>
          <cell r="J456"/>
          <cell r="K456"/>
          <cell r="L456"/>
          <cell r="N456"/>
          <cell r="O456"/>
          <cell r="P456"/>
        </row>
        <row r="457">
          <cell r="A457"/>
          <cell r="B457"/>
          <cell r="C457"/>
          <cell r="E457"/>
          <cell r="F457"/>
          <cell r="G457"/>
          <cell r="J457"/>
          <cell r="K457"/>
          <cell r="L457"/>
          <cell r="N457"/>
          <cell r="O457"/>
          <cell r="P457"/>
        </row>
        <row r="458">
          <cell r="A458"/>
          <cell r="B458"/>
          <cell r="C458"/>
          <cell r="E458"/>
          <cell r="F458"/>
          <cell r="G458"/>
          <cell r="J458"/>
          <cell r="K458"/>
          <cell r="L458"/>
          <cell r="N458"/>
          <cell r="O458"/>
          <cell r="P458"/>
        </row>
        <row r="459">
          <cell r="A459"/>
          <cell r="B459"/>
          <cell r="C459"/>
          <cell r="E459"/>
          <cell r="F459"/>
          <cell r="G459"/>
          <cell r="J459"/>
          <cell r="K459"/>
          <cell r="L459"/>
          <cell r="N459"/>
          <cell r="O459"/>
          <cell r="P459"/>
        </row>
        <row r="460">
          <cell r="A460"/>
          <cell r="B460"/>
          <cell r="C460"/>
          <cell r="E460"/>
          <cell r="F460"/>
          <cell r="G460"/>
          <cell r="J460"/>
          <cell r="K460"/>
          <cell r="L460"/>
          <cell r="N460"/>
          <cell r="O460"/>
          <cell r="P460"/>
        </row>
        <row r="461">
          <cell r="A461"/>
          <cell r="B461"/>
          <cell r="C461"/>
          <cell r="E461"/>
          <cell r="F461"/>
          <cell r="G461"/>
          <cell r="J461"/>
          <cell r="K461"/>
          <cell r="L461"/>
          <cell r="N461"/>
          <cell r="O461"/>
          <cell r="P461"/>
        </row>
        <row r="462">
          <cell r="A462"/>
          <cell r="B462"/>
          <cell r="C462"/>
          <cell r="E462"/>
          <cell r="F462"/>
          <cell r="G462"/>
          <cell r="J462"/>
          <cell r="K462"/>
          <cell r="L462"/>
          <cell r="N462"/>
          <cell r="O462"/>
          <cell r="P462"/>
        </row>
        <row r="463">
          <cell r="A463"/>
          <cell r="B463"/>
          <cell r="C463"/>
          <cell r="E463"/>
          <cell r="F463"/>
          <cell r="G463"/>
          <cell r="J463"/>
          <cell r="K463"/>
          <cell r="L463"/>
          <cell r="N463"/>
          <cell r="O463"/>
          <cell r="P463"/>
        </row>
        <row r="464">
          <cell r="A464"/>
          <cell r="B464"/>
          <cell r="C464"/>
          <cell r="E464"/>
          <cell r="F464"/>
          <cell r="G464"/>
          <cell r="J464"/>
          <cell r="K464"/>
          <cell r="L464"/>
          <cell r="N464"/>
          <cell r="O464"/>
          <cell r="P464"/>
        </row>
        <row r="465">
          <cell r="A465"/>
          <cell r="B465"/>
          <cell r="C465"/>
          <cell r="E465"/>
          <cell r="F465"/>
          <cell r="G465"/>
          <cell r="J465"/>
          <cell r="K465"/>
          <cell r="L465"/>
          <cell r="N465"/>
          <cell r="O465"/>
          <cell r="P465"/>
        </row>
        <row r="466">
          <cell r="A466"/>
          <cell r="B466"/>
          <cell r="C466"/>
          <cell r="E466"/>
          <cell r="F466"/>
          <cell r="G466"/>
          <cell r="J466"/>
          <cell r="K466"/>
          <cell r="L466"/>
          <cell r="N466"/>
          <cell r="O466"/>
          <cell r="P466"/>
        </row>
        <row r="467">
          <cell r="A467"/>
          <cell r="B467"/>
          <cell r="C467"/>
          <cell r="E467"/>
          <cell r="F467"/>
          <cell r="G467"/>
          <cell r="J467"/>
          <cell r="K467"/>
          <cell r="L467"/>
          <cell r="N467"/>
          <cell r="O467"/>
          <cell r="P467"/>
        </row>
        <row r="468">
          <cell r="A468"/>
          <cell r="B468"/>
          <cell r="C468"/>
          <cell r="E468"/>
          <cell r="F468"/>
          <cell r="G468"/>
          <cell r="J468"/>
          <cell r="K468"/>
          <cell r="L468"/>
          <cell r="N468"/>
          <cell r="O468"/>
          <cell r="P468"/>
        </row>
        <row r="469">
          <cell r="A469"/>
          <cell r="B469"/>
          <cell r="C469"/>
          <cell r="E469"/>
          <cell r="F469"/>
          <cell r="G469"/>
          <cell r="J469"/>
          <cell r="K469"/>
          <cell r="L469"/>
          <cell r="N469"/>
          <cell r="O469"/>
          <cell r="P469"/>
        </row>
        <row r="470">
          <cell r="A470"/>
          <cell r="B470"/>
          <cell r="C470"/>
          <cell r="E470"/>
          <cell r="F470"/>
          <cell r="G470"/>
          <cell r="J470"/>
          <cell r="K470"/>
          <cell r="L470"/>
          <cell r="N470"/>
          <cell r="O470"/>
          <cell r="P470"/>
        </row>
        <row r="471">
          <cell r="A471"/>
          <cell r="B471"/>
          <cell r="C471"/>
          <cell r="E471"/>
          <cell r="F471"/>
          <cell r="G471"/>
          <cell r="J471"/>
          <cell r="K471"/>
          <cell r="L471"/>
          <cell r="N471"/>
          <cell r="O471"/>
          <cell r="P471"/>
        </row>
        <row r="472">
          <cell r="A472"/>
          <cell r="B472"/>
          <cell r="C472"/>
          <cell r="E472"/>
          <cell r="F472"/>
          <cell r="G472"/>
          <cell r="J472"/>
          <cell r="K472"/>
          <cell r="L472"/>
          <cell r="N472"/>
          <cell r="O472"/>
          <cell r="P472"/>
        </row>
        <row r="473">
          <cell r="A473"/>
          <cell r="B473"/>
          <cell r="C473"/>
          <cell r="E473"/>
          <cell r="F473"/>
          <cell r="G473"/>
          <cell r="J473"/>
          <cell r="K473"/>
          <cell r="L473"/>
          <cell r="N473"/>
          <cell r="O473"/>
          <cell r="P473"/>
        </row>
        <row r="474">
          <cell r="A474"/>
          <cell r="B474"/>
          <cell r="C474"/>
          <cell r="E474"/>
          <cell r="F474"/>
          <cell r="G474"/>
          <cell r="J474"/>
          <cell r="K474"/>
          <cell r="L474"/>
          <cell r="N474"/>
          <cell r="O474"/>
          <cell r="P474"/>
        </row>
        <row r="475">
          <cell r="A475"/>
          <cell r="B475"/>
          <cell r="C475"/>
          <cell r="E475"/>
          <cell r="F475"/>
          <cell r="G475"/>
          <cell r="J475"/>
          <cell r="K475"/>
          <cell r="L475"/>
          <cell r="N475"/>
          <cell r="O475"/>
          <cell r="P475"/>
        </row>
        <row r="476">
          <cell r="A476"/>
          <cell r="B476"/>
          <cell r="C476"/>
          <cell r="E476"/>
          <cell r="F476"/>
          <cell r="G476"/>
          <cell r="J476"/>
          <cell r="K476"/>
          <cell r="L476"/>
          <cell r="N476"/>
          <cell r="O476"/>
          <cell r="P476"/>
        </row>
        <row r="477">
          <cell r="A477"/>
          <cell r="B477"/>
          <cell r="C477"/>
          <cell r="E477"/>
          <cell r="F477"/>
          <cell r="G477"/>
          <cell r="J477"/>
          <cell r="K477"/>
          <cell r="L477"/>
          <cell r="N477"/>
          <cell r="O477"/>
          <cell r="P477"/>
        </row>
        <row r="478">
          <cell r="A478"/>
          <cell r="B478"/>
          <cell r="C478"/>
          <cell r="E478"/>
          <cell r="F478"/>
          <cell r="G478"/>
          <cell r="J478"/>
          <cell r="K478"/>
          <cell r="L478"/>
          <cell r="N478"/>
          <cell r="O478"/>
          <cell r="P478"/>
        </row>
        <row r="479">
          <cell r="A479"/>
          <cell r="B479"/>
          <cell r="C479"/>
          <cell r="E479"/>
          <cell r="F479"/>
          <cell r="G479"/>
          <cell r="J479"/>
          <cell r="K479"/>
          <cell r="L479"/>
          <cell r="N479"/>
          <cell r="O479"/>
          <cell r="P479"/>
        </row>
        <row r="480">
          <cell r="A480"/>
          <cell r="B480"/>
          <cell r="C480"/>
          <cell r="E480"/>
          <cell r="F480"/>
          <cell r="G480"/>
          <cell r="J480"/>
          <cell r="K480"/>
          <cell r="L480"/>
          <cell r="N480"/>
          <cell r="O480"/>
          <cell r="P480"/>
        </row>
        <row r="481">
          <cell r="A481"/>
          <cell r="B481"/>
          <cell r="C481"/>
          <cell r="E481"/>
          <cell r="F481"/>
          <cell r="G481"/>
          <cell r="J481"/>
          <cell r="K481"/>
          <cell r="L481"/>
          <cell r="N481"/>
          <cell r="O481"/>
          <cell r="P481"/>
        </row>
        <row r="482">
          <cell r="A482"/>
          <cell r="B482"/>
          <cell r="C482"/>
          <cell r="E482"/>
          <cell r="F482"/>
          <cell r="G482"/>
          <cell r="J482"/>
          <cell r="K482"/>
          <cell r="L482"/>
          <cell r="N482"/>
          <cell r="O482"/>
          <cell r="P482"/>
        </row>
        <row r="483">
          <cell r="A483"/>
          <cell r="B483"/>
          <cell r="C483"/>
          <cell r="E483"/>
          <cell r="F483"/>
          <cell r="G483"/>
          <cell r="J483"/>
          <cell r="K483"/>
          <cell r="L483"/>
          <cell r="N483"/>
          <cell r="O483"/>
          <cell r="P483"/>
        </row>
        <row r="484">
          <cell r="A484"/>
          <cell r="B484"/>
          <cell r="C484"/>
          <cell r="E484"/>
          <cell r="F484"/>
          <cell r="G484"/>
          <cell r="J484"/>
          <cell r="K484"/>
          <cell r="L484"/>
          <cell r="N484"/>
          <cell r="O484"/>
          <cell r="P484"/>
        </row>
        <row r="485">
          <cell r="A485"/>
          <cell r="B485"/>
          <cell r="C485"/>
          <cell r="E485"/>
          <cell r="F485"/>
          <cell r="G485"/>
          <cell r="J485"/>
          <cell r="K485"/>
          <cell r="L485"/>
          <cell r="N485"/>
          <cell r="O485"/>
          <cell r="P485"/>
        </row>
        <row r="486">
          <cell r="A486"/>
          <cell r="B486"/>
          <cell r="C486"/>
          <cell r="E486"/>
          <cell r="F486"/>
          <cell r="G486"/>
          <cell r="J486"/>
          <cell r="K486"/>
          <cell r="L486"/>
          <cell r="N486"/>
          <cell r="O486"/>
          <cell r="P486"/>
        </row>
        <row r="487">
          <cell r="A487"/>
          <cell r="B487"/>
          <cell r="C487"/>
          <cell r="E487"/>
          <cell r="F487"/>
          <cell r="G487"/>
          <cell r="J487"/>
          <cell r="K487"/>
          <cell r="L487"/>
          <cell r="N487"/>
          <cell r="O487"/>
          <cell r="P487"/>
        </row>
        <row r="488">
          <cell r="A488"/>
          <cell r="B488"/>
          <cell r="C488"/>
          <cell r="E488"/>
          <cell r="F488"/>
          <cell r="G488"/>
          <cell r="J488"/>
          <cell r="K488"/>
          <cell r="L488"/>
          <cell r="N488"/>
          <cell r="O488"/>
          <cell r="P488"/>
        </row>
        <row r="489">
          <cell r="A489"/>
          <cell r="B489"/>
          <cell r="C489"/>
          <cell r="E489"/>
          <cell r="F489"/>
          <cell r="G489"/>
          <cell r="J489"/>
          <cell r="K489"/>
          <cell r="L489"/>
          <cell r="N489"/>
          <cell r="O489"/>
          <cell r="P489"/>
        </row>
        <row r="490">
          <cell r="A490"/>
          <cell r="B490"/>
          <cell r="C490"/>
          <cell r="E490"/>
          <cell r="F490"/>
          <cell r="G490"/>
          <cell r="J490"/>
          <cell r="K490"/>
          <cell r="L490"/>
          <cell r="N490"/>
          <cell r="O490"/>
          <cell r="P490"/>
        </row>
        <row r="491">
          <cell r="A491"/>
          <cell r="B491"/>
          <cell r="C491"/>
          <cell r="E491"/>
          <cell r="F491"/>
          <cell r="G491"/>
          <cell r="J491"/>
          <cell r="K491"/>
          <cell r="L491"/>
          <cell r="N491"/>
          <cell r="O491"/>
          <cell r="P491"/>
        </row>
        <row r="492">
          <cell r="A492"/>
          <cell r="B492"/>
          <cell r="C492"/>
          <cell r="E492"/>
          <cell r="F492"/>
          <cell r="G492"/>
          <cell r="J492"/>
          <cell r="K492"/>
          <cell r="L492"/>
          <cell r="N492"/>
          <cell r="O492"/>
          <cell r="P492"/>
        </row>
        <row r="493">
          <cell r="A493"/>
          <cell r="B493"/>
          <cell r="C493"/>
          <cell r="E493"/>
          <cell r="F493"/>
          <cell r="G493"/>
          <cell r="J493"/>
          <cell r="K493"/>
          <cell r="L493"/>
          <cell r="N493"/>
          <cell r="O493"/>
          <cell r="P493"/>
        </row>
        <row r="494">
          <cell r="A494"/>
          <cell r="B494"/>
          <cell r="C494"/>
          <cell r="E494"/>
          <cell r="F494"/>
          <cell r="G494"/>
          <cell r="J494"/>
          <cell r="K494"/>
          <cell r="L494"/>
          <cell r="N494"/>
          <cell r="O494"/>
          <cell r="P494"/>
        </row>
        <row r="495">
          <cell r="A495"/>
          <cell r="B495"/>
          <cell r="C495"/>
          <cell r="E495"/>
          <cell r="F495"/>
          <cell r="G495"/>
          <cell r="J495"/>
          <cell r="K495"/>
          <cell r="L495"/>
          <cell r="N495"/>
          <cell r="O495"/>
          <cell r="P495"/>
        </row>
        <row r="496">
          <cell r="A496"/>
          <cell r="B496"/>
          <cell r="C496"/>
          <cell r="E496"/>
          <cell r="F496"/>
          <cell r="G496"/>
          <cell r="J496"/>
          <cell r="K496"/>
          <cell r="L496"/>
          <cell r="N496"/>
          <cell r="O496"/>
          <cell r="P496"/>
        </row>
        <row r="497">
          <cell r="A497"/>
          <cell r="B497"/>
          <cell r="C497"/>
          <cell r="E497"/>
          <cell r="F497"/>
          <cell r="G497"/>
          <cell r="J497"/>
          <cell r="K497"/>
          <cell r="L497"/>
          <cell r="N497"/>
          <cell r="O497"/>
          <cell r="P497"/>
        </row>
        <row r="498">
          <cell r="A498"/>
          <cell r="B498"/>
          <cell r="C498"/>
          <cell r="E498"/>
          <cell r="F498"/>
          <cell r="G498"/>
          <cell r="J498"/>
          <cell r="K498"/>
          <cell r="L498"/>
          <cell r="N498"/>
          <cell r="O498"/>
          <cell r="P498"/>
        </row>
        <row r="499">
          <cell r="A499"/>
          <cell r="B499"/>
          <cell r="C499"/>
          <cell r="E499"/>
          <cell r="F499"/>
          <cell r="G499"/>
          <cell r="J499"/>
          <cell r="K499"/>
          <cell r="L499"/>
          <cell r="N499"/>
          <cell r="O499"/>
          <cell r="P499"/>
        </row>
        <row r="500">
          <cell r="A500"/>
          <cell r="B500"/>
          <cell r="C500"/>
          <cell r="E500"/>
          <cell r="F500"/>
          <cell r="G500"/>
          <cell r="J500"/>
          <cell r="K500"/>
          <cell r="L500"/>
          <cell r="N500"/>
          <cell r="O500"/>
          <cell r="P500"/>
        </row>
        <row r="501">
          <cell r="A501"/>
          <cell r="B501"/>
          <cell r="C501"/>
          <cell r="E501"/>
          <cell r="F501"/>
          <cell r="G501"/>
          <cell r="J501"/>
          <cell r="K501"/>
          <cell r="L501"/>
          <cell r="N501"/>
          <cell r="O501"/>
          <cell r="P501"/>
        </row>
        <row r="502">
          <cell r="A502"/>
          <cell r="B502"/>
          <cell r="C502"/>
          <cell r="E502"/>
          <cell r="F502"/>
          <cell r="G502"/>
          <cell r="J502"/>
          <cell r="K502"/>
          <cell r="L502"/>
          <cell r="N502"/>
          <cell r="O502"/>
          <cell r="P502"/>
        </row>
        <row r="503">
          <cell r="A503"/>
          <cell r="B503"/>
          <cell r="C503"/>
          <cell r="E503"/>
          <cell r="F503"/>
          <cell r="G503"/>
          <cell r="J503"/>
          <cell r="K503"/>
          <cell r="L503"/>
          <cell r="N503"/>
          <cell r="O503"/>
          <cell r="P503"/>
        </row>
        <row r="504">
          <cell r="A504"/>
          <cell r="B504"/>
          <cell r="C504"/>
          <cell r="E504"/>
          <cell r="F504"/>
          <cell r="G504"/>
          <cell r="J504"/>
          <cell r="K504"/>
          <cell r="L504"/>
          <cell r="N504"/>
          <cell r="O504"/>
          <cell r="P504"/>
        </row>
        <row r="505">
          <cell r="A505"/>
          <cell r="B505"/>
          <cell r="C505"/>
          <cell r="E505"/>
          <cell r="F505"/>
          <cell r="G505"/>
          <cell r="J505"/>
          <cell r="K505"/>
          <cell r="L505"/>
          <cell r="N505"/>
          <cell r="O505"/>
          <cell r="P505"/>
        </row>
        <row r="506">
          <cell r="A506"/>
          <cell r="B506"/>
          <cell r="C506"/>
          <cell r="E506"/>
          <cell r="F506"/>
          <cell r="G506"/>
          <cell r="J506"/>
          <cell r="K506"/>
          <cell r="L506"/>
          <cell r="N506"/>
          <cell r="O506"/>
          <cell r="P506"/>
        </row>
        <row r="507">
          <cell r="A507"/>
          <cell r="B507"/>
          <cell r="C507"/>
          <cell r="E507"/>
          <cell r="F507"/>
          <cell r="G507"/>
          <cell r="J507"/>
          <cell r="K507"/>
          <cell r="L507"/>
          <cell r="N507"/>
          <cell r="O507"/>
          <cell r="P507"/>
        </row>
        <row r="508">
          <cell r="A508"/>
          <cell r="B508"/>
          <cell r="C508"/>
          <cell r="E508"/>
          <cell r="F508"/>
          <cell r="G508"/>
          <cell r="J508"/>
          <cell r="K508"/>
          <cell r="L508"/>
          <cell r="N508"/>
          <cell r="O508"/>
          <cell r="P508"/>
        </row>
        <row r="509">
          <cell r="A509"/>
          <cell r="B509"/>
          <cell r="C509"/>
          <cell r="E509"/>
          <cell r="F509"/>
          <cell r="G509"/>
          <cell r="J509"/>
          <cell r="K509"/>
          <cell r="L509"/>
          <cell r="N509"/>
          <cell r="O509"/>
          <cell r="P509"/>
        </row>
        <row r="510">
          <cell r="A510"/>
          <cell r="B510"/>
          <cell r="C510"/>
          <cell r="E510"/>
          <cell r="F510"/>
          <cell r="G510"/>
          <cell r="J510"/>
          <cell r="K510"/>
          <cell r="L510"/>
          <cell r="N510"/>
          <cell r="O510"/>
          <cell r="P510"/>
        </row>
        <row r="511">
          <cell r="A511"/>
          <cell r="B511"/>
          <cell r="C511"/>
          <cell r="E511"/>
          <cell r="F511"/>
          <cell r="G511"/>
          <cell r="J511"/>
          <cell r="K511"/>
          <cell r="L511"/>
          <cell r="N511"/>
          <cell r="O511"/>
          <cell r="P511"/>
        </row>
        <row r="512">
          <cell r="A512"/>
          <cell r="B512"/>
          <cell r="C512"/>
          <cell r="E512"/>
          <cell r="F512"/>
          <cell r="G512"/>
          <cell r="J512"/>
          <cell r="K512"/>
          <cell r="L512"/>
          <cell r="N512"/>
          <cell r="O512"/>
          <cell r="P512"/>
        </row>
        <row r="513">
          <cell r="A513"/>
          <cell r="B513"/>
          <cell r="C513"/>
          <cell r="E513"/>
          <cell r="F513"/>
          <cell r="G513"/>
          <cell r="J513"/>
          <cell r="K513"/>
          <cell r="L513"/>
          <cell r="N513"/>
          <cell r="O513"/>
          <cell r="P513"/>
        </row>
        <row r="514">
          <cell r="A514"/>
          <cell r="B514"/>
          <cell r="C514"/>
          <cell r="E514"/>
          <cell r="F514"/>
          <cell r="G514"/>
          <cell r="J514"/>
          <cell r="K514"/>
          <cell r="L514"/>
          <cell r="N514"/>
          <cell r="O514"/>
          <cell r="P514"/>
        </row>
        <row r="515">
          <cell r="A515"/>
          <cell r="B515"/>
          <cell r="C515"/>
          <cell r="E515"/>
          <cell r="F515"/>
          <cell r="G515"/>
          <cell r="J515"/>
          <cell r="K515"/>
          <cell r="L515"/>
          <cell r="N515"/>
          <cell r="O515"/>
          <cell r="P515"/>
        </row>
        <row r="516">
          <cell r="A516"/>
          <cell r="B516"/>
          <cell r="C516"/>
          <cell r="E516"/>
          <cell r="F516"/>
          <cell r="G516"/>
          <cell r="J516"/>
          <cell r="K516"/>
          <cell r="L516"/>
          <cell r="N516"/>
          <cell r="O516"/>
          <cell r="P516"/>
        </row>
        <row r="517">
          <cell r="A517"/>
          <cell r="B517"/>
          <cell r="C517"/>
          <cell r="E517"/>
          <cell r="F517"/>
          <cell r="G517"/>
          <cell r="J517"/>
          <cell r="K517"/>
          <cell r="L517"/>
          <cell r="N517"/>
          <cell r="O517"/>
          <cell r="P517"/>
        </row>
        <row r="518">
          <cell r="A518"/>
          <cell r="B518"/>
          <cell r="C518"/>
          <cell r="E518"/>
          <cell r="F518"/>
          <cell r="G518"/>
          <cell r="J518"/>
          <cell r="K518"/>
          <cell r="L518"/>
          <cell r="N518"/>
          <cell r="O518"/>
          <cell r="P518"/>
        </row>
        <row r="519">
          <cell r="A519"/>
          <cell r="B519"/>
          <cell r="C519"/>
          <cell r="E519"/>
          <cell r="F519"/>
          <cell r="G519"/>
          <cell r="J519"/>
          <cell r="K519"/>
          <cell r="L519"/>
          <cell r="N519"/>
          <cell r="O519"/>
          <cell r="P519"/>
        </row>
        <row r="520">
          <cell r="A520"/>
          <cell r="B520"/>
          <cell r="C520"/>
          <cell r="E520"/>
          <cell r="F520"/>
          <cell r="G520"/>
          <cell r="J520"/>
          <cell r="K520"/>
          <cell r="L520"/>
          <cell r="N520"/>
          <cell r="O520"/>
          <cell r="P520"/>
        </row>
        <row r="521">
          <cell r="A521"/>
          <cell r="B521"/>
          <cell r="C521"/>
          <cell r="E521"/>
          <cell r="F521"/>
          <cell r="G521"/>
          <cell r="J521"/>
          <cell r="K521"/>
          <cell r="L521"/>
          <cell r="N521"/>
          <cell r="O521"/>
          <cell r="P521"/>
        </row>
        <row r="522">
          <cell r="A522"/>
          <cell r="B522"/>
          <cell r="C522"/>
          <cell r="E522"/>
          <cell r="F522"/>
          <cell r="G522"/>
          <cell r="J522"/>
          <cell r="K522"/>
          <cell r="L522"/>
          <cell r="N522"/>
          <cell r="O522"/>
          <cell r="P522"/>
        </row>
        <row r="523">
          <cell r="A523"/>
          <cell r="B523"/>
          <cell r="C523"/>
          <cell r="E523"/>
          <cell r="F523"/>
          <cell r="G523"/>
          <cell r="J523"/>
          <cell r="K523"/>
          <cell r="L523"/>
          <cell r="N523"/>
          <cell r="O523"/>
          <cell r="P523"/>
        </row>
        <row r="524">
          <cell r="A524"/>
          <cell r="B524"/>
          <cell r="C524"/>
          <cell r="E524"/>
          <cell r="F524"/>
          <cell r="G524"/>
          <cell r="J524"/>
          <cell r="K524"/>
          <cell r="L524"/>
          <cell r="N524"/>
          <cell r="O524"/>
          <cell r="P524"/>
        </row>
        <row r="525">
          <cell r="A525"/>
          <cell r="B525"/>
          <cell r="C525"/>
          <cell r="E525"/>
          <cell r="F525"/>
          <cell r="G525"/>
          <cell r="J525"/>
          <cell r="K525"/>
          <cell r="L525"/>
          <cell r="N525"/>
          <cell r="O525"/>
          <cell r="P525"/>
        </row>
        <row r="526">
          <cell r="A526"/>
          <cell r="B526"/>
          <cell r="C526"/>
          <cell r="E526"/>
          <cell r="F526"/>
          <cell r="G526"/>
          <cell r="J526"/>
          <cell r="K526"/>
          <cell r="L526"/>
          <cell r="N526"/>
          <cell r="O526"/>
          <cell r="P526"/>
        </row>
        <row r="527">
          <cell r="A527"/>
          <cell r="B527"/>
          <cell r="C527"/>
          <cell r="E527"/>
          <cell r="F527"/>
          <cell r="G527"/>
          <cell r="J527"/>
          <cell r="K527"/>
          <cell r="L527"/>
          <cell r="N527"/>
          <cell r="O527"/>
          <cell r="P527"/>
        </row>
        <row r="528">
          <cell r="A528"/>
          <cell r="B528"/>
          <cell r="C528"/>
          <cell r="E528"/>
          <cell r="F528"/>
          <cell r="G528"/>
          <cell r="J528"/>
          <cell r="K528"/>
          <cell r="L528"/>
          <cell r="N528"/>
          <cell r="O528"/>
          <cell r="P528"/>
        </row>
        <row r="529">
          <cell r="A529"/>
          <cell r="B529"/>
          <cell r="C529"/>
          <cell r="E529"/>
          <cell r="F529"/>
          <cell r="G529"/>
          <cell r="J529"/>
          <cell r="K529"/>
          <cell r="L529"/>
          <cell r="N529"/>
          <cell r="O529"/>
          <cell r="P529"/>
        </row>
        <row r="530">
          <cell r="A530"/>
          <cell r="B530"/>
          <cell r="C530"/>
          <cell r="E530"/>
          <cell r="F530"/>
          <cell r="G530"/>
          <cell r="J530"/>
          <cell r="K530"/>
          <cell r="L530"/>
          <cell r="N530"/>
          <cell r="O530"/>
          <cell r="P530"/>
        </row>
        <row r="531">
          <cell r="A531"/>
          <cell r="B531"/>
          <cell r="C531"/>
          <cell r="E531"/>
          <cell r="F531"/>
          <cell r="G531"/>
          <cell r="J531"/>
          <cell r="K531"/>
          <cell r="L531"/>
          <cell r="N531"/>
          <cell r="O531"/>
          <cell r="P531"/>
        </row>
        <row r="532">
          <cell r="A532"/>
          <cell r="B532"/>
          <cell r="C532"/>
          <cell r="E532"/>
          <cell r="F532"/>
          <cell r="G532"/>
          <cell r="J532"/>
          <cell r="K532"/>
          <cell r="L532"/>
          <cell r="N532"/>
          <cell r="O532"/>
          <cell r="P532"/>
        </row>
        <row r="533">
          <cell r="A533"/>
          <cell r="B533"/>
          <cell r="C533"/>
          <cell r="E533"/>
          <cell r="F533"/>
          <cell r="G533"/>
          <cell r="J533"/>
          <cell r="K533"/>
          <cell r="L533"/>
          <cell r="N533"/>
          <cell r="O533"/>
          <cell r="P533"/>
        </row>
        <row r="534">
          <cell r="A534"/>
          <cell r="B534"/>
          <cell r="C534"/>
          <cell r="E534"/>
          <cell r="F534"/>
          <cell r="G534"/>
          <cell r="J534"/>
          <cell r="K534"/>
          <cell r="L534"/>
          <cell r="N534"/>
          <cell r="O534"/>
          <cell r="P534"/>
        </row>
        <row r="535">
          <cell r="A535"/>
          <cell r="B535"/>
          <cell r="C535"/>
          <cell r="E535"/>
          <cell r="F535"/>
          <cell r="G535"/>
          <cell r="J535"/>
          <cell r="K535"/>
          <cell r="L535"/>
          <cell r="N535"/>
          <cell r="O535"/>
          <cell r="P535"/>
        </row>
        <row r="536">
          <cell r="A536"/>
          <cell r="B536"/>
          <cell r="C536"/>
          <cell r="E536"/>
          <cell r="F536"/>
          <cell r="G536"/>
          <cell r="J536"/>
          <cell r="K536"/>
          <cell r="L536"/>
          <cell r="N536"/>
          <cell r="O536"/>
          <cell r="P536"/>
        </row>
        <row r="537">
          <cell r="A537"/>
          <cell r="B537"/>
          <cell r="C537"/>
          <cell r="E537"/>
          <cell r="F537"/>
          <cell r="G537"/>
          <cell r="J537"/>
          <cell r="K537"/>
          <cell r="L537"/>
          <cell r="N537"/>
          <cell r="O537"/>
          <cell r="P537"/>
        </row>
        <row r="538">
          <cell r="A538"/>
          <cell r="B538"/>
          <cell r="C538"/>
          <cell r="E538"/>
          <cell r="F538"/>
          <cell r="G538"/>
          <cell r="J538"/>
          <cell r="K538"/>
          <cell r="L538"/>
          <cell r="N538"/>
          <cell r="O538"/>
          <cell r="P538"/>
        </row>
        <row r="539">
          <cell r="A539"/>
          <cell r="B539"/>
          <cell r="C539"/>
          <cell r="E539"/>
          <cell r="F539"/>
          <cell r="G539"/>
          <cell r="J539"/>
          <cell r="K539"/>
          <cell r="L539"/>
          <cell r="N539"/>
          <cell r="O539"/>
          <cell r="P539"/>
        </row>
        <row r="540">
          <cell r="A540"/>
          <cell r="B540"/>
          <cell r="C540"/>
          <cell r="E540"/>
          <cell r="F540"/>
          <cell r="G540"/>
          <cell r="J540"/>
          <cell r="K540"/>
          <cell r="L540"/>
          <cell r="N540"/>
          <cell r="O540"/>
          <cell r="P540"/>
        </row>
        <row r="541">
          <cell r="A541"/>
          <cell r="B541"/>
          <cell r="C541"/>
          <cell r="E541"/>
          <cell r="F541"/>
          <cell r="G541"/>
          <cell r="J541"/>
          <cell r="K541"/>
          <cell r="L541"/>
          <cell r="N541"/>
          <cell r="O541"/>
          <cell r="P541"/>
        </row>
        <row r="542">
          <cell r="A542"/>
          <cell r="B542"/>
          <cell r="C542"/>
          <cell r="E542"/>
          <cell r="F542"/>
          <cell r="G542"/>
          <cell r="J542"/>
          <cell r="K542"/>
          <cell r="L542"/>
          <cell r="N542"/>
          <cell r="O542"/>
          <cell r="P542"/>
        </row>
        <row r="543">
          <cell r="A543"/>
          <cell r="B543"/>
          <cell r="C543"/>
          <cell r="E543"/>
          <cell r="F543"/>
          <cell r="G543"/>
          <cell r="J543"/>
          <cell r="K543"/>
          <cell r="L543"/>
          <cell r="N543"/>
          <cell r="O543"/>
          <cell r="P543"/>
        </row>
        <row r="544">
          <cell r="A544"/>
          <cell r="B544"/>
          <cell r="C544"/>
          <cell r="E544"/>
          <cell r="F544"/>
          <cell r="G544"/>
          <cell r="J544"/>
          <cell r="K544"/>
          <cell r="L544"/>
          <cell r="N544"/>
          <cell r="O544"/>
          <cell r="P544"/>
        </row>
        <row r="545">
          <cell r="A545"/>
          <cell r="B545"/>
          <cell r="C545"/>
          <cell r="E545"/>
          <cell r="F545"/>
          <cell r="G545"/>
          <cell r="J545"/>
          <cell r="K545"/>
          <cell r="L545"/>
          <cell r="N545"/>
          <cell r="O545"/>
          <cell r="P545"/>
        </row>
        <row r="546">
          <cell r="A546"/>
          <cell r="B546"/>
          <cell r="C546"/>
          <cell r="E546"/>
          <cell r="F546"/>
          <cell r="G546"/>
          <cell r="J546"/>
          <cell r="K546"/>
          <cell r="L546"/>
          <cell r="N546"/>
          <cell r="O546"/>
          <cell r="P546"/>
        </row>
        <row r="547">
          <cell r="A547"/>
          <cell r="B547"/>
          <cell r="C547"/>
          <cell r="E547"/>
          <cell r="F547"/>
          <cell r="G547"/>
          <cell r="J547"/>
          <cell r="K547"/>
          <cell r="L547"/>
          <cell r="N547"/>
          <cell r="O547"/>
          <cell r="P547"/>
        </row>
        <row r="548">
          <cell r="A548"/>
          <cell r="B548"/>
          <cell r="C548"/>
          <cell r="E548"/>
          <cell r="F548"/>
          <cell r="G548"/>
          <cell r="J548"/>
          <cell r="K548"/>
          <cell r="L548"/>
          <cell r="N548"/>
          <cell r="O548"/>
          <cell r="P548"/>
        </row>
        <row r="549">
          <cell r="A549"/>
          <cell r="B549"/>
          <cell r="C549"/>
          <cell r="E549"/>
          <cell r="F549"/>
          <cell r="G549"/>
          <cell r="J549"/>
          <cell r="K549"/>
          <cell r="L549"/>
          <cell r="N549"/>
          <cell r="O549"/>
          <cell r="P549"/>
        </row>
        <row r="550">
          <cell r="A550"/>
          <cell r="B550"/>
          <cell r="C550"/>
          <cell r="E550"/>
          <cell r="F550"/>
          <cell r="G550"/>
          <cell r="J550"/>
          <cell r="K550"/>
          <cell r="L550"/>
          <cell r="N550"/>
          <cell r="O550"/>
          <cell r="P550"/>
        </row>
        <row r="551">
          <cell r="A551"/>
          <cell r="B551"/>
          <cell r="C551"/>
          <cell r="E551"/>
          <cell r="F551"/>
          <cell r="G551"/>
          <cell r="J551"/>
          <cell r="K551"/>
          <cell r="L551"/>
          <cell r="N551"/>
          <cell r="O551"/>
          <cell r="P551"/>
        </row>
        <row r="552">
          <cell r="A552"/>
          <cell r="B552"/>
          <cell r="C552"/>
          <cell r="E552"/>
          <cell r="F552"/>
          <cell r="G552"/>
          <cell r="J552"/>
          <cell r="K552"/>
          <cell r="L552"/>
          <cell r="N552"/>
          <cell r="O552"/>
          <cell r="P552"/>
        </row>
        <row r="553">
          <cell r="A553"/>
          <cell r="B553"/>
          <cell r="C553"/>
          <cell r="E553"/>
          <cell r="F553"/>
          <cell r="G553"/>
          <cell r="J553"/>
          <cell r="K553"/>
          <cell r="L553"/>
          <cell r="N553"/>
          <cell r="O553"/>
          <cell r="P553"/>
        </row>
        <row r="554">
          <cell r="A554"/>
          <cell r="B554"/>
          <cell r="C554"/>
          <cell r="E554"/>
          <cell r="F554"/>
          <cell r="G554"/>
          <cell r="J554"/>
          <cell r="K554"/>
          <cell r="L554"/>
          <cell r="N554"/>
          <cell r="O554"/>
          <cell r="P554"/>
        </row>
        <row r="555">
          <cell r="A555"/>
          <cell r="B555"/>
          <cell r="C555"/>
          <cell r="E555"/>
          <cell r="F555"/>
          <cell r="G555"/>
          <cell r="J555"/>
          <cell r="K555"/>
          <cell r="L555"/>
          <cell r="N555"/>
          <cell r="O555"/>
          <cell r="P555"/>
        </row>
        <row r="556">
          <cell r="A556"/>
          <cell r="B556"/>
          <cell r="C556"/>
          <cell r="E556"/>
          <cell r="F556"/>
          <cell r="G556"/>
          <cell r="J556"/>
          <cell r="K556"/>
          <cell r="L556"/>
          <cell r="N556"/>
          <cell r="O556"/>
          <cell r="P556"/>
        </row>
        <row r="557">
          <cell r="A557"/>
          <cell r="B557"/>
          <cell r="C557"/>
          <cell r="E557"/>
          <cell r="F557"/>
          <cell r="G557"/>
          <cell r="J557"/>
          <cell r="K557"/>
          <cell r="L557"/>
          <cell r="N557"/>
          <cell r="O557"/>
          <cell r="P557"/>
        </row>
        <row r="558">
          <cell r="A558"/>
          <cell r="B558"/>
          <cell r="C558"/>
          <cell r="E558"/>
          <cell r="F558"/>
          <cell r="G558"/>
          <cell r="J558"/>
          <cell r="K558"/>
          <cell r="L558"/>
          <cell r="N558"/>
          <cell r="O558"/>
          <cell r="P558"/>
        </row>
        <row r="559">
          <cell r="A559"/>
          <cell r="B559"/>
          <cell r="C559"/>
          <cell r="E559"/>
          <cell r="F559"/>
          <cell r="G559"/>
          <cell r="J559"/>
          <cell r="K559"/>
          <cell r="L559"/>
          <cell r="N559"/>
          <cell r="O559"/>
          <cell r="P559"/>
        </row>
        <row r="560">
          <cell r="A560"/>
          <cell r="B560"/>
          <cell r="C560"/>
          <cell r="E560"/>
          <cell r="F560"/>
          <cell r="G560"/>
          <cell r="J560"/>
          <cell r="K560"/>
          <cell r="L560"/>
          <cell r="N560"/>
          <cell r="O560"/>
          <cell r="P560"/>
        </row>
        <row r="561">
          <cell r="A561"/>
          <cell r="B561"/>
          <cell r="C561"/>
          <cell r="E561"/>
          <cell r="F561"/>
          <cell r="G561"/>
          <cell r="J561"/>
          <cell r="K561"/>
          <cell r="L561"/>
          <cell r="N561"/>
          <cell r="O561"/>
          <cell r="P561"/>
        </row>
        <row r="562">
          <cell r="A562"/>
          <cell r="B562"/>
          <cell r="C562"/>
          <cell r="E562"/>
          <cell r="F562"/>
          <cell r="G562"/>
          <cell r="J562"/>
          <cell r="K562"/>
          <cell r="L562"/>
          <cell r="N562"/>
          <cell r="O562"/>
          <cell r="P562"/>
        </row>
        <row r="563">
          <cell r="A563"/>
          <cell r="B563"/>
          <cell r="C563"/>
          <cell r="E563"/>
          <cell r="F563"/>
          <cell r="G563"/>
          <cell r="J563"/>
          <cell r="K563"/>
          <cell r="L563"/>
          <cell r="N563"/>
          <cell r="O563"/>
          <cell r="P563"/>
        </row>
        <row r="564">
          <cell r="A564"/>
          <cell r="B564"/>
          <cell r="C564"/>
          <cell r="E564"/>
          <cell r="F564"/>
          <cell r="G564"/>
          <cell r="J564"/>
          <cell r="K564"/>
          <cell r="L564"/>
          <cell r="N564"/>
          <cell r="O564"/>
          <cell r="P564"/>
        </row>
        <row r="565">
          <cell r="A565"/>
          <cell r="B565"/>
          <cell r="C565"/>
          <cell r="E565"/>
          <cell r="F565"/>
          <cell r="G565"/>
          <cell r="J565"/>
          <cell r="K565"/>
          <cell r="L565"/>
          <cell r="N565"/>
          <cell r="O565"/>
          <cell r="P565"/>
        </row>
        <row r="566">
          <cell r="A566"/>
          <cell r="B566"/>
          <cell r="C566"/>
          <cell r="E566"/>
          <cell r="F566"/>
          <cell r="G566"/>
          <cell r="J566"/>
          <cell r="K566"/>
          <cell r="L566"/>
          <cell r="N566"/>
          <cell r="O566"/>
          <cell r="P566"/>
        </row>
        <row r="567">
          <cell r="A567"/>
          <cell r="B567"/>
          <cell r="C567"/>
          <cell r="E567"/>
          <cell r="F567"/>
          <cell r="G567"/>
          <cell r="J567"/>
          <cell r="K567"/>
          <cell r="L567"/>
          <cell r="N567"/>
          <cell r="O567"/>
          <cell r="P567"/>
        </row>
        <row r="568">
          <cell r="A568"/>
          <cell r="B568"/>
          <cell r="C568"/>
          <cell r="E568"/>
          <cell r="F568"/>
          <cell r="G568"/>
          <cell r="J568"/>
          <cell r="K568"/>
          <cell r="L568"/>
          <cell r="N568"/>
          <cell r="O568"/>
          <cell r="P568"/>
        </row>
        <row r="569">
          <cell r="A569"/>
          <cell r="B569"/>
          <cell r="C569"/>
          <cell r="E569"/>
          <cell r="F569"/>
          <cell r="G569"/>
          <cell r="J569"/>
          <cell r="K569"/>
          <cell r="L569"/>
          <cell r="N569"/>
          <cell r="O569"/>
          <cell r="P569"/>
        </row>
        <row r="570">
          <cell r="A570"/>
          <cell r="B570"/>
          <cell r="C570"/>
          <cell r="E570"/>
          <cell r="F570"/>
          <cell r="G570"/>
          <cell r="J570"/>
          <cell r="K570"/>
          <cell r="L570"/>
          <cell r="N570"/>
          <cell r="O570"/>
          <cell r="P570"/>
        </row>
        <row r="571">
          <cell r="A571"/>
          <cell r="B571"/>
          <cell r="C571"/>
          <cell r="E571"/>
          <cell r="F571"/>
          <cell r="G571"/>
          <cell r="J571"/>
          <cell r="K571"/>
          <cell r="L571"/>
          <cell r="N571"/>
          <cell r="O571"/>
          <cell r="P571"/>
        </row>
        <row r="572">
          <cell r="A572"/>
          <cell r="B572"/>
          <cell r="C572"/>
          <cell r="E572"/>
          <cell r="F572"/>
          <cell r="G572"/>
          <cell r="J572"/>
          <cell r="K572"/>
          <cell r="L572"/>
          <cell r="N572"/>
          <cell r="O572"/>
          <cell r="P572"/>
        </row>
        <row r="573">
          <cell r="A573"/>
          <cell r="B573"/>
          <cell r="C573"/>
          <cell r="E573"/>
          <cell r="F573"/>
          <cell r="G573"/>
          <cell r="J573"/>
          <cell r="K573"/>
          <cell r="L573"/>
          <cell r="N573"/>
          <cell r="O573"/>
          <cell r="P573"/>
        </row>
        <row r="574">
          <cell r="A574"/>
          <cell r="B574"/>
          <cell r="C574"/>
          <cell r="E574"/>
          <cell r="F574"/>
          <cell r="G574"/>
          <cell r="J574"/>
          <cell r="K574"/>
          <cell r="L574"/>
          <cell r="N574"/>
          <cell r="O574"/>
          <cell r="P574"/>
        </row>
        <row r="575">
          <cell r="A575"/>
          <cell r="B575"/>
          <cell r="C575"/>
          <cell r="E575"/>
          <cell r="F575"/>
          <cell r="G575"/>
          <cell r="J575"/>
          <cell r="K575"/>
          <cell r="L575"/>
          <cell r="N575"/>
          <cell r="O575"/>
          <cell r="P575"/>
        </row>
        <row r="576">
          <cell r="A576"/>
          <cell r="B576"/>
          <cell r="C576"/>
          <cell r="E576"/>
          <cell r="F576"/>
          <cell r="G576"/>
          <cell r="J576"/>
          <cell r="K576"/>
          <cell r="L576"/>
          <cell r="N576"/>
          <cell r="O576"/>
          <cell r="P576"/>
        </row>
        <row r="577">
          <cell r="A577"/>
          <cell r="B577"/>
          <cell r="C577"/>
          <cell r="E577"/>
          <cell r="F577"/>
          <cell r="G577"/>
          <cell r="J577"/>
          <cell r="K577"/>
          <cell r="L577"/>
          <cell r="N577"/>
          <cell r="O577"/>
          <cell r="P577"/>
        </row>
        <row r="578">
          <cell r="A578"/>
          <cell r="B578"/>
          <cell r="C578"/>
          <cell r="E578"/>
          <cell r="F578"/>
          <cell r="G578"/>
          <cell r="J578"/>
          <cell r="K578"/>
          <cell r="L578"/>
          <cell r="N578"/>
          <cell r="O578"/>
          <cell r="P578"/>
        </row>
        <row r="579">
          <cell r="A579"/>
          <cell r="B579"/>
          <cell r="C579"/>
          <cell r="E579"/>
          <cell r="F579"/>
          <cell r="G579"/>
          <cell r="J579"/>
          <cell r="K579"/>
          <cell r="L579"/>
          <cell r="N579"/>
          <cell r="O579"/>
          <cell r="P579"/>
        </row>
        <row r="580">
          <cell r="A580"/>
          <cell r="B580"/>
          <cell r="C580"/>
          <cell r="E580"/>
          <cell r="F580"/>
          <cell r="G580"/>
          <cell r="J580"/>
          <cell r="K580"/>
          <cell r="L580"/>
          <cell r="N580"/>
          <cell r="O580"/>
          <cell r="P580"/>
        </row>
        <row r="581">
          <cell r="A581"/>
          <cell r="B581"/>
          <cell r="C581"/>
          <cell r="E581"/>
          <cell r="F581"/>
          <cell r="G581"/>
          <cell r="J581"/>
          <cell r="K581"/>
          <cell r="L581"/>
          <cell r="N581"/>
          <cell r="O581"/>
          <cell r="P581"/>
        </row>
        <row r="582">
          <cell r="A582"/>
          <cell r="B582"/>
          <cell r="C582"/>
          <cell r="E582"/>
          <cell r="F582"/>
          <cell r="G582"/>
          <cell r="J582"/>
          <cell r="K582"/>
          <cell r="L582"/>
          <cell r="N582"/>
          <cell r="O582"/>
          <cell r="P582"/>
        </row>
        <row r="583">
          <cell r="A583"/>
          <cell r="B583"/>
          <cell r="C583"/>
          <cell r="E583"/>
          <cell r="F583"/>
          <cell r="G583"/>
          <cell r="J583"/>
          <cell r="K583"/>
          <cell r="L583"/>
          <cell r="N583"/>
          <cell r="O583"/>
          <cell r="P583"/>
        </row>
        <row r="584">
          <cell r="A584"/>
          <cell r="B584"/>
          <cell r="C584"/>
          <cell r="E584"/>
          <cell r="F584"/>
          <cell r="G584"/>
          <cell r="J584"/>
          <cell r="K584"/>
          <cell r="L584"/>
          <cell r="N584"/>
          <cell r="O584"/>
          <cell r="P584"/>
        </row>
        <row r="585">
          <cell r="A585"/>
          <cell r="B585"/>
          <cell r="C585"/>
          <cell r="E585"/>
          <cell r="F585"/>
          <cell r="G585"/>
          <cell r="J585"/>
          <cell r="K585"/>
          <cell r="L585"/>
          <cell r="N585"/>
          <cell r="O585"/>
          <cell r="P585"/>
        </row>
        <row r="586">
          <cell r="A586"/>
          <cell r="B586"/>
          <cell r="C586"/>
          <cell r="E586"/>
          <cell r="F586"/>
          <cell r="G586"/>
          <cell r="J586"/>
          <cell r="K586"/>
          <cell r="L586"/>
          <cell r="N586"/>
          <cell r="O586"/>
          <cell r="P586"/>
        </row>
        <row r="587">
          <cell r="A587"/>
          <cell r="B587"/>
          <cell r="C587"/>
          <cell r="E587"/>
          <cell r="F587"/>
          <cell r="G587"/>
          <cell r="J587"/>
          <cell r="K587"/>
          <cell r="L587"/>
          <cell r="N587"/>
          <cell r="O587"/>
          <cell r="P587"/>
        </row>
        <row r="588">
          <cell r="A588"/>
          <cell r="B588"/>
          <cell r="C588"/>
          <cell r="E588"/>
          <cell r="F588"/>
          <cell r="G588"/>
          <cell r="J588"/>
          <cell r="K588"/>
          <cell r="L588"/>
          <cell r="N588"/>
          <cell r="O588"/>
          <cell r="P588"/>
        </row>
        <row r="589">
          <cell r="A589"/>
          <cell r="B589"/>
          <cell r="C589"/>
          <cell r="E589"/>
          <cell r="F589"/>
          <cell r="G589"/>
          <cell r="J589"/>
          <cell r="K589"/>
          <cell r="L589"/>
          <cell r="N589"/>
          <cell r="O589"/>
          <cell r="P589"/>
        </row>
        <row r="590">
          <cell r="A590"/>
          <cell r="B590"/>
          <cell r="C590"/>
          <cell r="E590"/>
          <cell r="F590"/>
          <cell r="G590"/>
          <cell r="J590"/>
          <cell r="K590"/>
          <cell r="L590"/>
          <cell r="N590"/>
          <cell r="O590"/>
          <cell r="P590"/>
        </row>
        <row r="591">
          <cell r="A591"/>
          <cell r="B591"/>
          <cell r="C591"/>
          <cell r="E591"/>
          <cell r="F591"/>
          <cell r="G591"/>
          <cell r="J591"/>
          <cell r="K591"/>
          <cell r="L591"/>
          <cell r="N591"/>
          <cell r="O591"/>
          <cell r="P591"/>
        </row>
        <row r="592">
          <cell r="A592"/>
          <cell r="B592"/>
          <cell r="C592"/>
          <cell r="E592"/>
          <cell r="F592"/>
          <cell r="G592"/>
          <cell r="J592"/>
          <cell r="K592"/>
          <cell r="L592"/>
          <cell r="N592"/>
          <cell r="O592"/>
          <cell r="P592"/>
        </row>
        <row r="593">
          <cell r="A593"/>
          <cell r="B593"/>
          <cell r="C593"/>
          <cell r="E593"/>
          <cell r="F593"/>
          <cell r="G593"/>
          <cell r="J593"/>
          <cell r="K593"/>
          <cell r="L593"/>
          <cell r="N593"/>
          <cell r="O593"/>
          <cell r="P593"/>
        </row>
        <row r="594">
          <cell r="A594"/>
          <cell r="B594"/>
          <cell r="C594"/>
          <cell r="E594"/>
          <cell r="F594"/>
          <cell r="G594"/>
          <cell r="J594"/>
          <cell r="K594"/>
          <cell r="L594"/>
          <cell r="N594"/>
          <cell r="O594"/>
          <cell r="P594"/>
        </row>
        <row r="595">
          <cell r="A595"/>
          <cell r="B595"/>
          <cell r="C595"/>
          <cell r="E595"/>
          <cell r="F595"/>
          <cell r="G595"/>
          <cell r="J595"/>
          <cell r="K595"/>
          <cell r="L595"/>
          <cell r="N595"/>
          <cell r="O595"/>
          <cell r="P595"/>
        </row>
        <row r="596">
          <cell r="A596"/>
          <cell r="B596"/>
          <cell r="C596"/>
          <cell r="E596"/>
          <cell r="F596"/>
          <cell r="G596"/>
          <cell r="J596"/>
          <cell r="K596"/>
          <cell r="L596"/>
          <cell r="N596"/>
          <cell r="O596"/>
          <cell r="P596"/>
        </row>
        <row r="597">
          <cell r="A597"/>
          <cell r="B597"/>
          <cell r="C597"/>
          <cell r="E597"/>
          <cell r="F597"/>
          <cell r="G597"/>
          <cell r="J597"/>
          <cell r="K597"/>
          <cell r="L597"/>
          <cell r="N597"/>
          <cell r="O597"/>
          <cell r="P597"/>
        </row>
        <row r="598">
          <cell r="A598"/>
          <cell r="B598"/>
          <cell r="C598"/>
          <cell r="E598"/>
          <cell r="F598"/>
          <cell r="G598"/>
          <cell r="J598"/>
          <cell r="K598"/>
          <cell r="L598"/>
          <cell r="N598"/>
          <cell r="O598"/>
          <cell r="P598"/>
        </row>
        <row r="599">
          <cell r="A599"/>
          <cell r="B599"/>
          <cell r="C599"/>
          <cell r="E599"/>
          <cell r="F599"/>
          <cell r="G599"/>
          <cell r="J599"/>
          <cell r="K599"/>
          <cell r="L599"/>
          <cell r="N599"/>
          <cell r="O599"/>
          <cell r="P599"/>
        </row>
        <row r="600">
          <cell r="A600"/>
          <cell r="B600"/>
          <cell r="C600"/>
          <cell r="E600"/>
          <cell r="F600"/>
          <cell r="G600"/>
          <cell r="J600"/>
          <cell r="K600"/>
          <cell r="L600"/>
          <cell r="N600"/>
          <cell r="O600"/>
          <cell r="P600"/>
        </row>
        <row r="601">
          <cell r="A601"/>
          <cell r="B601"/>
          <cell r="C601"/>
          <cell r="E601"/>
          <cell r="F601"/>
          <cell r="G601"/>
          <cell r="J601"/>
          <cell r="K601"/>
          <cell r="L601"/>
          <cell r="N601"/>
          <cell r="O601"/>
          <cell r="P601"/>
        </row>
        <row r="602">
          <cell r="A602"/>
          <cell r="B602"/>
          <cell r="C602"/>
          <cell r="E602"/>
          <cell r="F602"/>
          <cell r="G602"/>
          <cell r="J602"/>
          <cell r="K602"/>
          <cell r="L602"/>
          <cell r="N602"/>
          <cell r="O602"/>
          <cell r="P602"/>
        </row>
        <row r="603">
          <cell r="A603"/>
          <cell r="B603"/>
          <cell r="C603"/>
          <cell r="E603"/>
          <cell r="F603"/>
          <cell r="G603"/>
          <cell r="J603"/>
          <cell r="K603"/>
          <cell r="L603"/>
          <cell r="N603"/>
          <cell r="O603"/>
          <cell r="P603"/>
        </row>
        <row r="604">
          <cell r="A604"/>
          <cell r="B604"/>
          <cell r="C604"/>
          <cell r="E604"/>
          <cell r="F604"/>
          <cell r="G604"/>
          <cell r="J604"/>
          <cell r="K604"/>
          <cell r="L604"/>
          <cell r="N604"/>
          <cell r="O604"/>
          <cell r="P604"/>
        </row>
        <row r="605">
          <cell r="A605"/>
          <cell r="B605"/>
          <cell r="C605"/>
          <cell r="E605"/>
          <cell r="F605"/>
          <cell r="G605"/>
          <cell r="J605"/>
          <cell r="K605"/>
          <cell r="L605"/>
          <cell r="N605"/>
          <cell r="O605"/>
          <cell r="P605"/>
        </row>
        <row r="606">
          <cell r="A606"/>
          <cell r="B606"/>
          <cell r="C606"/>
          <cell r="E606"/>
          <cell r="F606"/>
          <cell r="G606"/>
          <cell r="J606"/>
          <cell r="K606"/>
          <cell r="L606"/>
          <cell r="N606"/>
          <cell r="O606"/>
          <cell r="P606"/>
        </row>
        <row r="607">
          <cell r="A607"/>
          <cell r="B607"/>
          <cell r="C607"/>
          <cell r="E607"/>
          <cell r="F607"/>
          <cell r="G607"/>
          <cell r="J607"/>
          <cell r="K607"/>
          <cell r="L607"/>
          <cell r="N607"/>
          <cell r="O607"/>
          <cell r="P607"/>
        </row>
        <row r="608">
          <cell r="A608"/>
          <cell r="B608"/>
          <cell r="C608"/>
          <cell r="E608"/>
          <cell r="F608"/>
          <cell r="G608"/>
          <cell r="J608"/>
          <cell r="K608"/>
          <cell r="L608"/>
          <cell r="N608"/>
          <cell r="O608"/>
          <cell r="P608"/>
        </row>
        <row r="609">
          <cell r="A609"/>
          <cell r="B609"/>
          <cell r="C609"/>
          <cell r="E609"/>
          <cell r="F609"/>
          <cell r="G609"/>
          <cell r="J609"/>
          <cell r="K609"/>
          <cell r="L609"/>
          <cell r="N609"/>
          <cell r="O609"/>
          <cell r="P609"/>
        </row>
        <row r="610">
          <cell r="A610"/>
          <cell r="B610"/>
          <cell r="C610"/>
          <cell r="E610"/>
          <cell r="F610"/>
          <cell r="G610"/>
          <cell r="J610"/>
          <cell r="K610"/>
          <cell r="L610"/>
          <cell r="N610"/>
          <cell r="O610"/>
          <cell r="P610"/>
        </row>
        <row r="611">
          <cell r="A611"/>
          <cell r="B611"/>
          <cell r="C611"/>
          <cell r="E611"/>
          <cell r="F611"/>
          <cell r="G611"/>
          <cell r="J611"/>
          <cell r="K611"/>
          <cell r="L611"/>
          <cell r="N611"/>
          <cell r="O611"/>
          <cell r="P611"/>
        </row>
        <row r="612">
          <cell r="A612"/>
          <cell r="B612"/>
          <cell r="C612"/>
          <cell r="E612"/>
          <cell r="F612"/>
          <cell r="G612"/>
          <cell r="J612"/>
          <cell r="K612"/>
          <cell r="L612"/>
          <cell r="N612"/>
          <cell r="O612"/>
          <cell r="P612"/>
        </row>
        <row r="613">
          <cell r="A613"/>
          <cell r="B613"/>
          <cell r="C613"/>
          <cell r="E613"/>
          <cell r="F613"/>
          <cell r="G613"/>
          <cell r="J613"/>
          <cell r="K613"/>
          <cell r="L613"/>
          <cell r="N613"/>
          <cell r="O613"/>
          <cell r="P613"/>
        </row>
        <row r="614">
          <cell r="A614"/>
          <cell r="B614"/>
          <cell r="C614"/>
          <cell r="E614"/>
          <cell r="F614"/>
          <cell r="G614"/>
          <cell r="J614"/>
          <cell r="K614"/>
          <cell r="L614"/>
          <cell r="N614"/>
          <cell r="O614"/>
          <cell r="P614"/>
        </row>
        <row r="615">
          <cell r="A615"/>
          <cell r="B615"/>
          <cell r="C615"/>
          <cell r="E615"/>
          <cell r="F615"/>
          <cell r="G615"/>
          <cell r="J615"/>
          <cell r="K615"/>
          <cell r="L615"/>
          <cell r="N615"/>
          <cell r="O615"/>
          <cell r="P615"/>
        </row>
        <row r="616">
          <cell r="A616"/>
          <cell r="B616"/>
          <cell r="C616"/>
          <cell r="E616"/>
          <cell r="F616"/>
          <cell r="G616"/>
          <cell r="J616"/>
          <cell r="K616"/>
          <cell r="L616"/>
          <cell r="N616"/>
          <cell r="O616"/>
          <cell r="P616"/>
        </row>
        <row r="617">
          <cell r="A617"/>
          <cell r="B617"/>
          <cell r="C617"/>
          <cell r="E617"/>
          <cell r="F617"/>
          <cell r="G617"/>
          <cell r="J617"/>
          <cell r="K617"/>
          <cell r="L617"/>
          <cell r="N617"/>
          <cell r="O617"/>
          <cell r="P617"/>
        </row>
        <row r="618">
          <cell r="A618"/>
          <cell r="B618"/>
          <cell r="C618"/>
          <cell r="E618"/>
          <cell r="F618"/>
          <cell r="G618"/>
          <cell r="J618"/>
          <cell r="K618"/>
          <cell r="L618"/>
          <cell r="N618"/>
          <cell r="O618"/>
          <cell r="P618"/>
        </row>
        <row r="619">
          <cell r="A619"/>
          <cell r="B619"/>
          <cell r="C619"/>
          <cell r="E619"/>
          <cell r="F619"/>
          <cell r="G619"/>
          <cell r="J619"/>
          <cell r="K619"/>
          <cell r="L619"/>
          <cell r="N619"/>
          <cell r="O619"/>
          <cell r="P619"/>
        </row>
        <row r="620">
          <cell r="A620"/>
          <cell r="B620"/>
          <cell r="C620"/>
          <cell r="E620"/>
          <cell r="F620"/>
          <cell r="G620"/>
          <cell r="J620"/>
          <cell r="K620"/>
          <cell r="L620"/>
          <cell r="N620"/>
          <cell r="O620"/>
          <cell r="P620"/>
        </row>
        <row r="621">
          <cell r="A621"/>
          <cell r="B621"/>
          <cell r="C621"/>
          <cell r="E621"/>
          <cell r="F621"/>
          <cell r="G621"/>
          <cell r="J621"/>
          <cell r="K621"/>
          <cell r="L621"/>
          <cell r="N621"/>
          <cell r="O621"/>
          <cell r="P621"/>
        </row>
        <row r="622">
          <cell r="A622"/>
          <cell r="B622"/>
          <cell r="C622"/>
          <cell r="E622"/>
          <cell r="F622"/>
          <cell r="G622"/>
          <cell r="J622"/>
          <cell r="K622"/>
          <cell r="L622"/>
          <cell r="N622"/>
          <cell r="O622"/>
          <cell r="P622"/>
        </row>
        <row r="623">
          <cell r="A623"/>
          <cell r="B623"/>
          <cell r="C623"/>
          <cell r="E623"/>
          <cell r="F623"/>
          <cell r="G623"/>
          <cell r="J623"/>
          <cell r="K623"/>
          <cell r="L623"/>
          <cell r="N623"/>
          <cell r="O623"/>
          <cell r="P623"/>
        </row>
        <row r="624">
          <cell r="A624"/>
          <cell r="B624"/>
          <cell r="C624"/>
          <cell r="E624"/>
          <cell r="F624"/>
          <cell r="G624"/>
          <cell r="J624"/>
          <cell r="K624"/>
          <cell r="L624"/>
          <cell r="N624"/>
          <cell r="O624"/>
          <cell r="P624"/>
        </row>
        <row r="625">
          <cell r="A625"/>
          <cell r="B625"/>
          <cell r="C625"/>
          <cell r="E625"/>
          <cell r="F625"/>
          <cell r="G625"/>
          <cell r="J625"/>
          <cell r="K625"/>
          <cell r="L625"/>
          <cell r="N625"/>
          <cell r="O625"/>
          <cell r="P625"/>
        </row>
        <row r="626">
          <cell r="A626"/>
          <cell r="B626"/>
          <cell r="C626"/>
          <cell r="E626"/>
          <cell r="F626"/>
          <cell r="G626"/>
          <cell r="J626"/>
          <cell r="K626"/>
          <cell r="L626"/>
          <cell r="N626"/>
          <cell r="O626"/>
          <cell r="P626"/>
        </row>
        <row r="627">
          <cell r="A627"/>
          <cell r="B627"/>
          <cell r="C627"/>
          <cell r="E627"/>
          <cell r="F627"/>
          <cell r="G627"/>
          <cell r="J627"/>
          <cell r="K627"/>
          <cell r="L627"/>
          <cell r="N627"/>
          <cell r="O627"/>
          <cell r="P627"/>
        </row>
        <row r="628">
          <cell r="A628"/>
          <cell r="B628"/>
          <cell r="C628"/>
          <cell r="E628"/>
          <cell r="F628"/>
          <cell r="G628"/>
          <cell r="J628"/>
          <cell r="K628"/>
          <cell r="L628"/>
          <cell r="N628"/>
          <cell r="O628"/>
          <cell r="P628"/>
        </row>
        <row r="629">
          <cell r="A629"/>
          <cell r="B629"/>
          <cell r="C629"/>
          <cell r="E629"/>
          <cell r="F629"/>
          <cell r="G629"/>
          <cell r="J629"/>
          <cell r="K629"/>
          <cell r="L629"/>
          <cell r="N629"/>
          <cell r="O629"/>
          <cell r="P629"/>
        </row>
        <row r="630">
          <cell r="A630"/>
          <cell r="B630"/>
          <cell r="C630"/>
          <cell r="E630"/>
          <cell r="F630"/>
          <cell r="G630"/>
          <cell r="J630"/>
          <cell r="K630"/>
          <cell r="L630"/>
          <cell r="N630"/>
          <cell r="O630"/>
          <cell r="P630"/>
        </row>
        <row r="631">
          <cell r="A631"/>
          <cell r="B631"/>
          <cell r="C631"/>
          <cell r="E631"/>
          <cell r="F631"/>
          <cell r="G631"/>
          <cell r="J631"/>
          <cell r="K631"/>
          <cell r="L631"/>
          <cell r="N631"/>
          <cell r="O631"/>
          <cell r="P631"/>
        </row>
        <row r="632">
          <cell r="A632"/>
          <cell r="B632"/>
          <cell r="C632"/>
          <cell r="E632"/>
          <cell r="F632"/>
          <cell r="G632"/>
          <cell r="J632"/>
          <cell r="K632"/>
          <cell r="L632"/>
          <cell r="N632"/>
          <cell r="O632"/>
          <cell r="P632"/>
        </row>
        <row r="633">
          <cell r="A633"/>
          <cell r="B633"/>
          <cell r="C633"/>
          <cell r="E633"/>
          <cell r="F633"/>
          <cell r="G633"/>
          <cell r="J633"/>
          <cell r="K633"/>
          <cell r="L633"/>
          <cell r="N633"/>
          <cell r="O633"/>
          <cell r="P633"/>
        </row>
        <row r="634">
          <cell r="A634"/>
          <cell r="B634"/>
          <cell r="C634"/>
          <cell r="E634"/>
          <cell r="F634"/>
          <cell r="G634"/>
          <cell r="J634"/>
          <cell r="K634"/>
          <cell r="L634"/>
          <cell r="N634"/>
          <cell r="O634"/>
          <cell r="P634"/>
        </row>
        <row r="635">
          <cell r="A635"/>
          <cell r="B635"/>
          <cell r="C635"/>
          <cell r="E635"/>
          <cell r="F635"/>
          <cell r="G635"/>
          <cell r="J635"/>
          <cell r="K635"/>
          <cell r="L635"/>
          <cell r="N635"/>
          <cell r="O635"/>
          <cell r="P635"/>
        </row>
        <row r="636">
          <cell r="A636"/>
          <cell r="B636"/>
          <cell r="C636"/>
          <cell r="E636"/>
          <cell r="F636"/>
          <cell r="G636"/>
          <cell r="J636"/>
          <cell r="K636"/>
          <cell r="L636"/>
          <cell r="N636"/>
          <cell r="O636"/>
          <cell r="P636"/>
        </row>
        <row r="637">
          <cell r="A637"/>
          <cell r="B637"/>
          <cell r="C637"/>
          <cell r="E637"/>
          <cell r="F637"/>
          <cell r="G637"/>
          <cell r="J637"/>
          <cell r="K637"/>
          <cell r="L637"/>
          <cell r="N637"/>
          <cell r="O637"/>
          <cell r="P637"/>
        </row>
        <row r="638">
          <cell r="A638"/>
          <cell r="B638"/>
          <cell r="C638"/>
          <cell r="E638"/>
          <cell r="F638"/>
          <cell r="G638"/>
          <cell r="J638"/>
          <cell r="K638"/>
          <cell r="L638"/>
          <cell r="N638"/>
          <cell r="O638"/>
          <cell r="P638"/>
        </row>
        <row r="639">
          <cell r="A639"/>
          <cell r="B639"/>
          <cell r="C639"/>
          <cell r="E639"/>
          <cell r="F639"/>
          <cell r="G639"/>
          <cell r="J639"/>
          <cell r="K639"/>
          <cell r="L639"/>
          <cell r="N639"/>
          <cell r="O639"/>
          <cell r="P639"/>
        </row>
        <row r="640">
          <cell r="A640"/>
          <cell r="B640"/>
          <cell r="C640"/>
          <cell r="E640"/>
          <cell r="F640"/>
          <cell r="G640"/>
          <cell r="J640"/>
          <cell r="K640"/>
          <cell r="L640"/>
          <cell r="N640"/>
          <cell r="O640"/>
          <cell r="P640"/>
        </row>
        <row r="641">
          <cell r="A641"/>
          <cell r="B641"/>
          <cell r="C641"/>
          <cell r="E641"/>
          <cell r="F641"/>
          <cell r="G641"/>
          <cell r="J641"/>
          <cell r="K641"/>
          <cell r="L641"/>
          <cell r="N641"/>
          <cell r="O641"/>
          <cell r="P641"/>
        </row>
        <row r="642">
          <cell r="A642"/>
          <cell r="B642"/>
          <cell r="C642"/>
          <cell r="E642"/>
          <cell r="F642"/>
          <cell r="G642"/>
          <cell r="J642"/>
          <cell r="K642"/>
          <cell r="L642"/>
          <cell r="N642"/>
          <cell r="O642"/>
          <cell r="P642"/>
        </row>
        <row r="643">
          <cell r="A643"/>
          <cell r="B643"/>
          <cell r="C643"/>
          <cell r="E643"/>
          <cell r="F643"/>
          <cell r="G643"/>
          <cell r="J643"/>
          <cell r="K643"/>
          <cell r="L643"/>
          <cell r="N643"/>
          <cell r="O643"/>
          <cell r="P643"/>
        </row>
        <row r="644">
          <cell r="A644"/>
          <cell r="B644"/>
          <cell r="C644"/>
          <cell r="E644"/>
          <cell r="F644"/>
          <cell r="G644"/>
          <cell r="J644"/>
          <cell r="K644"/>
          <cell r="L644"/>
          <cell r="N644"/>
          <cell r="O644"/>
          <cell r="P644"/>
        </row>
        <row r="645">
          <cell r="A645"/>
          <cell r="B645"/>
          <cell r="C645"/>
          <cell r="E645"/>
          <cell r="F645"/>
          <cell r="G645"/>
          <cell r="J645"/>
          <cell r="K645"/>
          <cell r="L645"/>
          <cell r="N645"/>
          <cell r="O645"/>
          <cell r="P645"/>
        </row>
        <row r="646">
          <cell r="A646"/>
          <cell r="B646"/>
          <cell r="C646"/>
          <cell r="E646"/>
          <cell r="F646"/>
          <cell r="G646"/>
          <cell r="J646"/>
          <cell r="K646"/>
          <cell r="L646"/>
          <cell r="N646"/>
          <cell r="O646"/>
          <cell r="P646"/>
        </row>
        <row r="647">
          <cell r="A647"/>
          <cell r="B647"/>
          <cell r="C647"/>
          <cell r="E647"/>
          <cell r="F647"/>
          <cell r="G647"/>
          <cell r="J647"/>
          <cell r="K647"/>
          <cell r="L647"/>
          <cell r="N647"/>
          <cell r="O647"/>
          <cell r="P647"/>
        </row>
        <row r="648">
          <cell r="A648"/>
          <cell r="B648"/>
          <cell r="C648"/>
          <cell r="E648"/>
          <cell r="F648"/>
          <cell r="G648"/>
          <cell r="J648"/>
          <cell r="K648"/>
          <cell r="L648"/>
          <cell r="N648"/>
          <cell r="O648"/>
          <cell r="P648"/>
        </row>
        <row r="649">
          <cell r="A649"/>
          <cell r="B649"/>
          <cell r="C649"/>
          <cell r="E649"/>
          <cell r="F649"/>
          <cell r="G649"/>
          <cell r="J649"/>
          <cell r="K649"/>
          <cell r="L649"/>
          <cell r="N649"/>
          <cell r="O649"/>
          <cell r="P649"/>
        </row>
        <row r="650">
          <cell r="A650"/>
          <cell r="B650"/>
          <cell r="C650"/>
          <cell r="E650"/>
          <cell r="F650"/>
          <cell r="G650"/>
          <cell r="J650"/>
          <cell r="K650"/>
          <cell r="L650"/>
          <cell r="N650"/>
          <cell r="O650"/>
          <cell r="P650"/>
        </row>
        <row r="651">
          <cell r="A651"/>
          <cell r="B651"/>
          <cell r="C651"/>
          <cell r="E651"/>
          <cell r="F651"/>
          <cell r="G651"/>
          <cell r="J651"/>
          <cell r="K651"/>
          <cell r="L651"/>
          <cell r="N651"/>
          <cell r="O651"/>
          <cell r="P651"/>
        </row>
        <row r="652">
          <cell r="A652"/>
          <cell r="B652"/>
          <cell r="C652"/>
          <cell r="E652"/>
          <cell r="F652"/>
          <cell r="G652"/>
          <cell r="J652"/>
          <cell r="K652"/>
          <cell r="L652"/>
          <cell r="N652"/>
          <cell r="O652"/>
          <cell r="P652"/>
        </row>
        <row r="653">
          <cell r="A653"/>
          <cell r="B653"/>
          <cell r="C653"/>
          <cell r="E653"/>
          <cell r="F653"/>
          <cell r="G653"/>
          <cell r="J653"/>
          <cell r="K653"/>
          <cell r="L653"/>
          <cell r="N653"/>
          <cell r="O653"/>
          <cell r="P653"/>
        </row>
        <row r="654">
          <cell r="A654"/>
          <cell r="B654"/>
          <cell r="C654"/>
          <cell r="E654"/>
          <cell r="F654"/>
          <cell r="G654"/>
          <cell r="J654"/>
          <cell r="K654"/>
          <cell r="L654"/>
          <cell r="N654"/>
          <cell r="O654"/>
          <cell r="P654"/>
        </row>
        <row r="655">
          <cell r="A655"/>
          <cell r="B655"/>
          <cell r="C655"/>
          <cell r="E655"/>
          <cell r="F655"/>
          <cell r="G655"/>
          <cell r="J655"/>
          <cell r="K655"/>
          <cell r="L655"/>
          <cell r="N655"/>
          <cell r="O655"/>
          <cell r="P655"/>
        </row>
        <row r="656">
          <cell r="A656"/>
          <cell r="B656"/>
          <cell r="C656"/>
          <cell r="E656"/>
          <cell r="F656"/>
          <cell r="G656"/>
          <cell r="J656"/>
          <cell r="K656"/>
          <cell r="L656"/>
          <cell r="N656"/>
          <cell r="O656"/>
          <cell r="P656"/>
        </row>
        <row r="657">
          <cell r="A657"/>
          <cell r="B657"/>
          <cell r="C657"/>
          <cell r="E657"/>
          <cell r="F657"/>
          <cell r="G657"/>
          <cell r="J657"/>
          <cell r="K657"/>
          <cell r="L657"/>
          <cell r="N657"/>
          <cell r="O657"/>
          <cell r="P657"/>
        </row>
        <row r="658">
          <cell r="A658"/>
          <cell r="B658"/>
          <cell r="C658"/>
          <cell r="E658"/>
          <cell r="F658"/>
          <cell r="G658"/>
          <cell r="J658"/>
          <cell r="K658"/>
          <cell r="L658"/>
          <cell r="N658"/>
          <cell r="O658"/>
          <cell r="P658"/>
        </row>
        <row r="659">
          <cell r="A659"/>
          <cell r="B659"/>
          <cell r="C659"/>
          <cell r="E659"/>
          <cell r="F659"/>
          <cell r="G659"/>
          <cell r="J659"/>
          <cell r="K659"/>
          <cell r="L659"/>
          <cell r="N659"/>
          <cell r="O659"/>
          <cell r="P659"/>
        </row>
        <row r="660">
          <cell r="A660"/>
          <cell r="B660"/>
          <cell r="C660"/>
          <cell r="E660"/>
          <cell r="F660"/>
          <cell r="G660"/>
          <cell r="J660"/>
          <cell r="K660"/>
          <cell r="L660"/>
          <cell r="N660"/>
          <cell r="O660"/>
          <cell r="P660"/>
        </row>
        <row r="661">
          <cell r="A661"/>
          <cell r="B661"/>
          <cell r="C661"/>
          <cell r="E661"/>
          <cell r="F661"/>
          <cell r="G661"/>
          <cell r="J661"/>
          <cell r="K661"/>
          <cell r="L661"/>
          <cell r="N661"/>
          <cell r="O661"/>
          <cell r="P661"/>
        </row>
        <row r="662">
          <cell r="A662"/>
          <cell r="B662"/>
          <cell r="C662"/>
          <cell r="E662"/>
          <cell r="F662"/>
          <cell r="G662"/>
          <cell r="J662"/>
          <cell r="K662"/>
          <cell r="L662"/>
          <cell r="N662"/>
          <cell r="O662"/>
          <cell r="P662"/>
        </row>
        <row r="663">
          <cell r="A663"/>
          <cell r="B663"/>
          <cell r="C663"/>
          <cell r="E663"/>
          <cell r="F663"/>
          <cell r="G663"/>
          <cell r="J663"/>
          <cell r="K663"/>
          <cell r="L663"/>
          <cell r="N663"/>
          <cell r="O663"/>
          <cell r="P663"/>
        </row>
        <row r="664">
          <cell r="A664"/>
          <cell r="B664"/>
          <cell r="C664"/>
          <cell r="E664"/>
          <cell r="F664"/>
          <cell r="G664"/>
          <cell r="J664"/>
          <cell r="K664"/>
          <cell r="L664"/>
          <cell r="N664"/>
          <cell r="O664"/>
          <cell r="P664"/>
        </row>
        <row r="665">
          <cell r="A665"/>
          <cell r="B665"/>
          <cell r="C665"/>
          <cell r="E665"/>
          <cell r="F665"/>
          <cell r="G665"/>
          <cell r="J665"/>
          <cell r="K665"/>
          <cell r="L665"/>
          <cell r="N665"/>
          <cell r="O665"/>
          <cell r="P665"/>
        </row>
        <row r="666">
          <cell r="A666"/>
          <cell r="B666"/>
          <cell r="C666"/>
          <cell r="E666"/>
          <cell r="F666"/>
          <cell r="G666"/>
          <cell r="J666"/>
          <cell r="K666"/>
          <cell r="L666"/>
          <cell r="N666"/>
          <cell r="O666"/>
          <cell r="P666"/>
        </row>
        <row r="667">
          <cell r="A667"/>
          <cell r="B667"/>
          <cell r="C667"/>
          <cell r="E667"/>
          <cell r="F667"/>
          <cell r="G667"/>
          <cell r="J667"/>
          <cell r="K667"/>
          <cell r="L667"/>
          <cell r="N667"/>
          <cell r="O667"/>
          <cell r="P667"/>
        </row>
        <row r="668">
          <cell r="A668"/>
          <cell r="B668"/>
          <cell r="C668"/>
          <cell r="E668"/>
          <cell r="F668"/>
          <cell r="G668"/>
          <cell r="J668"/>
          <cell r="K668"/>
          <cell r="L668"/>
          <cell r="N668"/>
          <cell r="O668"/>
          <cell r="P668"/>
        </row>
        <row r="669">
          <cell r="A669"/>
          <cell r="B669"/>
          <cell r="C669"/>
          <cell r="E669"/>
          <cell r="F669"/>
          <cell r="G669"/>
          <cell r="J669"/>
          <cell r="K669"/>
          <cell r="L669"/>
          <cell r="N669"/>
          <cell r="O669"/>
          <cell r="P669"/>
        </row>
        <row r="670">
          <cell r="A670"/>
          <cell r="B670"/>
          <cell r="C670"/>
          <cell r="E670"/>
          <cell r="F670"/>
          <cell r="G670"/>
          <cell r="J670"/>
          <cell r="K670"/>
          <cell r="L670"/>
          <cell r="N670"/>
          <cell r="O670"/>
          <cell r="P670"/>
        </row>
        <row r="671">
          <cell r="A671"/>
          <cell r="B671"/>
          <cell r="C671"/>
          <cell r="E671"/>
          <cell r="F671"/>
          <cell r="G671"/>
          <cell r="J671"/>
          <cell r="K671"/>
          <cell r="L671"/>
          <cell r="N671"/>
          <cell r="O671"/>
          <cell r="P671"/>
        </row>
        <row r="672">
          <cell r="A672"/>
          <cell r="B672"/>
          <cell r="C672"/>
          <cell r="E672"/>
          <cell r="F672"/>
          <cell r="G672"/>
          <cell r="J672"/>
          <cell r="K672"/>
          <cell r="L672"/>
          <cell r="N672"/>
          <cell r="O672"/>
          <cell r="P672"/>
        </row>
        <row r="673">
          <cell r="A673"/>
          <cell r="B673"/>
          <cell r="C673"/>
          <cell r="E673"/>
          <cell r="F673"/>
          <cell r="G673"/>
          <cell r="J673"/>
          <cell r="K673"/>
          <cell r="L673"/>
          <cell r="N673"/>
          <cell r="O673"/>
          <cell r="P673"/>
        </row>
        <row r="674">
          <cell r="A674"/>
          <cell r="B674"/>
          <cell r="C674"/>
          <cell r="E674"/>
          <cell r="F674"/>
          <cell r="G674"/>
          <cell r="J674"/>
          <cell r="K674"/>
          <cell r="L674"/>
          <cell r="N674"/>
          <cell r="O674"/>
          <cell r="P674"/>
        </row>
        <row r="675">
          <cell r="A675"/>
          <cell r="B675"/>
          <cell r="C675"/>
          <cell r="E675"/>
          <cell r="F675"/>
          <cell r="G675"/>
          <cell r="J675"/>
          <cell r="K675"/>
          <cell r="L675"/>
          <cell r="N675"/>
          <cell r="O675"/>
          <cell r="P675"/>
        </row>
        <row r="676">
          <cell r="A676"/>
          <cell r="B676"/>
          <cell r="C676"/>
          <cell r="E676"/>
          <cell r="F676"/>
          <cell r="G676"/>
          <cell r="J676"/>
          <cell r="K676"/>
          <cell r="L676"/>
          <cell r="N676"/>
          <cell r="O676"/>
          <cell r="P676"/>
        </row>
        <row r="677">
          <cell r="A677"/>
          <cell r="B677"/>
          <cell r="C677"/>
          <cell r="E677"/>
          <cell r="F677"/>
          <cell r="G677"/>
          <cell r="J677"/>
          <cell r="K677"/>
          <cell r="L677"/>
          <cell r="N677"/>
          <cell r="O677"/>
          <cell r="P677"/>
        </row>
        <row r="678">
          <cell r="A678"/>
          <cell r="B678"/>
          <cell r="C678"/>
          <cell r="E678"/>
          <cell r="F678"/>
          <cell r="G678"/>
          <cell r="J678"/>
          <cell r="K678"/>
          <cell r="L678"/>
          <cell r="N678"/>
          <cell r="O678"/>
          <cell r="P678"/>
        </row>
        <row r="679">
          <cell r="A679"/>
          <cell r="B679"/>
          <cell r="C679"/>
          <cell r="E679"/>
          <cell r="F679"/>
          <cell r="G679"/>
          <cell r="J679"/>
          <cell r="K679"/>
          <cell r="L679"/>
          <cell r="N679"/>
          <cell r="O679"/>
          <cell r="P679"/>
        </row>
        <row r="680">
          <cell r="A680"/>
          <cell r="B680"/>
          <cell r="C680"/>
          <cell r="E680"/>
          <cell r="F680"/>
          <cell r="G680"/>
          <cell r="J680"/>
          <cell r="K680"/>
          <cell r="L680"/>
          <cell r="N680"/>
          <cell r="O680"/>
          <cell r="P680"/>
        </row>
        <row r="681">
          <cell r="A681"/>
          <cell r="B681"/>
          <cell r="C681"/>
          <cell r="E681"/>
          <cell r="F681"/>
          <cell r="G681"/>
          <cell r="J681"/>
          <cell r="K681"/>
          <cell r="L681"/>
          <cell r="N681"/>
          <cell r="O681"/>
          <cell r="P681"/>
        </row>
        <row r="682">
          <cell r="A682"/>
          <cell r="B682"/>
          <cell r="C682"/>
          <cell r="E682"/>
          <cell r="F682"/>
          <cell r="G682"/>
          <cell r="J682"/>
          <cell r="K682"/>
          <cell r="L682"/>
          <cell r="N682"/>
          <cell r="O682"/>
          <cell r="P682"/>
        </row>
        <row r="683">
          <cell r="A683"/>
          <cell r="B683"/>
          <cell r="C683"/>
          <cell r="E683"/>
          <cell r="F683"/>
          <cell r="G683"/>
          <cell r="J683"/>
          <cell r="K683"/>
          <cell r="L683"/>
          <cell r="N683"/>
          <cell r="O683"/>
          <cell r="P683"/>
        </row>
        <row r="684">
          <cell r="A684"/>
          <cell r="B684"/>
          <cell r="C684"/>
          <cell r="E684"/>
          <cell r="F684"/>
          <cell r="G684"/>
          <cell r="J684"/>
          <cell r="K684"/>
          <cell r="L684"/>
          <cell r="N684"/>
          <cell r="O684"/>
          <cell r="P684"/>
        </row>
        <row r="685">
          <cell r="A685"/>
          <cell r="B685"/>
          <cell r="C685"/>
          <cell r="E685"/>
          <cell r="F685"/>
          <cell r="G685"/>
          <cell r="J685"/>
          <cell r="K685"/>
          <cell r="L685"/>
          <cell r="N685"/>
          <cell r="O685"/>
          <cell r="P685"/>
        </row>
        <row r="686">
          <cell r="A686"/>
          <cell r="B686"/>
          <cell r="C686"/>
          <cell r="E686"/>
          <cell r="F686"/>
          <cell r="G686"/>
          <cell r="J686"/>
          <cell r="K686"/>
          <cell r="L686"/>
          <cell r="N686"/>
          <cell r="O686"/>
          <cell r="P686"/>
        </row>
        <row r="687">
          <cell r="A687"/>
          <cell r="B687"/>
          <cell r="C687"/>
          <cell r="E687"/>
          <cell r="F687"/>
          <cell r="G687"/>
          <cell r="J687"/>
          <cell r="K687"/>
          <cell r="L687"/>
          <cell r="N687"/>
          <cell r="O687"/>
          <cell r="P687"/>
        </row>
        <row r="688">
          <cell r="A688"/>
          <cell r="B688"/>
          <cell r="C688"/>
          <cell r="E688"/>
          <cell r="F688"/>
          <cell r="G688"/>
          <cell r="J688"/>
          <cell r="K688"/>
          <cell r="L688"/>
          <cell r="N688"/>
          <cell r="O688"/>
          <cell r="P688"/>
        </row>
        <row r="689">
          <cell r="A689"/>
          <cell r="B689"/>
          <cell r="C689"/>
          <cell r="E689"/>
          <cell r="F689"/>
          <cell r="G689"/>
          <cell r="J689"/>
          <cell r="K689"/>
          <cell r="L689"/>
          <cell r="N689"/>
          <cell r="O689"/>
          <cell r="P689"/>
        </row>
        <row r="690">
          <cell r="A690"/>
          <cell r="B690"/>
          <cell r="C690"/>
          <cell r="E690"/>
          <cell r="F690"/>
          <cell r="G690"/>
          <cell r="J690"/>
          <cell r="K690"/>
          <cell r="L690"/>
          <cell r="N690"/>
          <cell r="O690"/>
          <cell r="P690"/>
        </row>
        <row r="691">
          <cell r="A691"/>
          <cell r="B691"/>
          <cell r="C691"/>
          <cell r="E691"/>
          <cell r="F691"/>
          <cell r="G691"/>
          <cell r="J691"/>
          <cell r="K691"/>
          <cell r="L691"/>
          <cell r="N691"/>
          <cell r="O691"/>
          <cell r="P691"/>
        </row>
        <row r="692">
          <cell r="A692"/>
          <cell r="B692"/>
          <cell r="C692"/>
          <cell r="E692"/>
          <cell r="F692"/>
          <cell r="G692"/>
          <cell r="J692"/>
          <cell r="K692"/>
          <cell r="L692"/>
          <cell r="N692"/>
          <cell r="O692"/>
          <cell r="P692"/>
        </row>
        <row r="693">
          <cell r="A693"/>
          <cell r="B693"/>
          <cell r="C693"/>
          <cell r="E693"/>
          <cell r="F693"/>
          <cell r="G693"/>
          <cell r="J693"/>
          <cell r="K693"/>
          <cell r="L693"/>
          <cell r="N693"/>
          <cell r="O693"/>
          <cell r="P693"/>
        </row>
        <row r="694">
          <cell r="A694"/>
          <cell r="B694"/>
          <cell r="C694"/>
          <cell r="E694"/>
          <cell r="F694"/>
          <cell r="G694"/>
          <cell r="J694"/>
          <cell r="K694"/>
          <cell r="L694"/>
          <cell r="N694"/>
          <cell r="O694"/>
          <cell r="P694"/>
        </row>
        <row r="695">
          <cell r="A695"/>
          <cell r="B695"/>
          <cell r="C695"/>
          <cell r="E695"/>
          <cell r="F695"/>
          <cell r="G695"/>
          <cell r="J695"/>
          <cell r="K695"/>
          <cell r="L695"/>
          <cell r="N695"/>
          <cell r="O695"/>
          <cell r="P695"/>
        </row>
        <row r="696">
          <cell r="A696"/>
          <cell r="B696"/>
          <cell r="C696"/>
          <cell r="E696"/>
          <cell r="F696"/>
          <cell r="G696"/>
          <cell r="J696"/>
          <cell r="K696"/>
          <cell r="L696"/>
          <cell r="N696"/>
          <cell r="O696"/>
          <cell r="P696"/>
        </row>
        <row r="697">
          <cell r="A697"/>
          <cell r="B697"/>
          <cell r="C697"/>
          <cell r="E697"/>
          <cell r="F697"/>
          <cell r="G697"/>
          <cell r="J697"/>
          <cell r="K697"/>
          <cell r="L697"/>
          <cell r="N697"/>
          <cell r="O697"/>
          <cell r="P697"/>
        </row>
        <row r="698">
          <cell r="A698"/>
          <cell r="B698"/>
          <cell r="C698"/>
          <cell r="E698"/>
          <cell r="F698"/>
          <cell r="G698"/>
          <cell r="J698"/>
          <cell r="K698"/>
          <cell r="L698"/>
          <cell r="N698"/>
          <cell r="O698"/>
          <cell r="P698"/>
        </row>
        <row r="699">
          <cell r="A699"/>
          <cell r="B699"/>
          <cell r="C699"/>
          <cell r="E699"/>
          <cell r="F699"/>
          <cell r="G699"/>
          <cell r="J699"/>
          <cell r="K699"/>
          <cell r="L699"/>
          <cell r="N699"/>
          <cell r="O699"/>
          <cell r="P699"/>
        </row>
        <row r="700">
          <cell r="A700"/>
          <cell r="B700"/>
          <cell r="C700"/>
          <cell r="E700"/>
          <cell r="F700"/>
          <cell r="G700"/>
          <cell r="J700"/>
          <cell r="K700"/>
          <cell r="L700"/>
          <cell r="N700"/>
          <cell r="O700"/>
          <cell r="P700"/>
        </row>
        <row r="701">
          <cell r="A701"/>
          <cell r="B701"/>
          <cell r="C701"/>
          <cell r="E701"/>
          <cell r="F701"/>
          <cell r="G701"/>
          <cell r="J701"/>
          <cell r="K701"/>
          <cell r="L701"/>
          <cell r="N701"/>
          <cell r="O701"/>
          <cell r="P701"/>
        </row>
        <row r="702">
          <cell r="A702"/>
          <cell r="B702"/>
          <cell r="C702"/>
          <cell r="E702"/>
          <cell r="F702"/>
          <cell r="G702"/>
          <cell r="J702"/>
          <cell r="K702"/>
          <cell r="L702"/>
          <cell r="N702"/>
          <cell r="O702"/>
          <cell r="P702"/>
        </row>
        <row r="703">
          <cell r="A703"/>
          <cell r="B703"/>
          <cell r="C703"/>
          <cell r="E703"/>
          <cell r="F703"/>
          <cell r="G703"/>
          <cell r="J703"/>
          <cell r="K703"/>
          <cell r="L703"/>
          <cell r="N703"/>
          <cell r="O703"/>
          <cell r="P703"/>
        </row>
        <row r="704">
          <cell r="A704"/>
          <cell r="B704"/>
          <cell r="C704"/>
          <cell r="E704"/>
          <cell r="F704"/>
          <cell r="G704"/>
          <cell r="J704"/>
          <cell r="K704"/>
          <cell r="L704"/>
          <cell r="N704"/>
          <cell r="O704"/>
          <cell r="P704"/>
        </row>
        <row r="705">
          <cell r="A705"/>
          <cell r="B705"/>
          <cell r="C705"/>
          <cell r="E705"/>
          <cell r="F705"/>
          <cell r="G705"/>
          <cell r="J705"/>
          <cell r="K705"/>
          <cell r="L705"/>
          <cell r="N705"/>
          <cell r="O705"/>
          <cell r="P705"/>
        </row>
        <row r="706">
          <cell r="A706"/>
          <cell r="B706"/>
          <cell r="C706"/>
          <cell r="E706"/>
          <cell r="F706"/>
          <cell r="G706"/>
          <cell r="J706"/>
          <cell r="K706"/>
          <cell r="L706"/>
          <cell r="N706"/>
          <cell r="O706"/>
          <cell r="P706"/>
        </row>
        <row r="707">
          <cell r="A707"/>
          <cell r="B707"/>
          <cell r="C707"/>
          <cell r="E707"/>
          <cell r="F707"/>
          <cell r="G707"/>
          <cell r="J707"/>
          <cell r="K707"/>
          <cell r="L707"/>
          <cell r="N707"/>
          <cell r="O707"/>
          <cell r="P707"/>
        </row>
        <row r="708">
          <cell r="A708"/>
          <cell r="B708"/>
          <cell r="C708"/>
          <cell r="E708"/>
          <cell r="F708"/>
          <cell r="G708"/>
          <cell r="J708"/>
          <cell r="K708"/>
          <cell r="L708"/>
          <cell r="N708"/>
          <cell r="O708"/>
          <cell r="P708"/>
        </row>
        <row r="709">
          <cell r="A709"/>
          <cell r="B709"/>
          <cell r="C709"/>
          <cell r="E709"/>
          <cell r="F709"/>
          <cell r="G709"/>
          <cell r="J709"/>
          <cell r="K709"/>
          <cell r="L709"/>
          <cell r="N709"/>
          <cell r="O709"/>
          <cell r="P709"/>
        </row>
        <row r="710">
          <cell r="A710"/>
          <cell r="B710"/>
          <cell r="C710"/>
          <cell r="E710"/>
          <cell r="F710"/>
          <cell r="G710"/>
          <cell r="J710"/>
          <cell r="K710"/>
          <cell r="L710"/>
          <cell r="N710"/>
          <cell r="O710"/>
          <cell r="P710"/>
        </row>
        <row r="711">
          <cell r="A711"/>
          <cell r="B711"/>
          <cell r="C711"/>
          <cell r="E711"/>
          <cell r="F711"/>
          <cell r="G711"/>
          <cell r="J711"/>
          <cell r="K711"/>
          <cell r="L711"/>
          <cell r="N711"/>
          <cell r="O711"/>
          <cell r="P711"/>
        </row>
        <row r="712">
          <cell r="A712"/>
          <cell r="B712"/>
          <cell r="C712"/>
          <cell r="E712"/>
          <cell r="F712"/>
          <cell r="G712"/>
          <cell r="J712"/>
          <cell r="K712"/>
          <cell r="L712"/>
          <cell r="N712"/>
          <cell r="O712"/>
          <cell r="P712"/>
        </row>
        <row r="713">
          <cell r="A713"/>
          <cell r="B713"/>
          <cell r="C713"/>
          <cell r="E713"/>
          <cell r="F713"/>
          <cell r="G713"/>
          <cell r="J713"/>
          <cell r="K713"/>
          <cell r="L713"/>
          <cell r="N713"/>
          <cell r="O713"/>
          <cell r="P713"/>
        </row>
        <row r="714">
          <cell r="A714"/>
          <cell r="B714"/>
          <cell r="C714"/>
          <cell r="E714"/>
          <cell r="F714"/>
          <cell r="G714"/>
          <cell r="J714"/>
          <cell r="K714"/>
          <cell r="L714"/>
          <cell r="N714"/>
          <cell r="O714"/>
          <cell r="P714"/>
        </row>
        <row r="715">
          <cell r="A715"/>
          <cell r="B715"/>
          <cell r="C715"/>
          <cell r="E715"/>
          <cell r="F715"/>
          <cell r="G715"/>
          <cell r="J715"/>
          <cell r="K715"/>
          <cell r="L715"/>
          <cell r="N715"/>
          <cell r="O715"/>
          <cell r="P715"/>
        </row>
        <row r="716">
          <cell r="A716"/>
          <cell r="B716"/>
          <cell r="C716"/>
          <cell r="E716"/>
          <cell r="F716"/>
          <cell r="G716"/>
          <cell r="J716"/>
          <cell r="K716"/>
          <cell r="L716"/>
          <cell r="N716"/>
          <cell r="O716"/>
          <cell r="P716"/>
        </row>
        <row r="717">
          <cell r="A717"/>
          <cell r="B717"/>
          <cell r="C717"/>
          <cell r="E717"/>
          <cell r="F717"/>
          <cell r="G717"/>
          <cell r="J717"/>
          <cell r="K717"/>
          <cell r="L717"/>
          <cell r="N717"/>
          <cell r="O717"/>
          <cell r="P717"/>
        </row>
        <row r="718">
          <cell r="A718"/>
          <cell r="B718"/>
          <cell r="C718"/>
          <cell r="E718"/>
          <cell r="F718"/>
          <cell r="G718"/>
          <cell r="J718"/>
          <cell r="K718"/>
          <cell r="L718"/>
          <cell r="N718"/>
          <cell r="O718"/>
          <cell r="P718"/>
        </row>
        <row r="719">
          <cell r="A719"/>
          <cell r="B719"/>
          <cell r="C719"/>
          <cell r="E719"/>
          <cell r="F719"/>
          <cell r="G719"/>
          <cell r="J719"/>
          <cell r="K719"/>
          <cell r="L719"/>
          <cell r="N719"/>
          <cell r="O719"/>
          <cell r="P719"/>
        </row>
        <row r="720">
          <cell r="A720"/>
          <cell r="B720"/>
          <cell r="C720"/>
          <cell r="E720"/>
          <cell r="F720"/>
          <cell r="G720"/>
          <cell r="J720"/>
          <cell r="K720"/>
          <cell r="L720"/>
          <cell r="N720"/>
          <cell r="O720"/>
          <cell r="P720"/>
        </row>
        <row r="721">
          <cell r="A721"/>
          <cell r="B721"/>
          <cell r="C721"/>
          <cell r="E721"/>
          <cell r="F721"/>
          <cell r="G721"/>
          <cell r="J721"/>
          <cell r="K721"/>
          <cell r="L721"/>
          <cell r="N721"/>
          <cell r="O721"/>
          <cell r="P721"/>
        </row>
        <row r="722">
          <cell r="A722"/>
          <cell r="B722"/>
          <cell r="C722"/>
          <cell r="E722"/>
          <cell r="F722"/>
          <cell r="G722"/>
          <cell r="J722"/>
          <cell r="K722"/>
          <cell r="L722"/>
          <cell r="N722"/>
          <cell r="O722"/>
          <cell r="P722"/>
        </row>
        <row r="723">
          <cell r="A723"/>
          <cell r="B723"/>
          <cell r="C723"/>
          <cell r="E723"/>
          <cell r="F723"/>
          <cell r="G723"/>
          <cell r="J723"/>
          <cell r="K723"/>
          <cell r="L723"/>
          <cell r="N723"/>
          <cell r="O723"/>
          <cell r="P723"/>
        </row>
        <row r="724">
          <cell r="A724"/>
          <cell r="B724"/>
          <cell r="C724"/>
          <cell r="E724"/>
          <cell r="F724"/>
          <cell r="G724"/>
          <cell r="J724"/>
          <cell r="K724"/>
          <cell r="L724"/>
          <cell r="N724"/>
          <cell r="O724"/>
          <cell r="P724"/>
        </row>
        <row r="725">
          <cell r="A725"/>
          <cell r="B725"/>
          <cell r="C725"/>
          <cell r="E725"/>
          <cell r="F725"/>
          <cell r="G725"/>
          <cell r="J725"/>
          <cell r="K725"/>
          <cell r="L725"/>
          <cell r="N725"/>
          <cell r="O725"/>
          <cell r="P725"/>
        </row>
        <row r="726">
          <cell r="A726"/>
          <cell r="B726"/>
          <cell r="C726"/>
          <cell r="E726"/>
          <cell r="F726"/>
          <cell r="G726"/>
          <cell r="J726"/>
          <cell r="K726"/>
          <cell r="L726"/>
          <cell r="N726"/>
          <cell r="O726"/>
          <cell r="P726"/>
        </row>
        <row r="727">
          <cell r="A727"/>
          <cell r="B727"/>
          <cell r="C727"/>
          <cell r="E727"/>
          <cell r="F727"/>
          <cell r="G727"/>
          <cell r="J727"/>
          <cell r="K727"/>
          <cell r="L727"/>
          <cell r="N727"/>
          <cell r="O727"/>
          <cell r="P727"/>
        </row>
        <row r="728">
          <cell r="A728"/>
          <cell r="B728"/>
          <cell r="C728"/>
          <cell r="E728"/>
          <cell r="F728"/>
          <cell r="G728"/>
          <cell r="J728"/>
          <cell r="K728"/>
          <cell r="L728"/>
          <cell r="N728"/>
          <cell r="O728"/>
          <cell r="P728"/>
        </row>
        <row r="729">
          <cell r="A729"/>
          <cell r="B729"/>
          <cell r="C729"/>
          <cell r="E729"/>
          <cell r="F729"/>
          <cell r="G729"/>
          <cell r="J729"/>
          <cell r="K729"/>
          <cell r="L729"/>
          <cell r="N729"/>
          <cell r="O729"/>
          <cell r="P729"/>
        </row>
        <row r="730">
          <cell r="A730"/>
          <cell r="B730"/>
          <cell r="C730"/>
          <cell r="E730"/>
          <cell r="F730"/>
          <cell r="G730"/>
          <cell r="J730"/>
          <cell r="K730"/>
          <cell r="L730"/>
          <cell r="N730"/>
          <cell r="O730"/>
          <cell r="P730"/>
        </row>
        <row r="731">
          <cell r="A731"/>
          <cell r="B731"/>
          <cell r="C731"/>
          <cell r="E731"/>
          <cell r="F731"/>
          <cell r="G731"/>
          <cell r="J731"/>
          <cell r="K731"/>
          <cell r="L731"/>
          <cell r="N731"/>
          <cell r="O731"/>
          <cell r="P731"/>
        </row>
        <row r="732">
          <cell r="A732"/>
          <cell r="B732"/>
          <cell r="C732"/>
          <cell r="E732"/>
          <cell r="F732"/>
          <cell r="G732"/>
          <cell r="J732"/>
          <cell r="K732"/>
          <cell r="L732"/>
          <cell r="N732"/>
          <cell r="O732"/>
          <cell r="P732"/>
        </row>
        <row r="733">
          <cell r="A733"/>
          <cell r="B733"/>
          <cell r="C733"/>
          <cell r="E733"/>
          <cell r="F733"/>
          <cell r="G733"/>
          <cell r="J733"/>
          <cell r="K733"/>
          <cell r="L733"/>
          <cell r="N733"/>
          <cell r="O733"/>
          <cell r="P733"/>
        </row>
        <row r="734">
          <cell r="A734"/>
          <cell r="B734"/>
          <cell r="C734"/>
          <cell r="E734"/>
          <cell r="F734"/>
          <cell r="G734"/>
          <cell r="J734"/>
          <cell r="K734"/>
          <cell r="L734"/>
          <cell r="N734"/>
          <cell r="O734"/>
          <cell r="P734"/>
        </row>
        <row r="735">
          <cell r="A735"/>
          <cell r="B735"/>
          <cell r="C735"/>
          <cell r="E735"/>
          <cell r="F735"/>
          <cell r="G735"/>
          <cell r="J735"/>
          <cell r="K735"/>
          <cell r="L735"/>
          <cell r="N735"/>
          <cell r="O735"/>
          <cell r="P735"/>
        </row>
        <row r="736">
          <cell r="A736"/>
          <cell r="B736"/>
          <cell r="C736"/>
          <cell r="E736"/>
          <cell r="F736"/>
          <cell r="G736"/>
          <cell r="J736"/>
          <cell r="K736"/>
          <cell r="L736"/>
          <cell r="N736"/>
          <cell r="O736"/>
          <cell r="P736"/>
        </row>
        <row r="737">
          <cell r="A737"/>
          <cell r="B737"/>
          <cell r="C737"/>
          <cell r="E737"/>
          <cell r="F737"/>
          <cell r="G737"/>
          <cell r="J737"/>
          <cell r="K737"/>
          <cell r="L737"/>
          <cell r="N737"/>
          <cell r="O737"/>
          <cell r="P737"/>
        </row>
        <row r="738">
          <cell r="A738"/>
          <cell r="B738"/>
          <cell r="C738"/>
          <cell r="E738"/>
          <cell r="F738"/>
          <cell r="G738"/>
          <cell r="J738"/>
          <cell r="K738"/>
          <cell r="L738"/>
          <cell r="N738"/>
          <cell r="O738"/>
          <cell r="P738"/>
        </row>
        <row r="739">
          <cell r="A739"/>
          <cell r="B739"/>
          <cell r="C739"/>
          <cell r="E739"/>
          <cell r="F739"/>
          <cell r="G739"/>
          <cell r="J739"/>
          <cell r="K739"/>
          <cell r="L739"/>
          <cell r="N739"/>
          <cell r="O739"/>
          <cell r="P739"/>
        </row>
        <row r="740">
          <cell r="A740"/>
          <cell r="B740"/>
          <cell r="C740"/>
          <cell r="E740"/>
          <cell r="F740"/>
          <cell r="G740"/>
          <cell r="J740"/>
          <cell r="K740"/>
          <cell r="L740"/>
          <cell r="N740"/>
          <cell r="O740"/>
          <cell r="P740"/>
        </row>
        <row r="741">
          <cell r="A741"/>
          <cell r="B741"/>
          <cell r="C741"/>
          <cell r="E741"/>
          <cell r="F741"/>
          <cell r="G741"/>
          <cell r="J741"/>
          <cell r="K741"/>
          <cell r="L741"/>
          <cell r="N741"/>
          <cell r="O741"/>
          <cell r="P741"/>
        </row>
        <row r="742">
          <cell r="A742"/>
          <cell r="B742"/>
          <cell r="C742"/>
          <cell r="E742"/>
          <cell r="F742"/>
          <cell r="G742"/>
          <cell r="J742"/>
          <cell r="K742"/>
          <cell r="L742"/>
          <cell r="N742"/>
          <cell r="O742"/>
          <cell r="P742"/>
        </row>
        <row r="743">
          <cell r="A743"/>
          <cell r="B743"/>
          <cell r="C743"/>
          <cell r="E743"/>
          <cell r="F743"/>
          <cell r="G743"/>
          <cell r="J743"/>
          <cell r="K743"/>
          <cell r="L743"/>
          <cell r="N743"/>
          <cell r="O743"/>
          <cell r="P743"/>
        </row>
        <row r="744">
          <cell r="A744"/>
          <cell r="B744"/>
          <cell r="C744"/>
          <cell r="E744"/>
          <cell r="F744"/>
          <cell r="G744"/>
          <cell r="J744"/>
          <cell r="K744"/>
          <cell r="L744"/>
          <cell r="N744"/>
          <cell r="O744"/>
          <cell r="P744"/>
        </row>
        <row r="745">
          <cell r="A745"/>
          <cell r="B745"/>
          <cell r="C745"/>
          <cell r="E745"/>
          <cell r="F745"/>
          <cell r="G745"/>
          <cell r="J745"/>
          <cell r="K745"/>
          <cell r="L745"/>
          <cell r="N745"/>
          <cell r="O745"/>
          <cell r="P745"/>
        </row>
        <row r="746">
          <cell r="A746"/>
          <cell r="B746"/>
          <cell r="C746"/>
          <cell r="E746"/>
          <cell r="F746"/>
          <cell r="G746"/>
          <cell r="J746"/>
          <cell r="K746"/>
          <cell r="L746"/>
          <cell r="N746"/>
          <cell r="O746"/>
          <cell r="P746"/>
        </row>
        <row r="747">
          <cell r="A747"/>
          <cell r="B747"/>
          <cell r="C747"/>
          <cell r="E747"/>
          <cell r="F747"/>
          <cell r="G747"/>
          <cell r="J747"/>
          <cell r="K747"/>
          <cell r="L747"/>
          <cell r="N747"/>
          <cell r="O747"/>
          <cell r="P747"/>
        </row>
        <row r="748">
          <cell r="A748"/>
          <cell r="B748"/>
          <cell r="C748"/>
          <cell r="E748"/>
          <cell r="F748"/>
          <cell r="G748"/>
          <cell r="J748"/>
          <cell r="K748"/>
          <cell r="L748"/>
          <cell r="N748"/>
          <cell r="O748"/>
          <cell r="P748"/>
        </row>
        <row r="749">
          <cell r="A749"/>
          <cell r="B749"/>
          <cell r="C749"/>
          <cell r="E749"/>
          <cell r="F749"/>
          <cell r="G749"/>
          <cell r="J749"/>
          <cell r="K749"/>
          <cell r="L749"/>
          <cell r="N749"/>
          <cell r="O749"/>
          <cell r="P749"/>
        </row>
        <row r="750">
          <cell r="A750"/>
          <cell r="B750"/>
          <cell r="C750"/>
          <cell r="E750"/>
          <cell r="F750"/>
          <cell r="G750"/>
          <cell r="J750"/>
          <cell r="K750"/>
          <cell r="L750"/>
          <cell r="N750"/>
          <cell r="O750"/>
          <cell r="P750"/>
        </row>
        <row r="751">
          <cell r="A751"/>
          <cell r="B751"/>
          <cell r="C751"/>
          <cell r="E751"/>
          <cell r="F751"/>
          <cell r="G751"/>
          <cell r="J751"/>
          <cell r="K751"/>
          <cell r="L751"/>
          <cell r="N751"/>
          <cell r="O751"/>
          <cell r="P751"/>
        </row>
        <row r="752">
          <cell r="A752"/>
          <cell r="B752"/>
          <cell r="C752"/>
          <cell r="E752"/>
          <cell r="F752"/>
          <cell r="G752"/>
          <cell r="J752"/>
          <cell r="K752"/>
          <cell r="L752"/>
          <cell r="N752"/>
          <cell r="O752"/>
          <cell r="P752"/>
        </row>
        <row r="753">
          <cell r="A753"/>
          <cell r="B753"/>
          <cell r="C753"/>
          <cell r="E753"/>
          <cell r="F753"/>
          <cell r="G753"/>
          <cell r="J753"/>
          <cell r="K753"/>
          <cell r="L753"/>
          <cell r="N753"/>
          <cell r="O753"/>
          <cell r="P753"/>
        </row>
        <row r="754">
          <cell r="A754"/>
          <cell r="B754"/>
          <cell r="C754"/>
          <cell r="E754"/>
          <cell r="F754"/>
          <cell r="G754"/>
          <cell r="J754"/>
          <cell r="K754"/>
          <cell r="L754"/>
          <cell r="N754"/>
          <cell r="O754"/>
          <cell r="P754"/>
        </row>
        <row r="755">
          <cell r="A755"/>
          <cell r="B755"/>
          <cell r="C755"/>
          <cell r="E755"/>
          <cell r="F755"/>
          <cell r="G755"/>
          <cell r="J755"/>
          <cell r="K755"/>
          <cell r="L755"/>
          <cell r="N755"/>
          <cell r="O755"/>
          <cell r="P755"/>
        </row>
        <row r="756">
          <cell r="A756"/>
          <cell r="B756"/>
          <cell r="C756"/>
          <cell r="E756"/>
          <cell r="F756"/>
          <cell r="G756"/>
          <cell r="J756"/>
          <cell r="K756"/>
          <cell r="L756"/>
          <cell r="N756"/>
          <cell r="O756"/>
          <cell r="P756"/>
        </row>
        <row r="757">
          <cell r="A757"/>
          <cell r="B757"/>
          <cell r="C757"/>
          <cell r="E757"/>
          <cell r="F757"/>
          <cell r="G757"/>
          <cell r="J757"/>
          <cell r="K757"/>
          <cell r="L757"/>
          <cell r="N757"/>
          <cell r="O757"/>
          <cell r="P757"/>
        </row>
        <row r="758">
          <cell r="A758"/>
          <cell r="B758"/>
          <cell r="C758"/>
          <cell r="E758"/>
          <cell r="F758"/>
          <cell r="G758"/>
          <cell r="J758"/>
          <cell r="K758"/>
          <cell r="L758"/>
          <cell r="N758"/>
          <cell r="O758"/>
          <cell r="P758"/>
        </row>
        <row r="759">
          <cell r="A759"/>
          <cell r="B759"/>
          <cell r="C759"/>
          <cell r="E759"/>
          <cell r="F759"/>
          <cell r="G759"/>
          <cell r="J759"/>
          <cell r="K759"/>
          <cell r="L759"/>
          <cell r="N759"/>
          <cell r="O759"/>
          <cell r="P759"/>
        </row>
        <row r="760">
          <cell r="A760"/>
          <cell r="B760"/>
          <cell r="C760"/>
          <cell r="E760"/>
          <cell r="F760"/>
          <cell r="G760"/>
          <cell r="J760"/>
          <cell r="K760"/>
          <cell r="L760"/>
          <cell r="N760"/>
          <cell r="O760"/>
          <cell r="P760"/>
        </row>
        <row r="761">
          <cell r="A761"/>
          <cell r="B761"/>
          <cell r="C761"/>
          <cell r="E761"/>
          <cell r="F761"/>
          <cell r="G761"/>
          <cell r="J761"/>
          <cell r="K761"/>
          <cell r="L761"/>
          <cell r="N761"/>
          <cell r="O761"/>
          <cell r="P761"/>
        </row>
        <row r="762">
          <cell r="A762"/>
          <cell r="B762"/>
          <cell r="C762"/>
          <cell r="E762"/>
          <cell r="F762"/>
          <cell r="G762"/>
          <cell r="J762"/>
          <cell r="K762"/>
          <cell r="L762"/>
          <cell r="N762"/>
          <cell r="O762"/>
          <cell r="P762"/>
        </row>
        <row r="763">
          <cell r="A763"/>
          <cell r="B763"/>
          <cell r="C763"/>
          <cell r="E763"/>
          <cell r="F763"/>
          <cell r="G763"/>
          <cell r="J763"/>
          <cell r="K763"/>
          <cell r="L763"/>
          <cell r="N763"/>
          <cell r="O763"/>
          <cell r="P763"/>
        </row>
        <row r="764">
          <cell r="A764"/>
          <cell r="B764"/>
          <cell r="C764"/>
          <cell r="E764"/>
          <cell r="F764"/>
          <cell r="G764"/>
          <cell r="J764"/>
          <cell r="K764"/>
          <cell r="L764"/>
          <cell r="N764"/>
          <cell r="O764"/>
          <cell r="P764"/>
        </row>
        <row r="765">
          <cell r="A765"/>
          <cell r="B765"/>
          <cell r="C765"/>
          <cell r="E765"/>
          <cell r="F765"/>
          <cell r="G765"/>
          <cell r="J765"/>
          <cell r="K765"/>
          <cell r="L765"/>
          <cell r="N765"/>
          <cell r="O765"/>
          <cell r="P765"/>
        </row>
        <row r="766">
          <cell r="A766"/>
          <cell r="B766"/>
          <cell r="C766"/>
          <cell r="E766"/>
          <cell r="F766"/>
          <cell r="G766"/>
          <cell r="J766"/>
          <cell r="K766"/>
          <cell r="L766"/>
          <cell r="N766"/>
          <cell r="O766"/>
          <cell r="P766"/>
        </row>
        <row r="767">
          <cell r="A767"/>
          <cell r="B767"/>
          <cell r="C767"/>
          <cell r="E767"/>
          <cell r="F767"/>
          <cell r="G767"/>
          <cell r="J767"/>
          <cell r="K767"/>
          <cell r="L767"/>
          <cell r="N767"/>
          <cell r="O767"/>
          <cell r="P767"/>
        </row>
        <row r="768">
          <cell r="A768"/>
          <cell r="B768"/>
          <cell r="C768"/>
          <cell r="E768"/>
          <cell r="F768"/>
          <cell r="G768"/>
          <cell r="J768"/>
          <cell r="K768"/>
          <cell r="L768"/>
          <cell r="N768"/>
          <cell r="O768"/>
          <cell r="P768"/>
        </row>
        <row r="769">
          <cell r="A769"/>
          <cell r="B769"/>
          <cell r="C769"/>
          <cell r="E769"/>
          <cell r="F769"/>
          <cell r="G769"/>
          <cell r="J769"/>
          <cell r="K769"/>
          <cell r="L769"/>
          <cell r="N769"/>
          <cell r="O769"/>
          <cell r="P769"/>
        </row>
        <row r="770">
          <cell r="A770"/>
          <cell r="B770"/>
          <cell r="C770"/>
          <cell r="E770"/>
          <cell r="F770"/>
          <cell r="G770"/>
          <cell r="J770"/>
          <cell r="K770"/>
          <cell r="L770"/>
          <cell r="N770"/>
          <cell r="O770"/>
          <cell r="P770"/>
        </row>
        <row r="771">
          <cell r="A771"/>
          <cell r="B771"/>
          <cell r="C771"/>
          <cell r="E771"/>
          <cell r="F771"/>
          <cell r="G771"/>
          <cell r="J771"/>
          <cell r="K771"/>
          <cell r="L771"/>
          <cell r="N771"/>
          <cell r="O771"/>
          <cell r="P771"/>
        </row>
        <row r="772">
          <cell r="A772"/>
          <cell r="B772"/>
          <cell r="C772"/>
          <cell r="E772"/>
          <cell r="F772"/>
          <cell r="G772"/>
          <cell r="J772"/>
          <cell r="K772"/>
          <cell r="L772"/>
          <cell r="N772"/>
          <cell r="O772"/>
          <cell r="P772"/>
        </row>
        <row r="773">
          <cell r="A773"/>
          <cell r="B773"/>
          <cell r="C773"/>
          <cell r="E773"/>
          <cell r="F773"/>
          <cell r="G773"/>
          <cell r="J773"/>
          <cell r="K773"/>
          <cell r="L773"/>
          <cell r="N773"/>
          <cell r="O773"/>
          <cell r="P773"/>
        </row>
        <row r="774">
          <cell r="A774"/>
          <cell r="B774"/>
          <cell r="C774"/>
          <cell r="E774"/>
          <cell r="F774"/>
          <cell r="G774"/>
          <cell r="J774"/>
          <cell r="K774"/>
          <cell r="L774"/>
          <cell r="N774"/>
          <cell r="O774"/>
          <cell r="P774"/>
        </row>
        <row r="775">
          <cell r="A775"/>
          <cell r="B775"/>
          <cell r="C775"/>
          <cell r="E775"/>
          <cell r="F775"/>
          <cell r="G775"/>
          <cell r="J775"/>
          <cell r="K775"/>
          <cell r="L775"/>
          <cell r="N775"/>
          <cell r="O775"/>
          <cell r="P775"/>
        </row>
        <row r="776">
          <cell r="A776"/>
          <cell r="B776"/>
          <cell r="C776"/>
          <cell r="E776"/>
          <cell r="F776"/>
          <cell r="G776"/>
          <cell r="J776"/>
          <cell r="K776"/>
          <cell r="L776"/>
          <cell r="N776"/>
          <cell r="O776"/>
          <cell r="P776"/>
        </row>
        <row r="777">
          <cell r="A777"/>
          <cell r="B777"/>
          <cell r="C777"/>
          <cell r="E777"/>
          <cell r="F777"/>
          <cell r="G777"/>
          <cell r="J777"/>
          <cell r="K777"/>
          <cell r="L777"/>
          <cell r="N777"/>
          <cell r="O777"/>
          <cell r="P777"/>
        </row>
        <row r="778">
          <cell r="A778"/>
          <cell r="B778"/>
          <cell r="C778"/>
          <cell r="E778"/>
          <cell r="F778"/>
          <cell r="G778"/>
          <cell r="J778"/>
          <cell r="K778"/>
          <cell r="L778"/>
          <cell r="N778"/>
          <cell r="O778"/>
          <cell r="P778"/>
        </row>
        <row r="779">
          <cell r="A779"/>
          <cell r="B779"/>
          <cell r="C779"/>
          <cell r="E779"/>
          <cell r="F779"/>
          <cell r="G779"/>
          <cell r="J779"/>
          <cell r="K779"/>
          <cell r="L779"/>
          <cell r="N779"/>
          <cell r="O779"/>
          <cell r="P779"/>
        </row>
        <row r="780">
          <cell r="A780"/>
          <cell r="B780"/>
          <cell r="C780"/>
          <cell r="E780"/>
          <cell r="F780"/>
          <cell r="G780"/>
          <cell r="J780"/>
          <cell r="K780"/>
          <cell r="L780"/>
          <cell r="N780"/>
          <cell r="O780"/>
          <cell r="P780"/>
        </row>
        <row r="781">
          <cell r="A781"/>
          <cell r="B781"/>
          <cell r="C781"/>
          <cell r="E781"/>
          <cell r="F781"/>
          <cell r="G781"/>
          <cell r="J781"/>
          <cell r="K781"/>
          <cell r="L781"/>
          <cell r="N781"/>
          <cell r="O781"/>
          <cell r="P781"/>
        </row>
        <row r="782">
          <cell r="A782"/>
          <cell r="B782"/>
          <cell r="C782"/>
          <cell r="E782"/>
          <cell r="F782"/>
          <cell r="G782"/>
          <cell r="J782"/>
          <cell r="K782"/>
          <cell r="L782"/>
          <cell r="N782"/>
          <cell r="O782"/>
          <cell r="P782"/>
        </row>
        <row r="783">
          <cell r="A783"/>
          <cell r="B783"/>
          <cell r="C783"/>
          <cell r="E783"/>
          <cell r="F783"/>
          <cell r="G783"/>
          <cell r="J783"/>
          <cell r="K783"/>
          <cell r="L783"/>
          <cell r="N783"/>
          <cell r="O783"/>
          <cell r="P783"/>
        </row>
        <row r="784">
          <cell r="A784"/>
          <cell r="B784"/>
          <cell r="C784"/>
          <cell r="E784"/>
          <cell r="F784"/>
          <cell r="G784"/>
          <cell r="J784"/>
          <cell r="K784"/>
          <cell r="L784"/>
          <cell r="N784"/>
          <cell r="O784"/>
          <cell r="P784"/>
        </row>
        <row r="785">
          <cell r="A785"/>
          <cell r="B785"/>
          <cell r="C785"/>
          <cell r="E785"/>
          <cell r="F785"/>
          <cell r="G785"/>
          <cell r="J785"/>
          <cell r="K785"/>
          <cell r="L785"/>
          <cell r="N785"/>
          <cell r="O785"/>
          <cell r="P785"/>
        </row>
        <row r="786">
          <cell r="A786"/>
          <cell r="B786"/>
          <cell r="C786"/>
          <cell r="E786"/>
          <cell r="F786"/>
          <cell r="G786"/>
          <cell r="J786"/>
          <cell r="K786"/>
          <cell r="L786"/>
          <cell r="N786"/>
          <cell r="O786"/>
          <cell r="P786"/>
        </row>
        <row r="787">
          <cell r="A787"/>
          <cell r="B787"/>
          <cell r="C787"/>
          <cell r="E787"/>
          <cell r="F787"/>
          <cell r="G787"/>
          <cell r="J787"/>
          <cell r="K787"/>
          <cell r="L787"/>
          <cell r="N787"/>
          <cell r="O787"/>
          <cell r="P787"/>
        </row>
        <row r="788">
          <cell r="A788"/>
          <cell r="B788"/>
          <cell r="C788"/>
          <cell r="E788"/>
          <cell r="F788"/>
          <cell r="G788"/>
          <cell r="J788"/>
          <cell r="K788"/>
          <cell r="L788"/>
          <cell r="N788"/>
          <cell r="O788"/>
          <cell r="P788"/>
        </row>
        <row r="789">
          <cell r="A789"/>
          <cell r="B789"/>
          <cell r="C789"/>
          <cell r="E789"/>
          <cell r="F789"/>
          <cell r="G789"/>
          <cell r="J789"/>
          <cell r="K789"/>
          <cell r="L789"/>
          <cell r="N789"/>
          <cell r="O789"/>
          <cell r="P789"/>
        </row>
        <row r="790">
          <cell r="A790"/>
          <cell r="B790"/>
          <cell r="C790"/>
          <cell r="E790"/>
          <cell r="F790"/>
          <cell r="G790"/>
          <cell r="J790"/>
          <cell r="K790"/>
          <cell r="L790"/>
          <cell r="N790"/>
          <cell r="O790"/>
          <cell r="P790"/>
        </row>
        <row r="791">
          <cell r="A791"/>
          <cell r="B791"/>
          <cell r="C791"/>
          <cell r="E791"/>
          <cell r="F791"/>
          <cell r="G791"/>
          <cell r="J791"/>
          <cell r="K791"/>
          <cell r="L791"/>
          <cell r="N791"/>
          <cell r="O791"/>
          <cell r="P791"/>
        </row>
        <row r="792">
          <cell r="A792"/>
          <cell r="B792"/>
          <cell r="C792"/>
          <cell r="E792"/>
          <cell r="F792"/>
          <cell r="G792"/>
          <cell r="J792"/>
          <cell r="K792"/>
          <cell r="L792"/>
          <cell r="N792"/>
          <cell r="O792"/>
          <cell r="P792"/>
        </row>
        <row r="793">
          <cell r="A793"/>
          <cell r="B793"/>
          <cell r="C793"/>
          <cell r="E793"/>
          <cell r="F793"/>
          <cell r="G793"/>
          <cell r="J793"/>
          <cell r="K793"/>
          <cell r="L793"/>
          <cell r="N793"/>
          <cell r="O793"/>
          <cell r="P793"/>
        </row>
        <row r="794">
          <cell r="A794"/>
          <cell r="B794"/>
          <cell r="C794"/>
          <cell r="E794"/>
          <cell r="F794"/>
          <cell r="G794"/>
          <cell r="J794"/>
          <cell r="K794"/>
          <cell r="L794"/>
          <cell r="N794"/>
          <cell r="O794"/>
          <cell r="P794"/>
        </row>
        <row r="795">
          <cell r="A795"/>
          <cell r="B795"/>
          <cell r="C795"/>
          <cell r="E795"/>
          <cell r="F795"/>
          <cell r="G795"/>
          <cell r="J795"/>
          <cell r="K795"/>
          <cell r="L795"/>
          <cell r="N795"/>
          <cell r="O795"/>
          <cell r="P795"/>
        </row>
        <row r="796">
          <cell r="A796"/>
          <cell r="B796"/>
          <cell r="C796"/>
          <cell r="E796"/>
          <cell r="F796"/>
          <cell r="G796"/>
          <cell r="J796"/>
          <cell r="K796"/>
          <cell r="L796"/>
          <cell r="N796"/>
          <cell r="O796"/>
          <cell r="P796"/>
        </row>
        <row r="797">
          <cell r="A797"/>
          <cell r="B797"/>
          <cell r="C797"/>
          <cell r="E797"/>
          <cell r="F797"/>
          <cell r="G797"/>
          <cell r="J797"/>
          <cell r="K797"/>
          <cell r="L797"/>
          <cell r="N797"/>
          <cell r="O797"/>
          <cell r="P797"/>
        </row>
        <row r="798">
          <cell r="A798"/>
          <cell r="B798"/>
          <cell r="C798"/>
          <cell r="E798"/>
          <cell r="F798"/>
          <cell r="G798"/>
          <cell r="J798"/>
          <cell r="K798"/>
          <cell r="L798"/>
          <cell r="N798"/>
          <cell r="O798"/>
          <cell r="P798"/>
        </row>
        <row r="799">
          <cell r="A799"/>
          <cell r="B799"/>
          <cell r="C799"/>
          <cell r="E799"/>
          <cell r="F799"/>
          <cell r="G799"/>
          <cell r="J799"/>
          <cell r="K799"/>
          <cell r="L799"/>
          <cell r="N799"/>
          <cell r="O799"/>
          <cell r="P799"/>
        </row>
        <row r="800">
          <cell r="A800"/>
          <cell r="B800"/>
          <cell r="C800"/>
          <cell r="E800"/>
          <cell r="F800"/>
          <cell r="G800"/>
          <cell r="J800"/>
          <cell r="K800"/>
          <cell r="L800"/>
          <cell r="N800"/>
          <cell r="O800"/>
          <cell r="P800"/>
        </row>
        <row r="801">
          <cell r="A801"/>
          <cell r="B801"/>
          <cell r="C801"/>
          <cell r="E801"/>
          <cell r="F801"/>
          <cell r="G801"/>
          <cell r="J801"/>
          <cell r="K801"/>
          <cell r="L801"/>
          <cell r="N801"/>
          <cell r="O801"/>
          <cell r="P801"/>
        </row>
        <row r="802">
          <cell r="A802"/>
          <cell r="B802"/>
          <cell r="C802"/>
          <cell r="E802"/>
          <cell r="F802"/>
          <cell r="G802"/>
          <cell r="J802"/>
          <cell r="K802"/>
          <cell r="L802"/>
          <cell r="N802"/>
          <cell r="O802"/>
          <cell r="P802"/>
        </row>
        <row r="803">
          <cell r="A803"/>
          <cell r="B803"/>
          <cell r="C803"/>
          <cell r="E803"/>
          <cell r="F803"/>
          <cell r="G803"/>
          <cell r="J803"/>
          <cell r="K803"/>
          <cell r="L803"/>
          <cell r="N803"/>
          <cell r="O803"/>
          <cell r="P803"/>
        </row>
        <row r="804">
          <cell r="A804"/>
          <cell r="B804"/>
          <cell r="C804"/>
          <cell r="E804"/>
          <cell r="F804"/>
          <cell r="G804"/>
          <cell r="J804"/>
          <cell r="K804"/>
          <cell r="L804"/>
          <cell r="N804"/>
          <cell r="O804"/>
          <cell r="P804"/>
        </row>
        <row r="805">
          <cell r="A805"/>
          <cell r="B805"/>
          <cell r="C805"/>
          <cell r="E805"/>
          <cell r="F805"/>
          <cell r="G805"/>
          <cell r="J805"/>
          <cell r="K805"/>
          <cell r="L805"/>
          <cell r="N805"/>
          <cell r="O805"/>
          <cell r="P805"/>
        </row>
        <row r="806">
          <cell r="A806"/>
          <cell r="B806"/>
          <cell r="C806"/>
          <cell r="E806"/>
          <cell r="F806"/>
          <cell r="G806"/>
          <cell r="J806"/>
          <cell r="K806"/>
          <cell r="L806"/>
          <cell r="N806"/>
          <cell r="O806"/>
          <cell r="P806"/>
        </row>
        <row r="807">
          <cell r="A807"/>
          <cell r="B807"/>
          <cell r="C807"/>
          <cell r="E807"/>
          <cell r="F807"/>
          <cell r="G807"/>
          <cell r="J807"/>
          <cell r="K807"/>
          <cell r="L807"/>
          <cell r="N807"/>
          <cell r="O807"/>
          <cell r="P807"/>
        </row>
        <row r="808">
          <cell r="A808"/>
          <cell r="B808"/>
          <cell r="C808"/>
          <cell r="E808"/>
          <cell r="F808"/>
          <cell r="G808"/>
          <cell r="J808"/>
          <cell r="K808"/>
          <cell r="L808"/>
          <cell r="N808"/>
          <cell r="O808"/>
          <cell r="P808"/>
        </row>
        <row r="809">
          <cell r="A809"/>
          <cell r="B809"/>
          <cell r="C809"/>
          <cell r="E809"/>
          <cell r="F809"/>
          <cell r="G809"/>
          <cell r="J809"/>
          <cell r="K809"/>
          <cell r="L809"/>
          <cell r="N809"/>
          <cell r="O809"/>
          <cell r="P809"/>
        </row>
        <row r="810">
          <cell r="A810"/>
          <cell r="B810"/>
          <cell r="C810"/>
          <cell r="E810"/>
          <cell r="F810"/>
          <cell r="G810"/>
          <cell r="J810"/>
          <cell r="K810"/>
          <cell r="L810"/>
          <cell r="N810"/>
          <cell r="O810"/>
          <cell r="P810"/>
        </row>
        <row r="811">
          <cell r="A811"/>
          <cell r="B811"/>
          <cell r="C811"/>
          <cell r="E811"/>
          <cell r="F811"/>
          <cell r="G811"/>
          <cell r="J811"/>
          <cell r="K811"/>
          <cell r="L811"/>
          <cell r="N811"/>
          <cell r="O811"/>
          <cell r="P811"/>
        </row>
        <row r="812">
          <cell r="A812"/>
          <cell r="B812"/>
          <cell r="C812"/>
          <cell r="E812"/>
          <cell r="F812"/>
          <cell r="G812"/>
          <cell r="J812"/>
          <cell r="K812"/>
          <cell r="L812"/>
          <cell r="N812"/>
          <cell r="O812"/>
          <cell r="P812"/>
        </row>
        <row r="813">
          <cell r="A813"/>
          <cell r="B813"/>
          <cell r="C813"/>
          <cell r="E813"/>
          <cell r="F813"/>
          <cell r="G813"/>
          <cell r="J813"/>
          <cell r="K813"/>
          <cell r="L813"/>
          <cell r="N813"/>
          <cell r="O813"/>
          <cell r="P813"/>
        </row>
        <row r="814">
          <cell r="A814"/>
          <cell r="B814"/>
          <cell r="C814"/>
          <cell r="E814"/>
          <cell r="F814"/>
          <cell r="G814"/>
          <cell r="J814"/>
          <cell r="K814"/>
          <cell r="L814"/>
          <cell r="N814"/>
          <cell r="O814"/>
          <cell r="P814"/>
        </row>
        <row r="815">
          <cell r="A815"/>
          <cell r="B815"/>
          <cell r="C815"/>
          <cell r="E815"/>
          <cell r="F815"/>
          <cell r="G815"/>
          <cell r="J815"/>
          <cell r="K815"/>
          <cell r="L815"/>
          <cell r="N815"/>
          <cell r="O815"/>
          <cell r="P815"/>
        </row>
        <row r="816">
          <cell r="A816"/>
          <cell r="B816"/>
          <cell r="C816"/>
          <cell r="E816"/>
          <cell r="F816"/>
          <cell r="G816"/>
          <cell r="J816"/>
          <cell r="K816"/>
          <cell r="L816"/>
          <cell r="N816"/>
          <cell r="O816"/>
          <cell r="P816"/>
        </row>
        <row r="817">
          <cell r="A817"/>
          <cell r="B817"/>
          <cell r="C817"/>
          <cell r="E817"/>
          <cell r="F817"/>
          <cell r="G817"/>
          <cell r="J817"/>
          <cell r="K817"/>
          <cell r="L817"/>
          <cell r="N817"/>
          <cell r="O817"/>
          <cell r="P817"/>
        </row>
        <row r="818">
          <cell r="A818"/>
          <cell r="B818"/>
          <cell r="C818"/>
          <cell r="E818"/>
          <cell r="F818"/>
          <cell r="G818"/>
          <cell r="J818"/>
          <cell r="K818"/>
          <cell r="L818"/>
          <cell r="N818"/>
          <cell r="O818"/>
          <cell r="P818"/>
        </row>
        <row r="819">
          <cell r="A819"/>
          <cell r="B819"/>
          <cell r="C819"/>
          <cell r="E819"/>
          <cell r="F819"/>
          <cell r="G819"/>
          <cell r="J819"/>
          <cell r="K819"/>
          <cell r="L819"/>
          <cell r="N819"/>
          <cell r="O819"/>
          <cell r="P819"/>
        </row>
        <row r="820">
          <cell r="A820"/>
          <cell r="B820"/>
          <cell r="C820"/>
          <cell r="E820"/>
          <cell r="F820"/>
          <cell r="G820"/>
          <cell r="J820"/>
          <cell r="K820"/>
          <cell r="L820"/>
          <cell r="N820"/>
          <cell r="O820"/>
          <cell r="P820"/>
        </row>
        <row r="821">
          <cell r="A821"/>
          <cell r="B821"/>
          <cell r="C821"/>
          <cell r="E821"/>
          <cell r="F821"/>
          <cell r="G821"/>
          <cell r="J821"/>
          <cell r="K821"/>
          <cell r="L821"/>
          <cell r="N821"/>
          <cell r="O821"/>
          <cell r="P821"/>
        </row>
        <row r="822">
          <cell r="A822"/>
          <cell r="B822"/>
          <cell r="C822"/>
          <cell r="E822"/>
          <cell r="F822"/>
          <cell r="G822"/>
          <cell r="J822"/>
          <cell r="K822"/>
          <cell r="L822"/>
          <cell r="N822"/>
          <cell r="O822"/>
          <cell r="P822"/>
        </row>
        <row r="823">
          <cell r="A823"/>
          <cell r="B823"/>
          <cell r="C823"/>
          <cell r="E823"/>
          <cell r="F823"/>
          <cell r="G823"/>
          <cell r="J823"/>
          <cell r="K823"/>
          <cell r="L823"/>
          <cell r="N823"/>
          <cell r="O823"/>
          <cell r="P823"/>
        </row>
        <row r="824">
          <cell r="A824"/>
          <cell r="B824"/>
          <cell r="C824"/>
          <cell r="E824"/>
          <cell r="F824"/>
          <cell r="G824"/>
          <cell r="J824"/>
          <cell r="K824"/>
          <cell r="L824"/>
          <cell r="N824"/>
          <cell r="O824"/>
          <cell r="P824"/>
        </row>
        <row r="825">
          <cell r="A825"/>
          <cell r="B825"/>
          <cell r="C825"/>
          <cell r="E825"/>
          <cell r="F825"/>
          <cell r="G825"/>
          <cell r="J825"/>
          <cell r="K825"/>
          <cell r="L825"/>
          <cell r="N825"/>
          <cell r="O825"/>
          <cell r="P825"/>
        </row>
        <row r="826">
          <cell r="A826"/>
          <cell r="B826"/>
          <cell r="C826"/>
          <cell r="E826"/>
          <cell r="F826"/>
          <cell r="G826"/>
          <cell r="J826"/>
          <cell r="K826"/>
          <cell r="L826"/>
          <cell r="N826"/>
          <cell r="O826"/>
          <cell r="P826"/>
        </row>
        <row r="827">
          <cell r="A827"/>
          <cell r="B827"/>
          <cell r="C827"/>
          <cell r="E827"/>
          <cell r="F827"/>
          <cell r="G827"/>
          <cell r="J827"/>
          <cell r="K827"/>
          <cell r="L827"/>
          <cell r="N827"/>
          <cell r="O827"/>
          <cell r="P827"/>
        </row>
        <row r="828">
          <cell r="A828"/>
          <cell r="B828"/>
          <cell r="C828"/>
          <cell r="E828"/>
          <cell r="F828"/>
          <cell r="G828"/>
          <cell r="J828"/>
          <cell r="K828"/>
          <cell r="L828"/>
          <cell r="N828"/>
          <cell r="O828"/>
          <cell r="P828"/>
        </row>
        <row r="829">
          <cell r="A829"/>
          <cell r="B829"/>
          <cell r="C829"/>
          <cell r="E829"/>
          <cell r="F829"/>
          <cell r="G829"/>
          <cell r="J829"/>
          <cell r="K829"/>
          <cell r="L829"/>
          <cell r="N829"/>
          <cell r="O829"/>
          <cell r="P829"/>
        </row>
        <row r="830">
          <cell r="A830"/>
          <cell r="B830"/>
          <cell r="C830"/>
          <cell r="E830"/>
          <cell r="F830"/>
          <cell r="G830"/>
          <cell r="J830"/>
          <cell r="K830"/>
          <cell r="L830"/>
          <cell r="N830"/>
          <cell r="O830"/>
          <cell r="P830"/>
        </row>
        <row r="831">
          <cell r="A831"/>
          <cell r="B831"/>
          <cell r="C831"/>
          <cell r="E831"/>
          <cell r="F831"/>
          <cell r="G831"/>
          <cell r="J831"/>
          <cell r="K831"/>
          <cell r="L831"/>
          <cell r="N831"/>
          <cell r="O831"/>
          <cell r="P831"/>
        </row>
        <row r="832">
          <cell r="A832"/>
          <cell r="B832"/>
          <cell r="C832"/>
          <cell r="E832"/>
          <cell r="F832"/>
          <cell r="G832"/>
          <cell r="J832"/>
          <cell r="K832"/>
          <cell r="L832"/>
          <cell r="N832"/>
          <cell r="O832"/>
          <cell r="P832"/>
        </row>
        <row r="833">
          <cell r="A833"/>
          <cell r="B833"/>
          <cell r="C833"/>
          <cell r="E833"/>
          <cell r="F833"/>
          <cell r="G833"/>
          <cell r="J833"/>
          <cell r="K833"/>
          <cell r="L833"/>
          <cell r="N833"/>
          <cell r="O833"/>
          <cell r="P833"/>
        </row>
        <row r="834">
          <cell r="A834"/>
          <cell r="B834"/>
          <cell r="C834"/>
          <cell r="E834"/>
          <cell r="F834"/>
          <cell r="G834"/>
          <cell r="J834"/>
          <cell r="K834"/>
          <cell r="L834"/>
          <cell r="N834"/>
          <cell r="O834"/>
          <cell r="P834"/>
        </row>
        <row r="835">
          <cell r="A835"/>
          <cell r="B835"/>
          <cell r="C835"/>
          <cell r="E835"/>
          <cell r="F835"/>
          <cell r="G835"/>
          <cell r="J835"/>
          <cell r="K835"/>
          <cell r="L835"/>
          <cell r="N835"/>
          <cell r="O835"/>
          <cell r="P835"/>
        </row>
        <row r="836">
          <cell r="A836"/>
          <cell r="B836"/>
          <cell r="C836"/>
          <cell r="E836"/>
          <cell r="F836"/>
          <cell r="G836"/>
          <cell r="J836"/>
          <cell r="K836"/>
          <cell r="L836"/>
          <cell r="N836"/>
          <cell r="O836"/>
          <cell r="P836"/>
        </row>
        <row r="837">
          <cell r="A837"/>
          <cell r="B837"/>
          <cell r="C837"/>
          <cell r="E837"/>
          <cell r="F837"/>
          <cell r="G837"/>
          <cell r="J837"/>
          <cell r="K837"/>
          <cell r="L837"/>
          <cell r="N837"/>
          <cell r="O837"/>
          <cell r="P837"/>
        </row>
        <row r="838">
          <cell r="A838"/>
          <cell r="B838"/>
          <cell r="C838"/>
          <cell r="E838"/>
          <cell r="F838"/>
          <cell r="G838"/>
          <cell r="J838"/>
          <cell r="K838"/>
          <cell r="L838"/>
          <cell r="N838"/>
          <cell r="O838"/>
          <cell r="P838"/>
        </row>
        <row r="839">
          <cell r="A839"/>
          <cell r="B839"/>
          <cell r="C839"/>
          <cell r="E839"/>
          <cell r="F839"/>
          <cell r="G839"/>
          <cell r="J839"/>
          <cell r="K839"/>
          <cell r="L839"/>
          <cell r="N839"/>
          <cell r="O839"/>
          <cell r="P839"/>
        </row>
        <row r="840">
          <cell r="A840"/>
          <cell r="B840"/>
          <cell r="C840"/>
          <cell r="E840"/>
          <cell r="F840"/>
          <cell r="G840"/>
          <cell r="J840"/>
          <cell r="K840"/>
          <cell r="L840"/>
          <cell r="N840"/>
          <cell r="O840"/>
          <cell r="P840"/>
        </row>
        <row r="841">
          <cell r="A841"/>
          <cell r="B841"/>
          <cell r="C841"/>
          <cell r="E841"/>
          <cell r="F841"/>
          <cell r="G841"/>
          <cell r="J841"/>
          <cell r="K841"/>
          <cell r="L841"/>
          <cell r="N841"/>
          <cell r="O841"/>
          <cell r="P841"/>
        </row>
        <row r="842">
          <cell r="A842"/>
          <cell r="B842"/>
          <cell r="C842"/>
          <cell r="E842"/>
          <cell r="F842"/>
          <cell r="G842"/>
          <cell r="J842"/>
          <cell r="K842"/>
          <cell r="L842"/>
          <cell r="N842"/>
          <cell r="O842"/>
          <cell r="P842"/>
        </row>
        <row r="843">
          <cell r="A843"/>
          <cell r="B843"/>
          <cell r="C843"/>
          <cell r="E843"/>
          <cell r="F843"/>
          <cell r="G843"/>
          <cell r="J843"/>
          <cell r="K843"/>
          <cell r="L843"/>
          <cell r="N843"/>
          <cell r="O843"/>
          <cell r="P843"/>
        </row>
        <row r="844">
          <cell r="A844"/>
          <cell r="B844"/>
          <cell r="C844"/>
          <cell r="E844"/>
          <cell r="F844"/>
          <cell r="G844"/>
          <cell r="J844"/>
          <cell r="K844"/>
          <cell r="L844"/>
          <cell r="N844"/>
          <cell r="O844"/>
          <cell r="P844"/>
        </row>
        <row r="845">
          <cell r="A845"/>
          <cell r="B845"/>
          <cell r="C845"/>
          <cell r="E845"/>
          <cell r="F845"/>
          <cell r="G845"/>
          <cell r="J845"/>
          <cell r="K845"/>
          <cell r="L845"/>
          <cell r="N845"/>
          <cell r="O845"/>
          <cell r="P845"/>
        </row>
        <row r="846">
          <cell r="A846"/>
          <cell r="B846"/>
          <cell r="C846"/>
          <cell r="E846"/>
          <cell r="F846"/>
          <cell r="G846"/>
          <cell r="J846"/>
          <cell r="K846"/>
          <cell r="L846"/>
          <cell r="N846"/>
          <cell r="O846"/>
          <cell r="P846"/>
        </row>
        <row r="847">
          <cell r="A847"/>
          <cell r="B847"/>
          <cell r="C847"/>
          <cell r="E847"/>
          <cell r="F847"/>
          <cell r="G847"/>
          <cell r="J847"/>
          <cell r="K847"/>
          <cell r="L847"/>
          <cell r="N847"/>
          <cell r="O847"/>
          <cell r="P847"/>
        </row>
        <row r="848">
          <cell r="A848"/>
          <cell r="B848"/>
          <cell r="C848"/>
          <cell r="E848"/>
          <cell r="F848"/>
          <cell r="G848"/>
          <cell r="J848"/>
          <cell r="K848"/>
          <cell r="L848"/>
          <cell r="N848"/>
          <cell r="O848"/>
          <cell r="P848"/>
        </row>
        <row r="849">
          <cell r="A849"/>
          <cell r="B849"/>
          <cell r="C849"/>
          <cell r="E849"/>
          <cell r="F849"/>
          <cell r="G849"/>
          <cell r="J849"/>
          <cell r="K849"/>
          <cell r="L849"/>
          <cell r="N849"/>
          <cell r="O849"/>
          <cell r="P849"/>
        </row>
        <row r="850">
          <cell r="A850"/>
          <cell r="B850"/>
          <cell r="C850"/>
          <cell r="E850"/>
          <cell r="F850"/>
          <cell r="G850"/>
          <cell r="J850"/>
          <cell r="K850"/>
          <cell r="L850"/>
          <cell r="N850"/>
          <cell r="O850"/>
          <cell r="P850"/>
        </row>
        <row r="851">
          <cell r="A851"/>
          <cell r="B851"/>
          <cell r="C851"/>
          <cell r="E851"/>
          <cell r="F851"/>
          <cell r="G851"/>
          <cell r="J851"/>
          <cell r="K851"/>
          <cell r="L851"/>
          <cell r="N851"/>
          <cell r="O851"/>
          <cell r="P851"/>
        </row>
        <row r="852">
          <cell r="A852"/>
          <cell r="B852"/>
          <cell r="C852"/>
          <cell r="E852"/>
          <cell r="F852"/>
          <cell r="G852"/>
          <cell r="J852"/>
          <cell r="K852"/>
          <cell r="L852"/>
          <cell r="N852"/>
          <cell r="O852"/>
          <cell r="P852"/>
        </row>
        <row r="853">
          <cell r="A853"/>
          <cell r="B853"/>
          <cell r="C853"/>
          <cell r="E853"/>
          <cell r="F853"/>
          <cell r="G853"/>
          <cell r="J853"/>
          <cell r="K853"/>
          <cell r="L853"/>
          <cell r="N853"/>
          <cell r="O853"/>
          <cell r="P853"/>
        </row>
        <row r="854">
          <cell r="A854"/>
          <cell r="B854"/>
          <cell r="C854"/>
          <cell r="E854"/>
          <cell r="F854"/>
          <cell r="G854"/>
          <cell r="J854"/>
          <cell r="K854"/>
          <cell r="L854"/>
          <cell r="N854"/>
          <cell r="O854"/>
          <cell r="P854"/>
        </row>
        <row r="855">
          <cell r="A855"/>
          <cell r="B855"/>
          <cell r="C855"/>
          <cell r="E855"/>
          <cell r="F855"/>
          <cell r="G855"/>
          <cell r="J855"/>
          <cell r="K855"/>
          <cell r="L855"/>
          <cell r="N855"/>
          <cell r="O855"/>
          <cell r="P855"/>
        </row>
        <row r="856">
          <cell r="A856"/>
          <cell r="B856"/>
          <cell r="C856"/>
          <cell r="E856"/>
          <cell r="F856"/>
          <cell r="G856"/>
          <cell r="J856"/>
          <cell r="K856"/>
          <cell r="L856"/>
          <cell r="N856"/>
          <cell r="O856"/>
          <cell r="P856"/>
        </row>
        <row r="857">
          <cell r="A857"/>
          <cell r="B857"/>
          <cell r="C857"/>
          <cell r="E857"/>
          <cell r="F857"/>
          <cell r="G857"/>
          <cell r="J857"/>
          <cell r="K857"/>
          <cell r="L857"/>
          <cell r="N857"/>
          <cell r="O857"/>
          <cell r="P857"/>
        </row>
        <row r="858">
          <cell r="A858"/>
          <cell r="B858"/>
          <cell r="C858"/>
          <cell r="E858"/>
          <cell r="F858"/>
          <cell r="G858"/>
          <cell r="J858"/>
          <cell r="K858"/>
          <cell r="L858"/>
          <cell r="N858"/>
          <cell r="O858"/>
          <cell r="P858"/>
        </row>
        <row r="859">
          <cell r="A859"/>
          <cell r="B859"/>
          <cell r="C859"/>
          <cell r="E859"/>
          <cell r="F859"/>
          <cell r="G859"/>
          <cell r="J859"/>
          <cell r="K859"/>
          <cell r="L859"/>
          <cell r="N859"/>
          <cell r="O859"/>
          <cell r="P859"/>
        </row>
        <row r="860">
          <cell r="A860"/>
          <cell r="B860"/>
          <cell r="C860"/>
          <cell r="E860"/>
          <cell r="F860"/>
          <cell r="G860"/>
          <cell r="J860"/>
          <cell r="K860"/>
          <cell r="L860"/>
          <cell r="N860"/>
          <cell r="O860"/>
          <cell r="P860"/>
        </row>
        <row r="861">
          <cell r="A861"/>
          <cell r="B861"/>
          <cell r="C861"/>
          <cell r="E861"/>
          <cell r="F861"/>
          <cell r="G861"/>
          <cell r="J861"/>
          <cell r="K861"/>
          <cell r="L861"/>
          <cell r="N861"/>
          <cell r="O861"/>
          <cell r="P861"/>
        </row>
        <row r="862">
          <cell r="A862"/>
          <cell r="B862"/>
          <cell r="C862"/>
          <cell r="E862"/>
          <cell r="F862"/>
          <cell r="G862"/>
          <cell r="J862"/>
          <cell r="K862"/>
          <cell r="L862"/>
          <cell r="N862"/>
          <cell r="O862"/>
          <cell r="P862"/>
        </row>
        <row r="863">
          <cell r="A863"/>
          <cell r="B863"/>
          <cell r="C863"/>
          <cell r="E863"/>
          <cell r="F863"/>
          <cell r="G863"/>
          <cell r="J863"/>
          <cell r="K863"/>
          <cell r="L863"/>
          <cell r="N863"/>
          <cell r="O863"/>
          <cell r="P863"/>
        </row>
        <row r="864">
          <cell r="A864"/>
          <cell r="B864"/>
          <cell r="C864"/>
          <cell r="E864"/>
          <cell r="F864"/>
          <cell r="G864"/>
          <cell r="J864"/>
          <cell r="K864"/>
          <cell r="L864"/>
          <cell r="N864"/>
          <cell r="O864"/>
          <cell r="P864"/>
        </row>
        <row r="865">
          <cell r="A865"/>
          <cell r="B865"/>
          <cell r="C865"/>
          <cell r="E865"/>
          <cell r="F865"/>
          <cell r="G865"/>
          <cell r="J865"/>
          <cell r="K865"/>
          <cell r="L865"/>
          <cell r="N865"/>
          <cell r="O865"/>
          <cell r="P865"/>
        </row>
        <row r="866">
          <cell r="A866"/>
          <cell r="B866"/>
          <cell r="C866"/>
          <cell r="E866"/>
          <cell r="F866"/>
          <cell r="G866"/>
          <cell r="J866"/>
          <cell r="K866"/>
          <cell r="L866"/>
          <cell r="N866"/>
          <cell r="O866"/>
          <cell r="P866"/>
        </row>
        <row r="867">
          <cell r="A867"/>
          <cell r="B867"/>
          <cell r="C867"/>
          <cell r="E867"/>
          <cell r="F867"/>
          <cell r="G867"/>
          <cell r="J867"/>
          <cell r="K867"/>
          <cell r="L867"/>
          <cell r="N867"/>
          <cell r="O867"/>
          <cell r="P867"/>
        </row>
        <row r="868">
          <cell r="A868"/>
          <cell r="B868"/>
          <cell r="C868"/>
          <cell r="E868"/>
          <cell r="F868"/>
          <cell r="G868"/>
          <cell r="J868"/>
          <cell r="K868"/>
          <cell r="L868"/>
          <cell r="N868"/>
          <cell r="O868"/>
          <cell r="P868"/>
        </row>
        <row r="869">
          <cell r="A869"/>
          <cell r="B869"/>
          <cell r="C869"/>
          <cell r="E869"/>
          <cell r="F869"/>
          <cell r="G869"/>
          <cell r="J869"/>
          <cell r="K869"/>
          <cell r="L869"/>
          <cell r="N869"/>
          <cell r="O869"/>
          <cell r="P869"/>
        </row>
        <row r="870">
          <cell r="A870"/>
          <cell r="B870"/>
          <cell r="C870"/>
          <cell r="E870"/>
          <cell r="F870"/>
          <cell r="G870"/>
          <cell r="J870"/>
          <cell r="K870"/>
          <cell r="L870"/>
          <cell r="N870"/>
          <cell r="O870"/>
          <cell r="P870"/>
        </row>
        <row r="871">
          <cell r="A871"/>
          <cell r="B871"/>
          <cell r="C871"/>
          <cell r="E871"/>
          <cell r="F871"/>
          <cell r="G871"/>
          <cell r="J871"/>
          <cell r="K871"/>
          <cell r="L871"/>
          <cell r="N871"/>
          <cell r="O871"/>
          <cell r="P871"/>
        </row>
        <row r="872">
          <cell r="A872"/>
          <cell r="B872"/>
          <cell r="C872"/>
          <cell r="E872"/>
          <cell r="F872"/>
          <cell r="G872"/>
          <cell r="J872"/>
          <cell r="K872"/>
          <cell r="L872"/>
          <cell r="N872"/>
          <cell r="O872"/>
          <cell r="P872"/>
        </row>
        <row r="873">
          <cell r="A873"/>
          <cell r="B873"/>
          <cell r="C873"/>
          <cell r="E873"/>
          <cell r="F873"/>
          <cell r="G873"/>
          <cell r="J873"/>
          <cell r="K873"/>
          <cell r="L873"/>
          <cell r="N873"/>
          <cell r="O873"/>
          <cell r="P873"/>
        </row>
        <row r="874">
          <cell r="A874"/>
          <cell r="B874"/>
          <cell r="C874"/>
          <cell r="E874"/>
          <cell r="F874"/>
          <cell r="G874"/>
          <cell r="J874"/>
          <cell r="K874"/>
          <cell r="L874"/>
          <cell r="N874"/>
          <cell r="O874"/>
          <cell r="P874"/>
        </row>
        <row r="875">
          <cell r="A875"/>
          <cell r="B875"/>
          <cell r="C875"/>
          <cell r="E875"/>
          <cell r="F875"/>
          <cell r="G875"/>
          <cell r="J875"/>
          <cell r="K875"/>
          <cell r="L875"/>
          <cell r="N875"/>
          <cell r="O875"/>
          <cell r="P875"/>
        </row>
        <row r="876">
          <cell r="A876"/>
          <cell r="B876"/>
          <cell r="C876"/>
          <cell r="E876"/>
          <cell r="F876"/>
          <cell r="G876"/>
          <cell r="J876"/>
          <cell r="K876"/>
          <cell r="L876"/>
          <cell r="N876"/>
          <cell r="O876"/>
          <cell r="P876"/>
        </row>
        <row r="877">
          <cell r="A877"/>
          <cell r="B877"/>
          <cell r="C877"/>
          <cell r="E877"/>
          <cell r="F877"/>
          <cell r="G877"/>
          <cell r="J877"/>
          <cell r="K877"/>
          <cell r="L877"/>
          <cell r="N877"/>
          <cell r="O877"/>
          <cell r="P877"/>
        </row>
        <row r="878">
          <cell r="A878"/>
          <cell r="B878"/>
          <cell r="C878"/>
          <cell r="E878"/>
          <cell r="F878"/>
          <cell r="G878"/>
          <cell r="J878"/>
          <cell r="K878"/>
          <cell r="L878"/>
          <cell r="N878"/>
          <cell r="O878"/>
          <cell r="P878"/>
        </row>
        <row r="879">
          <cell r="A879"/>
          <cell r="B879"/>
          <cell r="C879"/>
          <cell r="E879"/>
          <cell r="F879"/>
          <cell r="G879"/>
          <cell r="J879"/>
          <cell r="K879"/>
          <cell r="L879"/>
          <cell r="N879"/>
          <cell r="O879"/>
          <cell r="P879"/>
        </row>
        <row r="880">
          <cell r="A880"/>
          <cell r="B880"/>
          <cell r="C880"/>
          <cell r="E880"/>
          <cell r="F880"/>
          <cell r="G880"/>
          <cell r="J880"/>
          <cell r="K880"/>
          <cell r="L880"/>
          <cell r="N880"/>
          <cell r="O880"/>
          <cell r="P880"/>
        </row>
        <row r="881">
          <cell r="A881"/>
          <cell r="B881"/>
          <cell r="C881"/>
          <cell r="E881"/>
          <cell r="F881"/>
          <cell r="G881"/>
          <cell r="J881"/>
          <cell r="K881"/>
          <cell r="L881"/>
          <cell r="N881"/>
          <cell r="O881"/>
          <cell r="P881"/>
        </row>
        <row r="882">
          <cell r="A882"/>
          <cell r="B882"/>
          <cell r="C882"/>
          <cell r="E882"/>
          <cell r="F882"/>
          <cell r="G882"/>
          <cell r="J882"/>
          <cell r="K882"/>
          <cell r="L882"/>
          <cell r="N882"/>
          <cell r="O882"/>
          <cell r="P882"/>
        </row>
        <row r="883">
          <cell r="A883"/>
          <cell r="B883"/>
          <cell r="C883"/>
          <cell r="E883"/>
          <cell r="F883"/>
          <cell r="G883"/>
          <cell r="J883"/>
          <cell r="K883"/>
          <cell r="L883"/>
          <cell r="N883"/>
          <cell r="O883"/>
          <cell r="P883"/>
        </row>
        <row r="884">
          <cell r="A884"/>
          <cell r="B884"/>
          <cell r="C884"/>
          <cell r="E884"/>
          <cell r="F884"/>
          <cell r="G884"/>
          <cell r="J884"/>
          <cell r="K884"/>
          <cell r="L884"/>
          <cell r="N884"/>
          <cell r="O884"/>
          <cell r="P884"/>
        </row>
        <row r="885">
          <cell r="A885"/>
          <cell r="B885"/>
          <cell r="C885"/>
          <cell r="E885"/>
          <cell r="F885"/>
          <cell r="G885"/>
          <cell r="J885"/>
          <cell r="K885"/>
          <cell r="L885"/>
          <cell r="N885"/>
          <cell r="O885"/>
          <cell r="P885"/>
        </row>
        <row r="886">
          <cell r="A886"/>
          <cell r="B886"/>
          <cell r="C886"/>
          <cell r="E886"/>
          <cell r="F886"/>
          <cell r="G886"/>
          <cell r="J886"/>
          <cell r="K886"/>
          <cell r="L886"/>
          <cell r="N886"/>
          <cell r="O886"/>
          <cell r="P886"/>
        </row>
        <row r="887">
          <cell r="A887"/>
          <cell r="B887"/>
          <cell r="C887"/>
          <cell r="E887"/>
          <cell r="F887"/>
          <cell r="G887"/>
          <cell r="J887"/>
          <cell r="K887"/>
          <cell r="L887"/>
          <cell r="N887"/>
          <cell r="O887"/>
          <cell r="P887"/>
        </row>
        <row r="888">
          <cell r="A888"/>
          <cell r="B888"/>
          <cell r="C888"/>
          <cell r="E888"/>
          <cell r="F888"/>
          <cell r="G888"/>
          <cell r="J888"/>
          <cell r="K888"/>
          <cell r="L888"/>
          <cell r="N888"/>
          <cell r="O888"/>
          <cell r="P888"/>
        </row>
        <row r="889">
          <cell r="A889"/>
          <cell r="B889"/>
          <cell r="C889"/>
          <cell r="E889"/>
          <cell r="F889"/>
          <cell r="G889"/>
          <cell r="J889"/>
          <cell r="K889"/>
          <cell r="L889"/>
          <cell r="N889"/>
          <cell r="O889"/>
          <cell r="P889"/>
        </row>
        <row r="890">
          <cell r="A890"/>
          <cell r="B890"/>
          <cell r="C890"/>
          <cell r="E890"/>
          <cell r="F890"/>
          <cell r="G890"/>
          <cell r="J890"/>
          <cell r="K890"/>
          <cell r="L890"/>
          <cell r="N890"/>
          <cell r="O890"/>
          <cell r="P890"/>
        </row>
        <row r="891">
          <cell r="A891"/>
          <cell r="B891"/>
          <cell r="C891"/>
          <cell r="E891"/>
          <cell r="F891"/>
          <cell r="G891"/>
          <cell r="J891"/>
          <cell r="K891"/>
          <cell r="L891"/>
          <cell r="N891"/>
          <cell r="O891"/>
          <cell r="P891"/>
        </row>
        <row r="892">
          <cell r="A892"/>
          <cell r="B892"/>
          <cell r="C892"/>
          <cell r="E892"/>
          <cell r="F892"/>
          <cell r="G892"/>
          <cell r="J892"/>
          <cell r="K892"/>
          <cell r="L892"/>
          <cell r="N892"/>
          <cell r="O892"/>
          <cell r="P892"/>
        </row>
        <row r="893">
          <cell r="A893"/>
          <cell r="B893"/>
          <cell r="C893"/>
          <cell r="E893"/>
          <cell r="F893"/>
          <cell r="G893"/>
          <cell r="J893"/>
          <cell r="K893"/>
          <cell r="L893"/>
          <cell r="N893"/>
          <cell r="O893"/>
          <cell r="P893"/>
        </row>
        <row r="894">
          <cell r="A894"/>
          <cell r="B894"/>
          <cell r="C894"/>
          <cell r="E894"/>
          <cell r="F894"/>
          <cell r="G894"/>
          <cell r="J894"/>
          <cell r="K894"/>
          <cell r="L894"/>
          <cell r="N894"/>
          <cell r="O894"/>
          <cell r="P894"/>
        </row>
        <row r="895">
          <cell r="A895"/>
          <cell r="B895"/>
          <cell r="C895"/>
          <cell r="E895"/>
          <cell r="F895"/>
          <cell r="G895"/>
          <cell r="J895"/>
          <cell r="K895"/>
          <cell r="L895"/>
          <cell r="N895"/>
          <cell r="O895"/>
          <cell r="P895"/>
        </row>
        <row r="896">
          <cell r="A896"/>
          <cell r="B896"/>
          <cell r="C896"/>
          <cell r="E896"/>
          <cell r="F896"/>
          <cell r="G896"/>
          <cell r="J896"/>
          <cell r="K896"/>
          <cell r="L896"/>
          <cell r="N896"/>
          <cell r="O896"/>
          <cell r="P896"/>
        </row>
        <row r="897">
          <cell r="A897"/>
          <cell r="B897"/>
          <cell r="C897"/>
          <cell r="E897"/>
          <cell r="F897"/>
          <cell r="G897"/>
          <cell r="J897"/>
          <cell r="K897"/>
          <cell r="L897"/>
          <cell r="N897"/>
          <cell r="O897"/>
          <cell r="P897"/>
        </row>
        <row r="898">
          <cell r="A898"/>
          <cell r="B898"/>
          <cell r="C898"/>
          <cell r="E898"/>
          <cell r="F898"/>
          <cell r="G898"/>
          <cell r="J898"/>
          <cell r="K898"/>
          <cell r="L898"/>
          <cell r="N898"/>
          <cell r="O898"/>
          <cell r="P898"/>
        </row>
        <row r="899">
          <cell r="A899"/>
          <cell r="B899"/>
          <cell r="C899"/>
          <cell r="E899"/>
          <cell r="F899"/>
          <cell r="G899"/>
          <cell r="J899"/>
          <cell r="K899"/>
          <cell r="L899"/>
          <cell r="N899"/>
          <cell r="O899"/>
          <cell r="P899"/>
        </row>
        <row r="900">
          <cell r="A900"/>
          <cell r="B900"/>
          <cell r="C900"/>
          <cell r="E900"/>
          <cell r="F900"/>
          <cell r="G900"/>
          <cell r="J900"/>
          <cell r="K900"/>
          <cell r="L900"/>
          <cell r="N900"/>
          <cell r="O900"/>
          <cell r="P900"/>
        </row>
        <row r="901">
          <cell r="A901"/>
          <cell r="B901"/>
          <cell r="C901"/>
          <cell r="E901"/>
          <cell r="F901"/>
          <cell r="G901"/>
          <cell r="J901"/>
          <cell r="K901"/>
          <cell r="L901"/>
          <cell r="N901"/>
          <cell r="O901"/>
          <cell r="P901"/>
        </row>
        <row r="902">
          <cell r="A902"/>
          <cell r="B902"/>
          <cell r="C902"/>
          <cell r="E902"/>
          <cell r="F902"/>
          <cell r="G902"/>
          <cell r="J902"/>
          <cell r="K902"/>
          <cell r="L902"/>
          <cell r="N902"/>
          <cell r="O902"/>
          <cell r="P902"/>
        </row>
        <row r="903">
          <cell r="A903"/>
          <cell r="B903"/>
          <cell r="C903"/>
          <cell r="E903"/>
          <cell r="F903"/>
          <cell r="G903"/>
          <cell r="J903"/>
          <cell r="K903"/>
          <cell r="L903"/>
          <cell r="N903"/>
          <cell r="O903"/>
          <cell r="P903"/>
        </row>
        <row r="904">
          <cell r="A904"/>
          <cell r="B904"/>
          <cell r="C904"/>
          <cell r="E904"/>
          <cell r="F904"/>
          <cell r="G904"/>
          <cell r="J904"/>
          <cell r="K904"/>
          <cell r="L904"/>
          <cell r="N904"/>
          <cell r="O904"/>
          <cell r="P904"/>
        </row>
        <row r="905">
          <cell r="A905"/>
          <cell r="B905"/>
          <cell r="C905"/>
          <cell r="E905"/>
          <cell r="F905"/>
          <cell r="G905"/>
          <cell r="J905"/>
          <cell r="K905"/>
          <cell r="L905"/>
          <cell r="N905"/>
          <cell r="O905"/>
          <cell r="P905"/>
        </row>
        <row r="906">
          <cell r="A906"/>
          <cell r="B906"/>
          <cell r="C906"/>
          <cell r="E906"/>
          <cell r="F906"/>
          <cell r="G906"/>
          <cell r="J906"/>
          <cell r="K906"/>
          <cell r="L906"/>
          <cell r="N906"/>
          <cell r="O906"/>
          <cell r="P906"/>
        </row>
        <row r="907">
          <cell r="A907"/>
          <cell r="B907"/>
          <cell r="C907"/>
          <cell r="E907"/>
          <cell r="F907"/>
          <cell r="G907"/>
          <cell r="J907"/>
          <cell r="K907"/>
          <cell r="L907"/>
          <cell r="N907"/>
          <cell r="O907"/>
          <cell r="P907"/>
        </row>
        <row r="908">
          <cell r="A908"/>
          <cell r="B908"/>
          <cell r="C908"/>
          <cell r="E908"/>
          <cell r="F908"/>
          <cell r="G908"/>
          <cell r="J908"/>
          <cell r="K908"/>
          <cell r="L908"/>
          <cell r="N908"/>
          <cell r="O908"/>
          <cell r="P908"/>
        </row>
        <row r="909">
          <cell r="A909"/>
          <cell r="B909"/>
          <cell r="C909"/>
          <cell r="E909"/>
          <cell r="F909"/>
          <cell r="G909"/>
          <cell r="J909"/>
          <cell r="K909"/>
          <cell r="L909"/>
          <cell r="N909"/>
          <cell r="O909"/>
          <cell r="P909"/>
        </row>
        <row r="910">
          <cell r="A910"/>
          <cell r="B910"/>
          <cell r="C910"/>
          <cell r="E910"/>
          <cell r="F910"/>
          <cell r="G910"/>
          <cell r="J910"/>
          <cell r="K910"/>
          <cell r="L910"/>
          <cell r="N910"/>
          <cell r="O910"/>
          <cell r="P910"/>
        </row>
        <row r="911">
          <cell r="A911"/>
          <cell r="B911"/>
          <cell r="C911"/>
          <cell r="E911"/>
          <cell r="F911"/>
          <cell r="G911"/>
          <cell r="J911"/>
          <cell r="K911"/>
          <cell r="L911"/>
          <cell r="N911"/>
          <cell r="O911"/>
          <cell r="P911"/>
        </row>
        <row r="912">
          <cell r="A912"/>
          <cell r="B912"/>
          <cell r="C912"/>
          <cell r="E912"/>
          <cell r="F912"/>
          <cell r="G912"/>
          <cell r="J912"/>
          <cell r="K912"/>
          <cell r="L912"/>
          <cell r="N912"/>
          <cell r="O912"/>
          <cell r="P912"/>
        </row>
        <row r="913">
          <cell r="A913"/>
          <cell r="B913"/>
          <cell r="C913"/>
          <cell r="E913"/>
          <cell r="F913"/>
          <cell r="G913"/>
          <cell r="J913"/>
          <cell r="K913"/>
          <cell r="L913"/>
          <cell r="N913"/>
          <cell r="O913"/>
          <cell r="P913"/>
        </row>
        <row r="914">
          <cell r="A914"/>
          <cell r="B914"/>
          <cell r="C914"/>
          <cell r="E914"/>
          <cell r="F914"/>
          <cell r="G914"/>
          <cell r="J914"/>
          <cell r="K914"/>
          <cell r="L914"/>
          <cell r="N914"/>
          <cell r="O914"/>
          <cell r="P914"/>
        </row>
        <row r="915">
          <cell r="A915"/>
          <cell r="B915"/>
          <cell r="C915"/>
          <cell r="E915"/>
          <cell r="F915"/>
          <cell r="G915"/>
          <cell r="J915"/>
          <cell r="K915"/>
          <cell r="L915"/>
          <cell r="N915"/>
          <cell r="O915"/>
          <cell r="P915"/>
        </row>
        <row r="916">
          <cell r="A916"/>
          <cell r="B916"/>
          <cell r="C916"/>
          <cell r="E916"/>
          <cell r="F916"/>
          <cell r="G916"/>
          <cell r="J916"/>
          <cell r="K916"/>
          <cell r="L916"/>
          <cell r="N916"/>
          <cell r="O916"/>
          <cell r="P916"/>
        </row>
        <row r="917">
          <cell r="A917"/>
          <cell r="B917"/>
          <cell r="C917"/>
          <cell r="E917"/>
          <cell r="F917"/>
          <cell r="G917"/>
          <cell r="J917"/>
          <cell r="K917"/>
          <cell r="L917"/>
          <cell r="N917"/>
          <cell r="O917"/>
          <cell r="P917"/>
        </row>
        <row r="918">
          <cell r="A918"/>
          <cell r="B918"/>
          <cell r="C918"/>
          <cell r="E918"/>
          <cell r="F918"/>
          <cell r="G918"/>
          <cell r="J918"/>
          <cell r="K918"/>
          <cell r="L918"/>
          <cell r="N918"/>
          <cell r="O918"/>
          <cell r="P918"/>
        </row>
        <row r="919">
          <cell r="A919"/>
          <cell r="B919"/>
          <cell r="C919"/>
          <cell r="E919"/>
          <cell r="F919"/>
          <cell r="G919"/>
          <cell r="J919"/>
          <cell r="K919"/>
          <cell r="L919"/>
          <cell r="N919"/>
          <cell r="O919"/>
          <cell r="P919"/>
        </row>
        <row r="920">
          <cell r="A920"/>
          <cell r="B920"/>
          <cell r="C920"/>
          <cell r="E920"/>
          <cell r="F920"/>
          <cell r="G920"/>
          <cell r="J920"/>
          <cell r="K920"/>
          <cell r="L920"/>
          <cell r="N920"/>
          <cell r="O920"/>
          <cell r="P920"/>
        </row>
        <row r="921">
          <cell r="A921"/>
          <cell r="B921"/>
          <cell r="C921"/>
          <cell r="E921"/>
          <cell r="F921"/>
          <cell r="G921"/>
          <cell r="J921"/>
          <cell r="K921"/>
          <cell r="L921"/>
          <cell r="N921"/>
          <cell r="O921"/>
          <cell r="P921"/>
        </row>
        <row r="922">
          <cell r="A922"/>
          <cell r="B922"/>
          <cell r="C922"/>
          <cell r="E922"/>
          <cell r="F922"/>
          <cell r="G922"/>
          <cell r="J922"/>
          <cell r="K922"/>
          <cell r="L922"/>
          <cell r="N922"/>
          <cell r="O922"/>
          <cell r="P922"/>
        </row>
        <row r="923">
          <cell r="A923"/>
          <cell r="B923"/>
          <cell r="C923"/>
          <cell r="E923"/>
          <cell r="F923"/>
          <cell r="G923"/>
          <cell r="J923"/>
          <cell r="K923"/>
          <cell r="L923"/>
          <cell r="N923"/>
          <cell r="O923"/>
          <cell r="P923"/>
        </row>
        <row r="924">
          <cell r="A924"/>
          <cell r="B924"/>
          <cell r="C924"/>
          <cell r="E924"/>
          <cell r="F924"/>
          <cell r="G924"/>
          <cell r="J924"/>
          <cell r="K924"/>
          <cell r="L924"/>
          <cell r="N924"/>
          <cell r="O924"/>
          <cell r="P924"/>
        </row>
        <row r="925">
          <cell r="A925"/>
          <cell r="B925"/>
          <cell r="C925"/>
          <cell r="E925"/>
          <cell r="F925"/>
          <cell r="G925"/>
          <cell r="J925"/>
          <cell r="K925"/>
          <cell r="L925"/>
          <cell r="N925"/>
          <cell r="O925"/>
          <cell r="P925"/>
        </row>
        <row r="926">
          <cell r="A926"/>
          <cell r="B926"/>
          <cell r="C926"/>
          <cell r="E926"/>
          <cell r="F926"/>
          <cell r="G926"/>
          <cell r="J926"/>
          <cell r="K926"/>
          <cell r="L926"/>
          <cell r="N926"/>
          <cell r="O926"/>
          <cell r="P926"/>
        </row>
        <row r="927">
          <cell r="A927"/>
          <cell r="B927"/>
          <cell r="C927"/>
          <cell r="E927"/>
          <cell r="F927"/>
          <cell r="G927"/>
          <cell r="J927"/>
          <cell r="K927"/>
          <cell r="L927"/>
          <cell r="N927"/>
          <cell r="O927"/>
          <cell r="P927"/>
        </row>
        <row r="928">
          <cell r="A928"/>
          <cell r="B928"/>
          <cell r="C928"/>
          <cell r="E928"/>
          <cell r="F928"/>
          <cell r="G928"/>
          <cell r="J928"/>
          <cell r="K928"/>
          <cell r="L928"/>
          <cell r="N928"/>
          <cell r="O928"/>
          <cell r="P928"/>
        </row>
        <row r="929">
          <cell r="A929"/>
          <cell r="B929"/>
          <cell r="C929"/>
          <cell r="E929"/>
          <cell r="F929"/>
          <cell r="G929"/>
          <cell r="J929"/>
          <cell r="K929"/>
          <cell r="L929"/>
          <cell r="N929"/>
          <cell r="O929"/>
          <cell r="P929"/>
        </row>
        <row r="930">
          <cell r="A930"/>
          <cell r="B930"/>
          <cell r="C930"/>
          <cell r="E930"/>
          <cell r="F930"/>
          <cell r="G930"/>
          <cell r="J930"/>
          <cell r="K930"/>
          <cell r="L930"/>
          <cell r="N930"/>
          <cell r="O930"/>
          <cell r="P930"/>
        </row>
        <row r="931">
          <cell r="A931"/>
          <cell r="B931"/>
          <cell r="C931"/>
          <cell r="E931"/>
          <cell r="F931"/>
          <cell r="G931"/>
          <cell r="J931"/>
          <cell r="K931"/>
          <cell r="L931"/>
          <cell r="N931"/>
          <cell r="O931"/>
          <cell r="P931"/>
        </row>
        <row r="932">
          <cell r="A932"/>
          <cell r="B932"/>
          <cell r="C932"/>
          <cell r="E932"/>
          <cell r="F932"/>
          <cell r="G932"/>
          <cell r="J932"/>
          <cell r="K932"/>
          <cell r="L932"/>
          <cell r="N932"/>
          <cell r="O932"/>
          <cell r="P932"/>
        </row>
        <row r="933">
          <cell r="A933"/>
          <cell r="B933"/>
          <cell r="C933"/>
          <cell r="E933"/>
          <cell r="F933"/>
          <cell r="G933"/>
          <cell r="J933"/>
          <cell r="K933"/>
          <cell r="L933"/>
          <cell r="N933"/>
          <cell r="O933"/>
          <cell r="P933"/>
        </row>
        <row r="934">
          <cell r="A934"/>
          <cell r="B934"/>
          <cell r="C934"/>
          <cell r="E934"/>
          <cell r="F934"/>
          <cell r="G934"/>
          <cell r="J934"/>
          <cell r="K934"/>
          <cell r="L934"/>
          <cell r="N934"/>
          <cell r="O934"/>
          <cell r="P934"/>
        </row>
        <row r="935">
          <cell r="A935"/>
          <cell r="B935"/>
          <cell r="C935"/>
          <cell r="E935"/>
          <cell r="F935"/>
          <cell r="G935"/>
          <cell r="J935"/>
          <cell r="K935"/>
          <cell r="L935"/>
          <cell r="N935"/>
          <cell r="O935"/>
          <cell r="P935"/>
        </row>
        <row r="936">
          <cell r="A936"/>
          <cell r="B936"/>
          <cell r="C936"/>
          <cell r="E936"/>
          <cell r="F936"/>
          <cell r="G936"/>
          <cell r="J936"/>
          <cell r="K936"/>
          <cell r="L936"/>
          <cell r="N936"/>
          <cell r="O936"/>
          <cell r="P936"/>
        </row>
        <row r="937">
          <cell r="A937"/>
          <cell r="B937"/>
          <cell r="C937"/>
          <cell r="E937"/>
          <cell r="F937"/>
          <cell r="G937"/>
          <cell r="J937"/>
          <cell r="K937"/>
          <cell r="L937"/>
          <cell r="N937"/>
          <cell r="O937"/>
          <cell r="P937"/>
        </row>
        <row r="938">
          <cell r="A938"/>
          <cell r="B938"/>
          <cell r="C938"/>
          <cell r="E938"/>
          <cell r="F938"/>
          <cell r="G938"/>
          <cell r="J938"/>
          <cell r="K938"/>
          <cell r="L938"/>
          <cell r="N938"/>
          <cell r="O938"/>
          <cell r="P938"/>
        </row>
        <row r="939">
          <cell r="A939"/>
          <cell r="B939"/>
          <cell r="C939"/>
          <cell r="E939"/>
          <cell r="F939"/>
          <cell r="G939"/>
          <cell r="J939"/>
          <cell r="K939"/>
          <cell r="L939"/>
          <cell r="N939"/>
          <cell r="O939"/>
          <cell r="P939"/>
        </row>
        <row r="940">
          <cell r="A940"/>
          <cell r="B940"/>
          <cell r="C940"/>
          <cell r="E940"/>
          <cell r="F940"/>
          <cell r="G940"/>
          <cell r="J940"/>
          <cell r="K940"/>
          <cell r="L940"/>
          <cell r="N940"/>
          <cell r="O940"/>
          <cell r="P940"/>
        </row>
        <row r="941">
          <cell r="A941"/>
          <cell r="B941"/>
          <cell r="C941"/>
          <cell r="E941"/>
          <cell r="F941"/>
          <cell r="G941"/>
          <cell r="J941"/>
          <cell r="K941"/>
          <cell r="L941"/>
          <cell r="N941"/>
          <cell r="O941"/>
          <cell r="P941"/>
        </row>
        <row r="942">
          <cell r="A942"/>
          <cell r="B942"/>
          <cell r="C942"/>
          <cell r="E942"/>
          <cell r="F942"/>
          <cell r="G942"/>
          <cell r="J942"/>
          <cell r="K942"/>
          <cell r="L942"/>
          <cell r="N942"/>
          <cell r="O942"/>
          <cell r="P942"/>
        </row>
        <row r="943">
          <cell r="A943"/>
          <cell r="B943"/>
          <cell r="C943"/>
          <cell r="E943"/>
          <cell r="F943"/>
          <cell r="G943"/>
          <cell r="J943"/>
          <cell r="K943"/>
          <cell r="L943"/>
          <cell r="N943"/>
          <cell r="O943"/>
          <cell r="P943"/>
        </row>
        <row r="944">
          <cell r="A944"/>
          <cell r="B944"/>
          <cell r="C944"/>
          <cell r="E944"/>
          <cell r="F944"/>
          <cell r="G944"/>
          <cell r="J944"/>
          <cell r="K944"/>
          <cell r="L944"/>
          <cell r="N944"/>
          <cell r="O944"/>
          <cell r="P944"/>
        </row>
        <row r="945">
          <cell r="A945"/>
          <cell r="B945"/>
          <cell r="C945"/>
          <cell r="E945"/>
          <cell r="F945"/>
          <cell r="G945"/>
          <cell r="J945"/>
          <cell r="K945"/>
          <cell r="L945"/>
          <cell r="N945"/>
          <cell r="O945"/>
          <cell r="P945"/>
        </row>
        <row r="946">
          <cell r="A946"/>
          <cell r="B946"/>
          <cell r="C946"/>
          <cell r="E946"/>
          <cell r="F946"/>
          <cell r="G946"/>
          <cell r="J946"/>
          <cell r="K946"/>
          <cell r="L946"/>
          <cell r="N946"/>
          <cell r="O946"/>
          <cell r="P946"/>
        </row>
        <row r="947">
          <cell r="A947"/>
          <cell r="B947"/>
          <cell r="C947"/>
          <cell r="E947"/>
          <cell r="F947"/>
          <cell r="G947"/>
          <cell r="J947"/>
          <cell r="K947"/>
          <cell r="L947"/>
          <cell r="N947"/>
          <cell r="O947"/>
          <cell r="P947"/>
        </row>
        <row r="948">
          <cell r="A948"/>
          <cell r="B948"/>
          <cell r="C948"/>
          <cell r="E948"/>
          <cell r="F948"/>
          <cell r="G948"/>
          <cell r="J948"/>
          <cell r="K948"/>
          <cell r="L948"/>
          <cell r="N948"/>
          <cell r="O948"/>
          <cell r="P948"/>
        </row>
        <row r="949">
          <cell r="A949"/>
          <cell r="B949"/>
          <cell r="C949"/>
          <cell r="E949"/>
          <cell r="F949"/>
          <cell r="G949"/>
          <cell r="J949"/>
          <cell r="K949"/>
          <cell r="L949"/>
          <cell r="N949"/>
          <cell r="O949"/>
          <cell r="P949"/>
        </row>
        <row r="950">
          <cell r="A950"/>
          <cell r="B950"/>
          <cell r="C950"/>
          <cell r="E950"/>
          <cell r="F950"/>
          <cell r="G950"/>
          <cell r="J950"/>
          <cell r="K950"/>
          <cell r="L950"/>
          <cell r="N950"/>
          <cell r="O950"/>
          <cell r="P950"/>
        </row>
        <row r="951">
          <cell r="A951"/>
          <cell r="B951"/>
          <cell r="C951"/>
          <cell r="E951"/>
          <cell r="F951"/>
          <cell r="G951"/>
          <cell r="J951"/>
          <cell r="K951"/>
          <cell r="L951"/>
          <cell r="N951"/>
          <cell r="O951"/>
          <cell r="P951"/>
        </row>
        <row r="952">
          <cell r="A952"/>
          <cell r="B952"/>
          <cell r="C952"/>
          <cell r="E952"/>
          <cell r="F952"/>
          <cell r="G952"/>
          <cell r="J952"/>
          <cell r="K952"/>
          <cell r="L952"/>
          <cell r="N952"/>
          <cell r="O952"/>
          <cell r="P952"/>
        </row>
        <row r="953">
          <cell r="A953"/>
          <cell r="B953"/>
          <cell r="C953"/>
          <cell r="E953"/>
          <cell r="F953"/>
          <cell r="G953"/>
          <cell r="J953"/>
          <cell r="K953"/>
          <cell r="L953"/>
          <cell r="N953"/>
          <cell r="O953"/>
          <cell r="P953"/>
        </row>
        <row r="954">
          <cell r="A954"/>
          <cell r="B954"/>
          <cell r="C954"/>
          <cell r="E954"/>
          <cell r="F954"/>
          <cell r="G954"/>
          <cell r="J954"/>
          <cell r="K954"/>
          <cell r="L954"/>
          <cell r="N954"/>
          <cell r="O954"/>
          <cell r="P954"/>
        </row>
        <row r="955">
          <cell r="A955"/>
          <cell r="B955"/>
          <cell r="C955"/>
          <cell r="E955"/>
          <cell r="F955"/>
          <cell r="G955"/>
          <cell r="J955"/>
          <cell r="K955"/>
          <cell r="L955"/>
          <cell r="N955"/>
          <cell r="O955"/>
          <cell r="P955"/>
        </row>
        <row r="956">
          <cell r="A956"/>
          <cell r="B956"/>
          <cell r="C956"/>
          <cell r="E956"/>
          <cell r="F956"/>
          <cell r="G956"/>
          <cell r="J956"/>
          <cell r="K956"/>
          <cell r="L956"/>
          <cell r="N956"/>
          <cell r="O956"/>
          <cell r="P956"/>
        </row>
        <row r="957">
          <cell r="A957"/>
          <cell r="B957"/>
          <cell r="C957"/>
          <cell r="E957"/>
          <cell r="F957"/>
          <cell r="G957"/>
          <cell r="J957"/>
          <cell r="K957"/>
          <cell r="L957"/>
          <cell r="N957"/>
          <cell r="O957"/>
          <cell r="P957"/>
        </row>
        <row r="958">
          <cell r="A958"/>
          <cell r="B958"/>
          <cell r="C958"/>
          <cell r="E958"/>
          <cell r="F958"/>
          <cell r="G958"/>
          <cell r="J958"/>
          <cell r="K958"/>
          <cell r="L958"/>
          <cell r="N958"/>
          <cell r="O958"/>
          <cell r="P958"/>
        </row>
        <row r="959">
          <cell r="A959"/>
          <cell r="B959"/>
          <cell r="C959"/>
          <cell r="E959"/>
          <cell r="F959"/>
          <cell r="G959"/>
          <cell r="J959"/>
          <cell r="K959"/>
          <cell r="L959"/>
          <cell r="N959"/>
          <cell r="O959"/>
          <cell r="P959"/>
        </row>
        <row r="960">
          <cell r="A960"/>
          <cell r="B960"/>
          <cell r="C960"/>
          <cell r="E960"/>
          <cell r="F960"/>
          <cell r="G960"/>
          <cell r="J960"/>
          <cell r="K960"/>
          <cell r="L960"/>
          <cell r="N960"/>
          <cell r="O960"/>
          <cell r="P960"/>
        </row>
        <row r="961">
          <cell r="A961"/>
          <cell r="B961"/>
          <cell r="C961"/>
          <cell r="E961"/>
          <cell r="F961"/>
          <cell r="G961"/>
          <cell r="J961"/>
          <cell r="K961"/>
          <cell r="L961"/>
          <cell r="N961"/>
          <cell r="O961"/>
          <cell r="P961"/>
        </row>
        <row r="962">
          <cell r="A962"/>
          <cell r="B962"/>
          <cell r="C962"/>
          <cell r="E962"/>
          <cell r="F962"/>
          <cell r="G962"/>
          <cell r="J962"/>
          <cell r="K962"/>
          <cell r="L962"/>
          <cell r="N962"/>
          <cell r="O962"/>
          <cell r="P962"/>
        </row>
        <row r="963">
          <cell r="A963"/>
          <cell r="B963"/>
          <cell r="C963"/>
          <cell r="E963"/>
          <cell r="F963"/>
          <cell r="G963"/>
          <cell r="J963"/>
          <cell r="K963"/>
          <cell r="L963"/>
          <cell r="N963"/>
          <cell r="O963"/>
          <cell r="P963"/>
        </row>
        <row r="964">
          <cell r="A964"/>
          <cell r="B964"/>
          <cell r="C964"/>
          <cell r="E964"/>
          <cell r="F964"/>
          <cell r="G964"/>
          <cell r="J964"/>
          <cell r="K964"/>
          <cell r="L964"/>
          <cell r="N964"/>
          <cell r="O964"/>
          <cell r="P964"/>
        </row>
        <row r="965">
          <cell r="A965"/>
          <cell r="B965"/>
          <cell r="C965"/>
          <cell r="E965"/>
          <cell r="F965"/>
          <cell r="G965"/>
          <cell r="J965"/>
          <cell r="K965"/>
          <cell r="L965"/>
          <cell r="N965"/>
          <cell r="O965"/>
          <cell r="P965"/>
        </row>
        <row r="966">
          <cell r="A966"/>
          <cell r="B966"/>
          <cell r="C966"/>
          <cell r="E966"/>
          <cell r="F966"/>
          <cell r="G966"/>
          <cell r="J966"/>
          <cell r="K966"/>
          <cell r="L966"/>
          <cell r="N966"/>
          <cell r="O966"/>
          <cell r="P966"/>
        </row>
        <row r="967">
          <cell r="A967"/>
          <cell r="B967"/>
          <cell r="C967"/>
          <cell r="E967"/>
          <cell r="F967"/>
          <cell r="G967"/>
          <cell r="J967"/>
          <cell r="K967"/>
          <cell r="L967"/>
          <cell r="N967"/>
          <cell r="O967"/>
          <cell r="P967"/>
        </row>
        <row r="968">
          <cell r="A968"/>
          <cell r="B968"/>
          <cell r="C968"/>
          <cell r="E968"/>
          <cell r="F968"/>
          <cell r="G968"/>
          <cell r="J968"/>
          <cell r="K968"/>
          <cell r="L968"/>
          <cell r="N968"/>
          <cell r="O968"/>
          <cell r="P968"/>
        </row>
        <row r="969">
          <cell r="A969"/>
          <cell r="B969"/>
          <cell r="C969"/>
          <cell r="E969"/>
          <cell r="F969"/>
          <cell r="G969"/>
          <cell r="J969"/>
          <cell r="K969"/>
          <cell r="L969"/>
          <cell r="N969"/>
          <cell r="O969"/>
          <cell r="P969"/>
        </row>
        <row r="970">
          <cell r="A970"/>
          <cell r="B970"/>
          <cell r="C970"/>
          <cell r="E970"/>
          <cell r="F970"/>
          <cell r="G970"/>
          <cell r="J970"/>
          <cell r="K970"/>
          <cell r="L970"/>
          <cell r="N970"/>
          <cell r="O970"/>
          <cell r="P970"/>
        </row>
        <row r="971">
          <cell r="A971"/>
          <cell r="B971"/>
          <cell r="C971"/>
          <cell r="E971"/>
          <cell r="F971"/>
          <cell r="G971"/>
          <cell r="J971"/>
          <cell r="K971"/>
          <cell r="L971"/>
          <cell r="N971"/>
          <cell r="O971"/>
          <cell r="P971"/>
        </row>
        <row r="972">
          <cell r="A972"/>
          <cell r="B972"/>
          <cell r="C972"/>
          <cell r="E972"/>
          <cell r="F972"/>
          <cell r="G972"/>
          <cell r="J972"/>
          <cell r="K972"/>
          <cell r="L972"/>
          <cell r="N972"/>
          <cell r="O972"/>
          <cell r="P972"/>
        </row>
        <row r="973">
          <cell r="A973"/>
          <cell r="B973"/>
          <cell r="C973"/>
          <cell r="E973"/>
          <cell r="F973"/>
          <cell r="G973"/>
          <cell r="J973"/>
          <cell r="K973"/>
          <cell r="L973"/>
          <cell r="N973"/>
          <cell r="O973"/>
          <cell r="P973"/>
        </row>
        <row r="974">
          <cell r="A974"/>
          <cell r="B974"/>
          <cell r="C974"/>
          <cell r="E974"/>
          <cell r="F974"/>
          <cell r="G974"/>
          <cell r="J974"/>
          <cell r="K974"/>
          <cell r="L974"/>
          <cell r="N974"/>
          <cell r="O974"/>
          <cell r="P974"/>
        </row>
        <row r="975">
          <cell r="A975"/>
          <cell r="B975"/>
          <cell r="C975"/>
          <cell r="E975"/>
          <cell r="F975"/>
          <cell r="G975"/>
          <cell r="J975"/>
          <cell r="K975"/>
          <cell r="L975"/>
          <cell r="N975"/>
          <cell r="O975"/>
          <cell r="P975"/>
        </row>
        <row r="976">
          <cell r="A976"/>
          <cell r="B976"/>
          <cell r="C976"/>
          <cell r="E976"/>
          <cell r="F976"/>
          <cell r="G976"/>
          <cell r="J976"/>
          <cell r="K976"/>
          <cell r="L976"/>
          <cell r="N976"/>
          <cell r="O976"/>
          <cell r="P976"/>
        </row>
        <row r="977">
          <cell r="A977"/>
          <cell r="B977"/>
          <cell r="C977"/>
          <cell r="E977"/>
          <cell r="F977"/>
          <cell r="G977"/>
          <cell r="J977"/>
          <cell r="K977"/>
          <cell r="L977"/>
          <cell r="N977"/>
          <cell r="O977"/>
          <cell r="P977"/>
        </row>
        <row r="978">
          <cell r="A978"/>
          <cell r="B978"/>
          <cell r="C978"/>
          <cell r="E978"/>
          <cell r="F978"/>
          <cell r="G978"/>
          <cell r="J978"/>
          <cell r="K978"/>
          <cell r="L978"/>
          <cell r="N978"/>
          <cell r="O978"/>
          <cell r="P978"/>
        </row>
        <row r="979">
          <cell r="A979"/>
          <cell r="B979"/>
          <cell r="C979"/>
          <cell r="E979"/>
          <cell r="F979"/>
          <cell r="G979"/>
          <cell r="J979"/>
          <cell r="K979"/>
          <cell r="L979"/>
          <cell r="N979"/>
          <cell r="O979"/>
          <cell r="P979"/>
        </row>
        <row r="980">
          <cell r="A980"/>
          <cell r="B980"/>
          <cell r="C980"/>
          <cell r="E980"/>
          <cell r="F980"/>
          <cell r="G980"/>
          <cell r="J980"/>
          <cell r="K980"/>
          <cell r="L980"/>
          <cell r="N980"/>
          <cell r="O980"/>
          <cell r="P980"/>
        </row>
        <row r="981">
          <cell r="A981"/>
          <cell r="B981"/>
          <cell r="C981"/>
          <cell r="E981"/>
          <cell r="F981"/>
          <cell r="G981"/>
          <cell r="J981"/>
          <cell r="K981"/>
          <cell r="L981"/>
          <cell r="N981"/>
          <cell r="O981"/>
          <cell r="P981"/>
        </row>
        <row r="982">
          <cell r="A982"/>
          <cell r="B982"/>
          <cell r="C982"/>
          <cell r="E982"/>
          <cell r="F982"/>
          <cell r="G982"/>
          <cell r="J982"/>
          <cell r="K982"/>
          <cell r="L982"/>
          <cell r="N982"/>
          <cell r="O982"/>
          <cell r="P982"/>
        </row>
        <row r="983">
          <cell r="A983"/>
          <cell r="B983"/>
          <cell r="C983"/>
          <cell r="E983"/>
          <cell r="F983"/>
          <cell r="G983"/>
          <cell r="J983"/>
          <cell r="K983"/>
          <cell r="L983"/>
          <cell r="N983"/>
          <cell r="O983"/>
          <cell r="P983"/>
        </row>
        <row r="984">
          <cell r="A984"/>
          <cell r="B984"/>
          <cell r="C984"/>
          <cell r="E984"/>
          <cell r="F984"/>
          <cell r="G984"/>
          <cell r="J984"/>
          <cell r="K984"/>
          <cell r="L984"/>
          <cell r="N984"/>
          <cell r="O984"/>
          <cell r="P984"/>
        </row>
        <row r="985">
          <cell r="A985"/>
          <cell r="B985"/>
          <cell r="C985"/>
          <cell r="E985"/>
          <cell r="F985"/>
          <cell r="G985"/>
          <cell r="J985"/>
          <cell r="K985"/>
          <cell r="L985"/>
          <cell r="N985"/>
          <cell r="O985"/>
          <cell r="P985"/>
        </row>
        <row r="986">
          <cell r="A986"/>
          <cell r="B986"/>
          <cell r="C986"/>
          <cell r="E986"/>
          <cell r="F986"/>
          <cell r="G986"/>
          <cell r="J986"/>
          <cell r="K986"/>
          <cell r="L986"/>
          <cell r="N986"/>
          <cell r="O986"/>
          <cell r="P986"/>
        </row>
        <row r="987">
          <cell r="A987"/>
          <cell r="B987"/>
          <cell r="C987"/>
          <cell r="E987"/>
          <cell r="F987"/>
          <cell r="G987"/>
          <cell r="J987"/>
          <cell r="K987"/>
          <cell r="L987"/>
          <cell r="N987"/>
          <cell r="O987"/>
          <cell r="P987"/>
        </row>
        <row r="988">
          <cell r="A988"/>
          <cell r="B988"/>
          <cell r="C988"/>
          <cell r="E988"/>
          <cell r="F988"/>
          <cell r="G988"/>
          <cell r="J988"/>
          <cell r="K988"/>
          <cell r="L988"/>
          <cell r="N988"/>
          <cell r="O988"/>
          <cell r="P988"/>
        </row>
        <row r="989">
          <cell r="A989"/>
          <cell r="B989"/>
          <cell r="C989"/>
          <cell r="E989"/>
          <cell r="F989"/>
          <cell r="G989"/>
          <cell r="N989"/>
          <cell r="O989"/>
          <cell r="P989"/>
        </row>
        <row r="990">
          <cell r="A990"/>
          <cell r="B990"/>
          <cell r="C990"/>
          <cell r="E990"/>
          <cell r="F990"/>
          <cell r="G990"/>
          <cell r="N990"/>
          <cell r="O990"/>
          <cell r="P990"/>
        </row>
        <row r="991">
          <cell r="A991"/>
          <cell r="B991"/>
          <cell r="C991"/>
          <cell r="E991"/>
          <cell r="F991"/>
          <cell r="G991"/>
          <cell r="N991"/>
          <cell r="O991"/>
          <cell r="P991"/>
        </row>
        <row r="992">
          <cell r="A992"/>
          <cell r="B992"/>
          <cell r="C992"/>
          <cell r="E992"/>
          <cell r="F992"/>
          <cell r="G992"/>
          <cell r="N992"/>
          <cell r="O992"/>
          <cell r="P992"/>
        </row>
        <row r="993">
          <cell r="A993"/>
          <cell r="B993"/>
          <cell r="C993"/>
          <cell r="E993"/>
          <cell r="F993"/>
          <cell r="G993"/>
          <cell r="N993"/>
          <cell r="O993"/>
          <cell r="P993"/>
        </row>
        <row r="994">
          <cell r="A994"/>
          <cell r="B994"/>
          <cell r="C994"/>
          <cell r="E994"/>
          <cell r="F994"/>
          <cell r="G994"/>
          <cell r="N994"/>
          <cell r="O994"/>
          <cell r="P994"/>
        </row>
        <row r="995">
          <cell r="A995"/>
          <cell r="B995"/>
          <cell r="C995"/>
          <cell r="E995"/>
          <cell r="F995"/>
          <cell r="G995"/>
          <cell r="N995"/>
          <cell r="O995"/>
          <cell r="P995"/>
        </row>
        <row r="996">
          <cell r="A996"/>
          <cell r="B996"/>
          <cell r="C996"/>
          <cell r="E996"/>
          <cell r="F996"/>
          <cell r="G996"/>
          <cell r="N996"/>
          <cell r="O996"/>
          <cell r="P996"/>
        </row>
        <row r="997">
          <cell r="A997"/>
          <cell r="B997"/>
          <cell r="C997"/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</sheetNames>
    <sheetDataSet>
      <sheetData sheetId="0">
        <row r="5">
          <cell r="B5" t="str">
            <v>Telefone e Comunicacoes</v>
          </cell>
        </row>
        <row r="6">
          <cell r="B6" t="str">
            <v>Reclamatoria Trabalhista</v>
          </cell>
        </row>
        <row r="7">
          <cell r="B7" t="str">
            <v>Amortizacao</v>
          </cell>
        </row>
        <row r="8">
          <cell r="B8" t="str">
            <v>Amortizacoes</v>
          </cell>
        </row>
        <row r="9">
          <cell r="B9" t="str">
            <v>Depreciacoes</v>
          </cell>
        </row>
        <row r="10">
          <cell r="B10" t="str">
            <v>Depreciacao</v>
          </cell>
        </row>
        <row r="11">
          <cell r="B11" t="str">
            <v>Seguros</v>
          </cell>
        </row>
        <row r="12">
          <cell r="B12" t="str">
            <v>Outros Impostos</v>
          </cell>
        </row>
        <row r="13">
          <cell r="B13" t="str">
            <v>Impostos E Taxas</v>
          </cell>
        </row>
        <row r="14">
          <cell r="B14" t="str">
            <v>Ipva / Seguro Obrig / Licenciamento</v>
          </cell>
        </row>
        <row r="15">
          <cell r="B15" t="str">
            <v>Impostos Municipais</v>
          </cell>
        </row>
        <row r="16">
          <cell r="B16" t="str">
            <v>Multas E Juros Tributarios</v>
          </cell>
        </row>
        <row r="17">
          <cell r="B17" t="str">
            <v>Frete Ovos Granja/Incubatorios</v>
          </cell>
        </row>
        <row r="18">
          <cell r="B18" t="str">
            <v>Informatica / Software</v>
          </cell>
        </row>
        <row r="19">
          <cell r="B19" t="str">
            <v>Custo Frete Transporte De Racao</v>
          </cell>
        </row>
        <row r="20">
          <cell r="B20" t="str">
            <v>Custo Frete Diversos</v>
          </cell>
        </row>
        <row r="21">
          <cell r="B21" t="str">
            <v>Seguranca Preventiva - Epis</v>
          </cell>
        </row>
        <row r="22">
          <cell r="B22" t="str">
            <v>Uniformes</v>
          </cell>
        </row>
        <row r="23">
          <cell r="B23" t="str">
            <v>Controle De Pragas</v>
          </cell>
        </row>
        <row r="24">
          <cell r="B24" t="str">
            <v>Material De Desinfeccao</v>
          </cell>
        </row>
        <row r="25">
          <cell r="B25" t="str">
            <v>Material De Limpeza</v>
          </cell>
        </row>
        <row r="26">
          <cell r="B26" t="str">
            <v>Limpeza, Higieniz,Dedetizacao/Coleta Residuos</v>
          </cell>
        </row>
        <row r="27">
          <cell r="B27" t="str">
            <v>Tratamento De Agua E Efluentes</v>
          </cell>
        </row>
        <row r="28">
          <cell r="B28" t="str">
            <v>Repasse Integrado</v>
          </cell>
        </row>
        <row r="29">
          <cell r="B29" t="str">
            <v>Alugueis</v>
          </cell>
        </row>
        <row r="30">
          <cell r="B30" t="str">
            <v>Manutencao De Veiculos</v>
          </cell>
        </row>
        <row r="31">
          <cell r="B31" t="str">
            <v>Manutencao De Maquinas E Equipamentos</v>
          </cell>
        </row>
        <row r="32">
          <cell r="B32" t="str">
            <v>Manut. Conser. Maq.E Equipamentos</v>
          </cell>
        </row>
        <row r="33">
          <cell r="B33" t="str">
            <v>Servico De Manut.Maquinas Equipamentos</v>
          </cell>
        </row>
        <row r="34">
          <cell r="B34" t="str">
            <v>Servico De Manut.Maq. E Equip.</v>
          </cell>
        </row>
        <row r="35">
          <cell r="B35" t="str">
            <v>Manutencao De Edificios E Benfeitorias</v>
          </cell>
        </row>
        <row r="36">
          <cell r="B36" t="str">
            <v>Manut.Conservacao Predios/Instalacoes</v>
          </cell>
        </row>
        <row r="37">
          <cell r="B37" t="str">
            <v>Jardinagem/Pastagem/Cercas Vivas</v>
          </cell>
        </row>
        <row r="38">
          <cell r="B38" t="str">
            <v>Salarios E Ordenados</v>
          </cell>
        </row>
        <row r="39">
          <cell r="B39" t="str">
            <v>Inss</v>
          </cell>
        </row>
        <row r="40">
          <cell r="B40" t="str">
            <v>Fgts</v>
          </cell>
        </row>
        <row r="41">
          <cell r="B41" t="str">
            <v>Prov Decimo Terc. Sal. E Encargos</v>
          </cell>
        </row>
        <row r="42">
          <cell r="B42" t="str">
            <v>Prov. Ferias E Encargos</v>
          </cell>
        </row>
        <row r="43">
          <cell r="B43" t="str">
            <v>Assist. Medica/Odonto/Farmaceutica</v>
          </cell>
        </row>
        <row r="44">
          <cell r="B44" t="str">
            <v>Plano De Saude Funcionarios</v>
          </cell>
        </row>
        <row r="45">
          <cell r="B45" t="str">
            <v>Horas Extras</v>
          </cell>
        </row>
        <row r="46">
          <cell r="B46" t="str">
            <v>Seguro Vida Em Grupo/Funcionarios</v>
          </cell>
        </row>
        <row r="47">
          <cell r="B47" t="str">
            <v>Vale Alimentacao</v>
          </cell>
        </row>
        <row r="48">
          <cell r="B48" t="str">
            <v>Pensao Vitalicia</v>
          </cell>
        </row>
        <row r="49">
          <cell r="B49" t="str">
            <v>Custos Com Transp. De Funcionarios</v>
          </cell>
        </row>
        <row r="50">
          <cell r="B50" t="str">
            <v>Representacoes E Confraternizacoes</v>
          </cell>
        </row>
        <row r="51">
          <cell r="B51" t="str">
            <v>Alimentacao / Refeitorio</v>
          </cell>
        </row>
        <row r="52">
          <cell r="B52" t="str">
            <v>Outros Custos Com Pessoal</v>
          </cell>
        </row>
        <row r="53">
          <cell r="B53" t="str">
            <v>Plano Participacao Resultados</v>
          </cell>
        </row>
        <row r="54">
          <cell r="B54" t="str">
            <v>Racao Consumo Proprio</v>
          </cell>
        </row>
        <row r="55">
          <cell r="B55" t="str">
            <v>Rateio Despesas Operacionais</v>
          </cell>
        </row>
        <row r="56">
          <cell r="B56" t="str">
            <v>Seguranca E Vigilancia</v>
          </cell>
        </row>
        <row r="57">
          <cell r="B57" t="str">
            <v>Despesas Cartorarias/Legais E Judiciais</v>
          </cell>
        </row>
        <row r="58">
          <cell r="B58" t="str">
            <v>Custas Pericias</v>
          </cell>
        </row>
        <row r="59">
          <cell r="B59" t="str">
            <v>Consultoria E Assessoria</v>
          </cell>
        </row>
        <row r="60">
          <cell r="B60" t="str">
            <v>Licencas Ambientais</v>
          </cell>
        </row>
        <row r="61">
          <cell r="B61" t="str">
            <v>Taxas Associativas</v>
          </cell>
        </row>
        <row r="62">
          <cell r="B62" t="str">
            <v xml:space="preserve">Outras despesas não operacionais </v>
          </cell>
        </row>
        <row r="63">
          <cell r="B63" t="str">
            <v>Correios E Malotes</v>
          </cell>
        </row>
        <row r="64">
          <cell r="B64" t="str">
            <v>Servicos Terceiros Pf</v>
          </cell>
        </row>
        <row r="65">
          <cell r="B65" t="str">
            <v>Material De Higiene Pessoal</v>
          </cell>
        </row>
        <row r="66">
          <cell r="B66" t="str">
            <v>Servico De Carga/Descarga/Armazenagem/Pesagem</v>
          </cell>
        </row>
        <row r="67">
          <cell r="B67" t="str">
            <v>Km Assistencia Tecnica</v>
          </cell>
        </row>
        <row r="68">
          <cell r="B68" t="str">
            <v>Materiais De Uso E Consumo</v>
          </cell>
        </row>
        <row r="69">
          <cell r="B69" t="str">
            <v>Material De Consumo Na Producao</v>
          </cell>
        </row>
        <row r="70">
          <cell r="B70" t="str">
            <v>Agua E Saneamento</v>
          </cell>
        </row>
        <row r="71">
          <cell r="B71" t="str">
            <v>Custo Movimentacao Cama Aviario</v>
          </cell>
        </row>
        <row r="72">
          <cell r="B72" t="str">
            <v>Analise Laboratoriais Prod.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P-Volnei-Pereira\AppData\Local\Microsoft\Excel\TemporaryBackupFile\06.01.2026%2017.00.43%20-%20Alojamento%20Atual%20Grupo%20Pluma.xlsx" TargetMode="External"/></Relationships>
</file>

<file path=xl/pivotCache/_rels/pivotCacheDefinition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6-03-06%20Alojamento%20Atual%20Grupo%20Pluma.xlsx" TargetMode="External"/></Relationships>
</file>

<file path=xl/pivotCache/_rels/pivotCacheDefinition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6-03-06%20Alojamento%20Atual%20Grupo%20Pluma.xlsx" TargetMode="Externa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PCP-Volnei-Pereira" refreshedDate="46014.589794097221" createdVersion="8" refreshedVersion="8" minRefreshableVersion="3" recordCount="290" xr:uid="{52D287A7-13F4-4E8D-8789-1B3C84A942AF}">
  <cacheSource type="worksheet">
    <worksheetSource ref="A1:V291" sheet="Paraná OFF" r:id="rId1"/>
  </cacheSource>
  <cacheFields count="27">
    <cacheField name="Reg." numFmtId="0">
      <sharedItems/>
    </cacheField>
    <cacheField name="Dt. Aloj." numFmtId="0">
      <sharedItems containsSemiMixedTypes="0" containsNonDate="0" containsDate="1" containsString="0" minDate="2024-04-10T00:00:00" maxDate="2027-07-27T00:00:00" count="181">
        <d v="2024-04-10T00:00:00"/>
        <d v="2024-05-14T00:00:00"/>
        <d v="2024-05-11T00:00:00"/>
        <d v="2024-05-16T00:00:00"/>
        <d v="2024-05-30T00:00:00"/>
        <d v="2024-06-06T00:00:00"/>
        <d v="2024-06-07T00:00:00"/>
        <d v="2024-06-11T00:00:00"/>
        <d v="2024-06-20T00:00:00"/>
        <d v="2024-06-28T00:00:00"/>
        <d v="2024-06-25T00:00:00"/>
        <d v="2024-07-05T00:00:00"/>
        <d v="2024-07-12T00:00:00"/>
        <d v="2024-07-25T00:00:00"/>
        <d v="2024-07-23T00:00:00"/>
        <d v="2024-08-03T00:00:00"/>
        <d v="2024-08-14T00:00:00"/>
        <d v="2024-08-20T00:00:00"/>
        <d v="2024-08-21T00:00:00"/>
        <d v="2024-08-28T00:00:00"/>
        <d v="2024-08-30T00:00:00"/>
        <d v="2024-09-04T00:00:00"/>
        <d v="2024-09-10T00:00:00"/>
        <d v="2024-09-19T00:00:00"/>
        <d v="2024-09-20T00:00:00"/>
        <d v="2024-09-25T00:00:00"/>
        <d v="2024-10-01T00:00:00"/>
        <d v="2024-10-02T00:00:00"/>
        <d v="2024-10-12T00:00:00"/>
        <d v="2024-10-26T00:00:00"/>
        <d v="2024-11-05T00:00:00"/>
        <d v="2024-11-12T00:00:00"/>
        <d v="2024-12-12T00:00:00"/>
        <d v="2024-11-19T00:00:00"/>
        <d v="2024-11-20T00:00:00"/>
        <d v="2025-03-20T00:00:00"/>
        <d v="2024-11-29T00:00:00"/>
        <d v="2024-12-04T00:00:00"/>
        <d v="2024-12-05T00:00:00"/>
        <d v="2024-12-17T00:00:00"/>
        <d v="2024-12-21T00:00:00"/>
        <d v="2024-12-24T00:00:00"/>
        <d v="2024-12-31T00:00:00"/>
        <d v="2025-01-09T00:00:00"/>
        <d v="2024-12-20T00:00:00"/>
        <d v="2025-01-25T00:00:00"/>
        <d v="2025-01-31T00:00:00"/>
        <d v="2025-01-29T00:00:00"/>
        <d v="2025-02-05T00:00:00"/>
        <d v="2025-02-14T00:00:00"/>
        <d v="2025-02-21T00:00:00"/>
        <d v="2025-02-26T00:00:00"/>
        <d v="2025-03-04T00:00:00"/>
        <d v="2025-03-08T00:00:00"/>
        <d v="2025-03-14T00:00:00"/>
        <d v="2025-03-28T00:00:00"/>
        <d v="2025-04-03T00:00:00"/>
        <d v="2025-04-02T00:00:00"/>
        <d v="2025-04-11T00:00:00"/>
        <d v="2025-04-09T00:00:00"/>
        <d v="2025-04-16T00:00:00"/>
        <d v="2025-04-26T00:00:00"/>
        <d v="2025-04-24T00:00:00"/>
        <d v="2025-05-03T00:00:00"/>
        <d v="2025-05-01T00:00:00"/>
        <d v="2025-05-02T00:00:00"/>
        <d v="2025-05-06T00:00:00"/>
        <d v="2025-05-27T00:00:00"/>
        <d v="2025-05-28T00:00:00"/>
        <d v="2025-05-30T00:00:00"/>
        <d v="2025-05-31T00:00:00"/>
        <d v="2025-06-06T00:00:00"/>
        <d v="2025-06-13T00:00:00"/>
        <d v="2025-06-10T00:00:00"/>
        <d v="2025-06-19T00:00:00"/>
        <d v="2025-06-20T00:00:00"/>
        <d v="2025-06-28T00:00:00"/>
        <d v="2025-07-02T00:00:00"/>
        <d v="2025-07-01T00:00:00"/>
        <d v="2025-07-08T00:00:00"/>
        <d v="2025-07-25T00:00:00"/>
        <d v="2025-07-24T00:00:00"/>
        <d v="2025-07-31T00:00:00"/>
        <d v="2025-08-02T00:00:00"/>
        <d v="2025-08-16T00:00:00"/>
        <d v="2025-08-14T00:00:00"/>
        <d v="2025-08-22T00:00:00"/>
        <d v="2025-08-26T00:00:00"/>
        <d v="2025-08-29T00:00:00"/>
        <d v="2025-09-04T00:00:00"/>
        <d v="2025-09-05T00:00:00"/>
        <d v="2025-09-13T00:00:00"/>
        <d v="2025-09-24T00:00:00"/>
        <d v="2025-09-26T00:00:00"/>
        <d v="2025-10-01T00:00:00"/>
        <d v="2025-10-04T00:00:00"/>
        <d v="2025-10-09T00:00:00"/>
        <d v="2025-10-10T00:00:00"/>
        <d v="2025-10-18T00:00:00"/>
        <d v="2025-10-23T00:00:00"/>
        <d v="2025-11-04T00:00:00"/>
        <d v="2025-11-12T00:00:00"/>
        <d v="2025-11-23T00:00:00"/>
        <d v="2025-11-26T00:00:00"/>
        <d v="2025-12-04T00:00:00"/>
        <d v="2025-11-28T00:00:00"/>
        <d v="2025-12-07T00:00:00"/>
        <d v="2025-12-11T00:00:00"/>
        <d v="2025-12-16T00:00:00"/>
        <d v="2026-01-03T00:00:00"/>
        <d v="2026-01-17T00:00:00"/>
        <d v="2026-01-16T00:00:00"/>
        <d v="2026-01-21T00:00:00"/>
        <d v="2026-01-29T00:00:00"/>
        <d v="2026-02-05T00:00:00"/>
        <d v="2026-02-13T00:00:00"/>
        <d v="2026-02-21T00:00:00"/>
        <d v="2026-03-16T00:00:00"/>
        <d v="2026-02-23T00:00:00"/>
        <d v="2026-02-28T00:00:00"/>
        <d v="2026-03-13T00:00:00"/>
        <d v="2026-03-20T00:00:00"/>
        <d v="2026-03-30T00:00:00"/>
        <d v="2026-03-26T00:00:00"/>
        <d v="2026-04-10T00:00:00"/>
        <d v="2026-04-17T00:00:00"/>
        <d v="2026-05-01T00:00:00"/>
        <d v="2026-04-23T00:00:00"/>
        <d v="2026-05-02T00:00:00"/>
        <d v="2026-05-13T00:00:00"/>
        <d v="2026-05-16T00:00:00"/>
        <d v="2026-05-04T00:00:00"/>
        <d v="2026-05-20T00:00:00"/>
        <d v="2026-05-31T00:00:00"/>
        <d v="2026-06-04T00:00:00"/>
        <d v="2026-05-28T00:00:00"/>
        <d v="2026-06-13T00:00:00"/>
        <d v="2026-06-26T00:00:00"/>
        <d v="2026-06-09T00:00:00"/>
        <d v="2026-06-11T00:00:00"/>
        <d v="2026-06-14T00:00:00"/>
        <d v="2026-06-03T00:00:00"/>
        <d v="2026-06-27T00:00:00"/>
        <d v="2026-07-12T00:00:00"/>
        <d v="2026-07-07T00:00:00"/>
        <d v="2026-08-04T00:00:00"/>
        <d v="2026-07-20T00:00:00"/>
        <d v="2026-07-30T00:00:00"/>
        <d v="2026-08-02T00:00:00"/>
        <d v="2026-08-12T00:00:00"/>
        <d v="2026-09-04T00:00:00"/>
        <d v="2026-08-17T00:00:00"/>
        <d v="2026-08-24T00:00:00"/>
        <d v="2026-08-25T00:00:00"/>
        <d v="2026-09-07T00:00:00"/>
        <d v="2026-09-01T00:00:00"/>
        <d v="2026-09-21T00:00:00"/>
        <d v="2026-09-06T00:00:00"/>
        <d v="2026-09-29T00:00:00"/>
        <d v="2026-10-23T00:00:00"/>
        <d v="2026-10-09T00:00:00"/>
        <d v="2026-11-19T00:00:00"/>
        <d v="2026-10-13T00:00:00"/>
        <d v="2026-11-04T00:00:00"/>
        <d v="2026-11-06T00:00:00"/>
        <d v="2026-11-15T00:00:00"/>
        <d v="2026-11-16T00:00:00"/>
        <d v="2026-11-18T00:00:00"/>
        <d v="2026-11-24T00:00:00"/>
        <d v="2026-12-05T00:00:00"/>
        <d v="2026-12-03T00:00:00"/>
        <d v="2026-12-15T00:00:00"/>
        <d v="2026-12-23T00:00:00"/>
        <d v="2026-12-21T00:00:00"/>
        <d v="2027-01-10T00:00:00"/>
        <d v="2027-01-25T00:00:00"/>
        <d v="2027-02-17T00:00:00"/>
        <d v="2027-03-25T00:00:00"/>
        <d v="2027-02-13T00:00:00"/>
        <d v="2027-03-09T00:00:00"/>
        <d v="2027-07-26T00:00:00"/>
      </sharedItems>
      <fieldGroup par="26"/>
    </cacheField>
    <cacheField name="Ano" numFmtId="0">
      <sharedItems containsDate="1" containsBlank="1" containsMixedTypes="1" minDate="1900-01-07T10:38:04" maxDate="1900-01-07T06:40:04" count="9">
        <n v="2024"/>
        <d v="2025-03-20T00:00:00"/>
        <n v="2025"/>
        <n v="2026"/>
        <n v="2027"/>
        <e v="#REF!" u="1"/>
        <n v="1900" u="1"/>
        <n v="2023" u="1"/>
        <m u="1"/>
      </sharedItems>
    </cacheField>
    <cacheField name="Dt. Inic. Sem." numFmtId="165">
      <sharedItems containsSemiMixedTypes="0" containsNonDate="0" containsDate="1" containsString="0" minDate="2024-04-11T00:00:00" maxDate="2027-07-27T00:00:00"/>
    </cacheField>
    <cacheField name="Lote" numFmtId="0">
      <sharedItems containsBlank="1" containsMixedTypes="1" containsNumber="1" containsInteger="1" minValue="1" maxValue="153566" count="169">
        <s v="15-24"/>
        <s v="18-24"/>
        <s v="20-24"/>
        <s v="22-24"/>
        <s v="24-24"/>
        <s v="25-24"/>
        <s v="26-24"/>
        <s v="27-24"/>
        <s v="28-24"/>
        <s v="29-24"/>
        <s v="30-24"/>
        <s v="31-24"/>
        <s v="32-24"/>
        <s v="33-24"/>
        <s v="34-24"/>
        <s v="35-24"/>
        <s v="36-24"/>
        <s v="38-24"/>
        <s v="39-24"/>
        <s v="37-24"/>
        <s v="40-24"/>
        <s v="41-24"/>
        <s v="43-24"/>
        <s v="42-24"/>
        <s v="44-24"/>
        <s v="45-24"/>
        <s v="46-24"/>
        <s v="47-24"/>
        <s v="48-24"/>
        <s v="51-24"/>
        <s v="50-24"/>
        <s v="52-24"/>
        <s v="53-24"/>
        <s v="54-24"/>
        <s v="55-24"/>
        <s v="56-24"/>
        <s v="58-24"/>
        <s v="59-24"/>
        <s v="60-24"/>
        <s v="61-24"/>
        <m/>
        <s v="62-24"/>
        <s v="63-24"/>
        <s v="64-24"/>
        <s v="66-24"/>
        <s v="65-24"/>
        <s v="67-24"/>
        <s v="68-24"/>
        <s v="69-24"/>
        <s v="70-24"/>
        <s v="01-25"/>
        <s v="02-25"/>
        <s v="03-25"/>
        <s v="05-25"/>
        <s v="04-25"/>
        <s v="06-25"/>
        <s v="07-25"/>
        <s v="09-25"/>
        <s v="08-25"/>
        <s v="11-25"/>
        <s v="10-25"/>
        <s v="12-25"/>
        <s v="14-25"/>
        <s v="13-25"/>
        <s v="15-25"/>
        <s v="16-25"/>
        <s v="17-25"/>
        <s v="18-25"/>
        <s v="19-25"/>
        <s v="26-25"/>
        <s v="20-25"/>
        <s v="22-25"/>
        <s v="23-25"/>
        <s v="24-25"/>
        <s v="25-25"/>
        <s v="21-25"/>
        <s v="31-25"/>
        <s v="28-25"/>
        <s v="32-25"/>
        <s v="33-25"/>
        <s v="34-25"/>
        <s v="29-25"/>
        <s v="27-25"/>
        <s v="35-25"/>
        <s v="36-25"/>
        <s v="37-25"/>
        <s v="38-25"/>
        <s v="39-25"/>
        <s v="40-25"/>
        <s v="41-25"/>
        <s v="42-25"/>
        <s v="44-25"/>
        <s v="45-25"/>
        <s v="48-25"/>
        <s v="43-25"/>
        <s v="47-25"/>
        <s v="49-25"/>
        <s v="46-25"/>
        <s v="50-25"/>
        <s v="51-25"/>
        <s v="55-25"/>
        <s v="53-25"/>
        <s v="56-25"/>
        <s v="52-25"/>
        <s v="58-25"/>
        <s v="59-25"/>
        <s v="60-25"/>
        <n v="100025"/>
        <s v="61-25"/>
        <n v="100125"/>
        <n v="100225"/>
        <n v="100325"/>
        <n v="100425"/>
        <n v="100525"/>
        <n v="100725"/>
        <n v="151074"/>
        <n v="100925"/>
        <s v="151080 - 151081"/>
        <n v="151082"/>
        <n v="151086"/>
        <n v="151087"/>
        <n v="1"/>
        <n v="151088"/>
        <n v="151085"/>
        <n v="153516"/>
        <n v="2"/>
        <n v="153517"/>
        <s v="153554 Dt 26/12/2026"/>
        <s v="153550 Dt 19/12/2026"/>
        <s v="153546 Dt 12/11/2026"/>
        <s v="151078 - 151079"/>
        <n v="3"/>
        <n v="153518"/>
        <n v="153524"/>
        <n v="4"/>
        <n v="153519"/>
        <n v="5"/>
        <n v="153527"/>
        <n v="153520"/>
        <n v="153521"/>
        <n v="153526"/>
        <n v="6"/>
        <n v="153559"/>
        <n v="153522"/>
        <n v="153529"/>
        <n v="153530"/>
        <n v="153531"/>
        <n v="153532"/>
        <n v="153566"/>
        <n v="8"/>
        <n v="7"/>
        <n v="153533"/>
        <n v="153534"/>
        <n v="9"/>
        <n v="153535"/>
        <n v="153537"/>
        <n v="153538"/>
        <n v="153539"/>
        <n v="153541"/>
        <n v="10"/>
        <n v="153549"/>
        <n v="153544"/>
        <n v="11"/>
        <n v="153552"/>
        <n v="12"/>
        <n v="153565"/>
        <n v="153548" u="1"/>
        <n v="151077" u="1"/>
        <n v="151084" u="1"/>
      </sharedItems>
    </cacheField>
    <cacheField name="Idade" numFmtId="3">
      <sharedItems containsSemiMixedTypes="0" containsString="0" containsNumber="1" minValue="-82.857142857142861" maxValue="72"/>
    </cacheField>
    <cacheField name="Emp-CC" numFmtId="3">
      <sharedItems containsBlank="1" containsMixedTypes="1" containsNumber="1" containsInteger="1" minValue="39" maxValue="39"/>
    </cacheField>
    <cacheField name="Gr. Recria" numFmtId="0">
      <sharedItems/>
    </cacheField>
    <cacheField name="Qtde." numFmtId="3">
      <sharedItems containsString="0" containsBlank="1" containsNumber="1" containsInteger="1" minValue="0" maxValue="107000"/>
    </cacheField>
    <cacheField name="Cama" numFmtId="0">
      <sharedItems containsBlank="1"/>
    </cacheField>
    <cacheField name="VZ" numFmtId="0">
      <sharedItems containsString="0" containsBlank="1" containsNumber="1" containsInteger="1" minValue="10" maxValue="72"/>
    </cacheField>
    <cacheField name="Linhagem" numFmtId="0">
      <sharedItems containsBlank="1" count="14">
        <s v="COBB - MALE"/>
        <s v="ROSS AP95"/>
        <s v="COBB MALE - JBS"/>
        <s v="COBB - MV"/>
        <s v="ROSS AP95 - JBS"/>
        <s v="COBB - MX"/>
        <s v="COBB - MALE CPD4"/>
        <s v="COBB - FAST"/>
        <s v="HUBBARD"/>
        <s v="xxxxxxxxxxxx"/>
        <m/>
        <s v="COBB - MALE (FN)" u="1"/>
        <s v="COBB MALE  " u="1"/>
        <s v="COBB - NOVO" u="1"/>
      </sharedItems>
    </cacheField>
    <cacheField name="Inic. 22 Sem." numFmtId="165">
      <sharedItems containsSemiMixedTypes="0" containsNonDate="0" containsDate="1" containsString="0" minDate="2024-09-05T00:00:00" maxDate="2027-12-21T00:00:00"/>
    </cacheField>
    <cacheField name="Inic. 25 Sem." numFmtId="165">
      <sharedItems containsSemiMixedTypes="0" containsNonDate="0" containsDate="1" containsString="0" minDate="2024-09-26T00:00:00" maxDate="2028-01-11T00:00:00"/>
    </cacheField>
    <cacheField name="Lote2" numFmtId="0">
      <sharedItems containsBlank="1" containsMixedTypes="1" containsNumber="1" containsInteger="1" minValue="130025" maxValue="131825"/>
    </cacheField>
    <cacheField name="Emp-CC2" numFmtId="0">
      <sharedItems/>
    </cacheField>
    <cacheField name="Gr. Destino" numFmtId="0">
      <sharedItems containsBlank="1"/>
    </cacheField>
    <cacheField name="Qtde.2" numFmtId="3">
      <sharedItems containsMixedTypes="1" containsNumber="1" containsInteger="1" minValue="2000" maxValue="102720"/>
    </cacheField>
    <cacheField name="Data Abate" numFmtId="165">
      <sharedItems containsSemiMixedTypes="0" containsNonDate="0" containsDate="1" containsString="0" minDate="2025-08-06T00:00:00" maxDate="2028-10-30T00:00:00"/>
    </cacheField>
    <cacheField name="Abate" numFmtId="1">
      <sharedItems containsSemiMixedTypes="0" containsString="0" containsNumber="1" containsInteger="1" minValue="31" maxValue="72"/>
    </cacheField>
    <cacheField name="VZ2" numFmtId="1">
      <sharedItems containsString="0" containsBlank="1" containsNumber="1" containsInteger="1" minValue="29" maxValue="64"/>
    </cacheField>
    <cacheField name="Prev. Aloj." numFmtId="164">
      <sharedItems containsSemiMixedTypes="0" containsNonDate="0" containsDate="1" containsString="0" minDate="2025-09-25T00:00:00" maxDate="2028-10-30T00:00:00"/>
    </cacheField>
    <cacheField name="Machos" numFmtId="0" formula="Qtde.2*0.07" databaseField="0"/>
    <cacheField name="Fêmeas" numFmtId="0" formula="Qtde.2*0.9" databaseField="0"/>
    <cacheField name="Meses (Dt. Aloj.)" numFmtId="0" databaseField="0">
      <fieldGroup base="1">
        <rangePr groupBy="months" startDate="2024-04-10T00:00:00" endDate="2027-07-27T00:00:00"/>
        <groupItems count="14">
          <s v="&lt;10/04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7/07/2027"/>
        </groupItems>
      </fieldGroup>
    </cacheField>
    <cacheField name="Trimestres (Dt. Aloj.)" numFmtId="0" databaseField="0">
      <fieldGroup base="1">
        <rangePr groupBy="quarters" startDate="2024-04-10T00:00:00" endDate="2027-07-27T00:00:00"/>
        <groupItems count="6">
          <s v="&lt;10/04/2024"/>
          <s v="Trim1"/>
          <s v="Trim2"/>
          <s v="Trim3"/>
          <s v="Trim4"/>
          <s v="&gt;27/07/2027"/>
        </groupItems>
      </fieldGroup>
    </cacheField>
    <cacheField name="Anos (Dt. Aloj.)" numFmtId="0" databaseField="0">
      <fieldGroup base="1">
        <rangePr groupBy="years" startDate="2024-04-10T00:00:00" endDate="2027-07-27T00:00:00"/>
        <groupItems count="6">
          <s v="&lt;10/04/2024"/>
          <s v="2024"/>
          <s v="2025"/>
          <s v="2026"/>
          <s v="2027"/>
          <s v="&gt;27/07/2027"/>
        </groupItems>
      </fieldGroup>
    </cacheField>
  </cacheFields>
  <extLst>
    <ext xmlns:x14="http://schemas.microsoft.com/office/spreadsheetml/2009/9/main" uri="{725AE2AE-9491-48be-B2B4-4EB974FC3084}">
      <x14:pivotCacheDefinition pivotCacheId="171266120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Cleberson Limberger" refreshedDate="46071.596502199071" createdVersion="8" refreshedVersion="8" minRefreshableVersion="3" recordCount="18" xr:uid="{EE1D141F-0ABC-4901-A04C-4546FD716162}">
  <cacheSource type="worksheet">
    <worksheetSource ref="A1:W19" sheet="Pluma MI"/>
  </cacheSource>
  <cacheFields count="26">
    <cacheField name="Reg." numFmtId="0">
      <sharedItems/>
    </cacheField>
    <cacheField name="Dt. Aloj." numFmtId="164">
      <sharedItems containsSemiMixedTypes="0" containsNonDate="0" containsDate="1" containsString="0" minDate="2025-11-20T00:00:00" maxDate="2027-12-02T00:00:00" count="9">
        <d v="2025-11-20T00:00:00"/>
        <d v="2026-02-12T00:00:00"/>
        <d v="2026-05-12T00:00:00"/>
        <d v="2026-08-06T00:00:00"/>
        <d v="2026-11-25T00:00:00"/>
        <d v="2027-02-19T00:00:00"/>
        <d v="2027-05-18T00:00:00"/>
        <d v="2027-08-12T00:00:00"/>
        <d v="2027-12-01T00:00:00"/>
      </sharedItems>
    </cacheField>
    <cacheField name="Dt. Inic. Sem." numFmtId="165">
      <sharedItems containsSemiMixedTypes="0" containsNonDate="0" containsDate="1" containsString="0" minDate="2025-11-20T00:00:00" maxDate="2027-12-15T00:00:00" count="12">
        <d v="2025-11-20T00:00:00"/>
        <d v="2026-02-12T00:00:00"/>
        <d v="2026-05-12T00:00:00"/>
        <d v="2026-08-06T00:00:00"/>
        <d v="2026-11-25T00:00:00"/>
        <d v="2027-02-19T00:00:00"/>
        <d v="2027-05-18T00:00:00"/>
        <d v="2027-08-12T00:00:00"/>
        <d v="2027-12-01T00:00:00"/>
        <d v="2027-05-31T00:00:00" u="1"/>
        <d v="2027-08-25T00:00:00" u="1"/>
        <d v="2027-12-14T00:00:00" u="1"/>
      </sharedItems>
      <fieldGroup par="25"/>
    </cacheField>
    <cacheField name="Lote" numFmtId="0">
      <sharedItems containsString="0" containsBlank="1" containsNumber="1" containsInteger="1" minValue="153528" maxValue="600026"/>
    </cacheField>
    <cacheField name="Idade" numFmtId="3">
      <sharedItems containsSemiMixedTypes="0" containsString="0" containsNumber="1" minValue="-93" maxValue="12.857142857142858"/>
    </cacheField>
    <cacheField name="Emp-CC" numFmtId="3">
      <sharedItems/>
    </cacheField>
    <cacheField name="Recria" numFmtId="14">
      <sharedItems/>
    </cacheField>
    <cacheField name="Núcleo" numFmtId="14">
      <sharedItems/>
    </cacheField>
    <cacheField name="Qtde." numFmtId="3">
      <sharedItems containsString="0" containsBlank="1" containsNumber="1" containsInteger="1" minValue="0" maxValue="48000"/>
    </cacheField>
    <cacheField name="Cama" numFmtId="0">
      <sharedItems/>
    </cacheField>
    <cacheField name="VZ" numFmtId="0">
      <sharedItems containsSemiMixedTypes="0" containsString="0" containsNumber="1" containsInteger="1" minValue="25" maxValue="50"/>
    </cacheField>
    <cacheField name="Raca" numFmtId="0">
      <sharedItems containsBlank="1" count="2">
        <s v="COBB"/>
        <m u="1"/>
      </sharedItems>
    </cacheField>
    <cacheField name="Fêmea - Macho" numFmtId="0">
      <sharedItems count="1">
        <s v="500 SLOW - MALE"/>
      </sharedItems>
    </cacheField>
    <cacheField name="Inic. 22 Sem." numFmtId="165">
      <sharedItems containsSemiMixedTypes="0" containsNonDate="0" containsDate="1" containsString="0" minDate="2026-04-16T00:00:00" maxDate="2028-04-27T00:00:00"/>
    </cacheField>
    <cacheField name="Lote2" numFmtId="168">
      <sharedItems containsString="0" containsBlank="1" containsNumber="1" containsInteger="1" minValue="630026" maxValue="630026"/>
    </cacheField>
    <cacheField name="Emp-CC2" numFmtId="0">
      <sharedItems/>
    </cacheField>
    <cacheField name="Gr. Destino" numFmtId="0">
      <sharedItems containsBlank="1"/>
    </cacheField>
    <cacheField name="Núcleo2" numFmtId="0">
      <sharedItems containsBlank="1"/>
    </cacheField>
    <cacheField name="Qtde.2" numFmtId="3">
      <sharedItems containsString="0" containsBlank="1" containsNumber="1" containsInteger="1" minValue="23000" maxValue="23000"/>
    </cacheField>
    <cacheField name="Data Abate" numFmtId="165">
      <sharedItems containsSemiMixedTypes="0" containsNonDate="0" containsDate="1" containsString="0" minDate="2027-03-03T00:00:00" maxDate="2029-03-14T00:00:00"/>
    </cacheField>
    <cacheField name="Abate" numFmtId="1">
      <sharedItems containsSemiMixedTypes="0" containsString="0" containsNumber="1" containsInteger="1" minValue="67" maxValue="67"/>
    </cacheField>
    <cacheField name="VZ2" numFmtId="1">
      <sharedItems containsString="0" containsBlank="1" containsNumber="1" containsInteger="1" minValue="49" maxValue="51"/>
    </cacheField>
    <cacheField name="Prev. Aloj." numFmtId="164">
      <sharedItems containsSemiMixedTypes="0" containsNonDate="0" containsDate="1" containsString="0" minDate="2027-04-21T00:00:00" maxDate="2029-03-14T00:00:00"/>
    </cacheField>
    <cacheField name="Meses (Dt. Inic. Sem.)" numFmtId="0" databaseField="0">
      <fieldGroup base="2">
        <rangePr groupBy="months" startDate="2025-11-20T00:00:00" endDate="2027-12-02T00:00:00"/>
        <groupItems count="14">
          <s v="&lt;20/1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7"/>
        </groupItems>
      </fieldGroup>
    </cacheField>
    <cacheField name="Trimestres (Dt. Inic. Sem.)" numFmtId="0" databaseField="0">
      <fieldGroup base="2">
        <rangePr groupBy="quarters" startDate="2025-11-20T00:00:00" endDate="2027-12-02T00:00:00"/>
        <groupItems count="6">
          <s v="&lt;20/11/2025"/>
          <s v="Trim1"/>
          <s v="Trim2"/>
          <s v="Trim3"/>
          <s v="Trim4"/>
          <s v="&gt;02/12/2027"/>
        </groupItems>
      </fieldGroup>
    </cacheField>
    <cacheField name="Anos (Dt. Inic. Sem.)" numFmtId="0" databaseField="0">
      <fieldGroup base="2">
        <rangePr groupBy="years" startDate="2025-11-20T00:00:00" endDate="2027-12-02T00:00:00"/>
        <groupItems count="5">
          <s v="&lt;20/11/2025"/>
          <s v="2025"/>
          <s v="2026"/>
          <s v="2027"/>
          <s v="&gt;02/12/2027"/>
        </groupItems>
      </fieldGroup>
    </cacheField>
  </cacheFields>
  <extLst>
    <ext xmlns:x14="http://schemas.microsoft.com/office/spreadsheetml/2009/9/main" uri="{725AE2AE-9491-48be-B2B4-4EB974FC3084}">
      <x14:pivotCacheDefinition pivotCacheId="136943484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By="Cleberson Limberger" refreshedDate="46071.596507870374" createdVersion="8" refreshedVersion="8" minRefreshableVersion="3" recordCount="36" xr:uid="{27080E99-B1C9-47FB-B443-124AD0238CD3}">
  <cacheSource type="worksheet">
    <worksheetSource ref="A1:W51" sheet="PLuma G3"/>
  </cacheSource>
  <cacheFields count="26">
    <cacheField name="Reg." numFmtId="0">
      <sharedItems/>
    </cacheField>
    <cacheField name="Dt. Aloj." numFmtId="164">
      <sharedItems containsSemiMixedTypes="0" containsNonDate="0" containsDate="1" containsString="0" minDate="2024-08-31T00:00:00" maxDate="2026-12-26T00:00:00"/>
    </cacheField>
    <cacheField name="Dt. Inic. Sem." numFmtId="165">
      <sharedItems containsSemiMixedTypes="0" containsNonDate="0" containsDate="1" containsString="0" minDate="2024-08-29T00:00:00" maxDate="2026-12-25T00:00:00" count="35">
        <d v="2024-08-29T00:00:00"/>
        <d v="2024-10-10T00:00:00"/>
        <d v="2024-11-14T00:00:00"/>
        <d v="2024-11-21T00:00:00"/>
        <d v="2024-12-12T00:00:00"/>
        <d v="2025-01-23T00:00:00"/>
        <d v="2025-01-30T00:00:00"/>
        <d v="2025-02-27T00:00:00"/>
        <d v="2025-04-03T00:00:00"/>
        <d v="2025-03-27T00:00:00"/>
        <d v="2025-05-01T00:00:00"/>
        <d v="2025-06-19T00:00:00"/>
        <d v="2025-07-10T00:00:00"/>
        <d v="2025-07-03T00:00:00"/>
        <d v="2025-08-14T00:00:00"/>
        <d v="2025-09-04T00:00:00"/>
        <d v="2025-09-11T00:00:00"/>
        <d v="2025-10-30T00:00:00"/>
        <d v="2025-11-13T00:00:00"/>
        <d v="2025-12-18T00:00:00"/>
        <d v="2025-12-25T00:00:00"/>
        <d v="2026-01-08T00:00:00"/>
        <d v="2026-03-12T00:00:00"/>
        <d v="2026-03-05T00:00:00"/>
        <d v="2026-04-16T00:00:00"/>
        <d v="2026-05-21T00:00:00"/>
        <d v="2026-05-14T00:00:00"/>
        <d v="2026-07-16T00:00:00"/>
        <d v="2026-07-30T00:00:00"/>
        <d v="2026-08-20T00:00:00"/>
        <d v="2026-09-24T00:00:00"/>
        <d v="2026-10-08T00:00:00"/>
        <d v="2026-10-29T00:00:00"/>
        <d v="2026-12-17T00:00:00"/>
        <d v="2026-12-24T00:00:00"/>
      </sharedItems>
      <fieldGroup par="25"/>
    </cacheField>
    <cacheField name="Lote" numFmtId="0">
      <sharedItems containsBlank="1" containsMixedTypes="1" containsNumber="1" containsInteger="1" minValue="188" maxValue="800126"/>
    </cacheField>
    <cacheField name="Idade" numFmtId="3">
      <sharedItems containsSemiMixedTypes="0" containsString="0" containsNumber="1" minValue="-44.142857142857146" maxValue="76.857142857142861"/>
    </cacheField>
    <cacheField name="Emp-CC" numFmtId="3">
      <sharedItems/>
    </cacheField>
    <cacheField name="Gr. Recria" numFmtId="14">
      <sharedItems/>
    </cacheField>
    <cacheField name="Núcleo" numFmtId="14">
      <sharedItems/>
    </cacheField>
    <cacheField name="Qtde." numFmtId="3">
      <sharedItems containsSemiMixedTypes="0" containsString="0" containsNumber="1" containsInteger="1" minValue="16000" maxValue="56000"/>
    </cacheField>
    <cacheField name="Cama" numFmtId="0">
      <sharedItems/>
    </cacheField>
    <cacheField name="VZ" numFmtId="0">
      <sharedItems containsSemiMixedTypes="0" containsString="0" containsNumber="1" containsInteger="1" minValue="0" maxValue="0"/>
    </cacheField>
    <cacheField name="Raca" numFmtId="0">
      <sharedItems count="3">
        <s v="COBB"/>
        <s v="ROSS"/>
        <s v="HUBB"/>
      </sharedItems>
    </cacheField>
    <cacheField name="Fêmea - Macho" numFmtId="0">
      <sharedItems count="5">
        <s v="500 SLOW - MALE"/>
        <s v="AP95 - 344"/>
        <s v="EFFICIENCY PLUS_M77"/>
        <s v="500 FAST - MALE"/>
        <s v="EFFICIENCY_x000a_PLUS_M77" u="1"/>
      </sharedItems>
    </cacheField>
    <cacheField name="Inic. 22 Sem." numFmtId="165">
      <sharedItems containsSemiMixedTypes="0" containsNonDate="0" containsDate="1" containsString="0" minDate="2025-01-23T00:00:00" maxDate="2027-05-21T00:00:00"/>
    </cacheField>
    <cacheField name="Lote2" numFmtId="0">
      <sharedItems containsBlank="1" containsMixedTypes="1" containsNumber="1" containsInteger="1" minValue="188" maxValue="830626"/>
    </cacheField>
    <cacheField name="Emp-CC2" numFmtId="0">
      <sharedItems/>
    </cacheField>
    <cacheField name="Gr. Destino" numFmtId="14">
      <sharedItems/>
    </cacheField>
    <cacheField name="Núcleo2" numFmtId="0">
      <sharedItems/>
    </cacheField>
    <cacheField name="Qtde.2" numFmtId="3">
      <sharedItems containsSemiMixedTypes="0" containsString="0" containsNumber="1" minValue="14311" maxValue="53760"/>
    </cacheField>
    <cacheField name="Data Abate" numFmtId="165">
      <sharedItems containsSemiMixedTypes="0" containsNonDate="0" containsDate="1" containsString="0" minDate="2025-12-17T00:00:00" maxDate="2028-04-13T00:00:00"/>
    </cacheField>
    <cacheField name="Abate" numFmtId="1">
      <sharedItems containsSemiMixedTypes="0" containsString="0" containsNumber="1" containsInteger="1" minValue="68" maxValue="68"/>
    </cacheField>
    <cacheField name="VZ2" numFmtId="1">
      <sharedItems containsString="0" containsBlank="1" containsNumber="1" containsInteger="1" minValue="36" maxValue="85"/>
    </cacheField>
    <cacheField name="Prev. Aloj." numFmtId="164">
      <sharedItems containsSemiMixedTypes="0" containsNonDate="0" containsDate="1" containsString="0" minDate="2026-03-05T00:00:00" maxDate="2028-04-13T00:00:00"/>
    </cacheField>
    <cacheField name="Meses (Dt. Inic. Sem.)" numFmtId="0" databaseField="0">
      <fieldGroup base="2">
        <rangePr groupBy="months" startDate="2024-08-29T00:00:00" endDate="2026-12-25T00:00:00"/>
        <groupItems count="14">
          <s v="&lt;29/08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5/12/2026"/>
        </groupItems>
      </fieldGroup>
    </cacheField>
    <cacheField name="Trimestres (Dt. Inic. Sem.)" numFmtId="0" databaseField="0">
      <fieldGroup base="2">
        <rangePr groupBy="quarters" startDate="2024-08-29T00:00:00" endDate="2026-12-25T00:00:00"/>
        <groupItems count="6">
          <s v="&lt;29/08/2024"/>
          <s v="Trim1"/>
          <s v="Trim2"/>
          <s v="Trim3"/>
          <s v="Trim4"/>
          <s v="&gt;25/12/2026"/>
        </groupItems>
      </fieldGroup>
    </cacheField>
    <cacheField name="Anos (Dt. Inic. Sem.)" numFmtId="0" databaseField="0">
      <fieldGroup base="2">
        <rangePr groupBy="years" startDate="2024-08-29T00:00:00" endDate="2026-12-25T00:00:00"/>
        <groupItems count="5">
          <s v="&lt;29/08/2024"/>
          <s v="2024"/>
          <s v="2025"/>
          <s v="2026"/>
          <s v="&gt;25/1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By="PCP-Volnei-Pereira" refreshedDate="46093.41197789352" createdVersion="8" refreshedVersion="8" minRefreshableVersion="3" recordCount="80" xr:uid="{5719B5C3-F8A2-4E9B-A5C1-7CE42988D14A}">
  <cacheSource type="worksheet">
    <worksheetSource ref="A1:W81" sheet="Pluma SP" r:id="rId1"/>
  </cacheSource>
  <cacheFields count="26">
    <cacheField name="Reg." numFmtId="0">
      <sharedItems/>
    </cacheField>
    <cacheField name="Dt. Aloj." numFmtId="164">
      <sharedItems containsSemiMixedTypes="0" containsNonDate="0" containsDate="1" containsString="0" minDate="2024-09-20T00:00:00" maxDate="2028-01-19T00:00:00"/>
    </cacheField>
    <cacheField name="Dt. Inic. Sem." numFmtId="165">
      <sharedItems containsSemiMixedTypes="0" containsNonDate="0" containsDate="1" containsString="0" minDate="2023-12-28T00:00:00" maxDate="2028-01-19T00:00:00" count="90">
        <d v="2024-09-19T00:00:00"/>
        <d v="2024-10-24T00:00:00"/>
        <d v="2024-11-21T00:00:00"/>
        <d v="2024-12-19T00:00:00"/>
        <d v="2025-01-09T00:00:00"/>
        <d v="2025-01-30T00:00:00"/>
        <d v="2025-02-13T00:00:00"/>
        <d v="2025-02-27T00:00:00"/>
        <d v="2025-03-20T00:00:00"/>
        <d v="2025-03-27T00:00:00"/>
        <d v="2025-04-03T00:00:00"/>
        <d v="2025-05-22T00:00:00"/>
        <d v="2025-06-05T00:00:00"/>
        <d v="2025-07-31T00:00:00"/>
        <d v="2025-08-21T00:00:00"/>
        <d v="2025-09-04T00:00:00"/>
        <d v="2025-09-11T00:00:00"/>
        <d v="2025-09-13T00:00:00"/>
        <d v="2025-11-06T00:00:00"/>
        <d v="2025-11-13T00:00:00"/>
        <d v="2025-11-15T00:00:00"/>
        <d v="2025-12-11T00:00:00"/>
        <d v="2026-01-10T00:00:00"/>
        <d v="2026-03-12T00:00:00"/>
        <d v="2026-02-17T00:00:00"/>
        <d v="2026-04-02T00:00:00"/>
        <d v="2026-03-19T00:00:00"/>
        <d v="2026-04-09T00:00:00"/>
        <d v="2026-05-06T00:00:00"/>
        <d v="2026-05-27T00:00:00"/>
        <d v="2026-07-26T00:00:00"/>
        <d v="2026-09-07T00:00:00"/>
        <d v="2026-09-24T00:00:00"/>
        <d v="2026-09-27T00:00:00"/>
        <d v="2026-11-19T00:00:00"/>
        <d v="2026-11-20T00:00:00"/>
        <d v="2026-12-10T00:00:00"/>
        <d v="2027-01-14T00:00:00"/>
        <d v="2027-03-02T00:00:00"/>
        <d v="2027-04-09T00:00:00"/>
        <d v="2027-04-08T00:00:00"/>
        <d v="2027-04-22T00:00:00"/>
        <d v="2027-05-05T00:00:00"/>
        <d v="2027-05-20T00:00:00"/>
        <d v="2027-06-07T00:00:00"/>
        <d v="2027-07-30T00:00:00"/>
        <d v="2027-07-29T00:00:00"/>
        <d v="2027-09-15T00:00:00"/>
        <d v="2027-10-08T00:00:00"/>
        <d v="2027-10-11T00:00:00"/>
        <d v="2027-11-18T00:00:00"/>
        <d v="2027-11-26T00:00:00"/>
        <d v="2027-12-20T00:00:00"/>
        <d v="2028-01-18T00:00:00"/>
        <d v="2025-11-07T00:00:00" u="1"/>
        <d v="2026-05-28T00:00:00" u="1"/>
        <d v="2026-11-21T00:00:00" u="1"/>
        <d v="2027-06-08T00:00:00" u="1"/>
        <d v="2027-11-27T00:00:00" u="1"/>
        <d v="2026-10-01T00:00:00" u="1"/>
        <d v="2027-04-26T00:00:00" u="1"/>
        <d v="2027-10-15T00:00:00" u="1"/>
        <d v="2026-03-26T00:00:00" u="1"/>
        <d v="2026-09-17T00:00:00" u="1"/>
        <d v="2027-04-02T00:00:00" u="1"/>
        <d v="2027-10-01T00:00:00" u="1"/>
        <d v="2027-09-21T00:00:00" u="1"/>
        <d v="2027-02-26T00:00:00" u="1"/>
        <d v="2027-03-28T00:00:00" u="1"/>
        <d v="2027-06-06T00:00:00" u="1"/>
        <d v="2027-09-11T00:00:00" u="1"/>
        <d v="2027-09-16T00:00:00" u="1"/>
        <d v="2027-11-25T00:00:00" u="1"/>
        <d v="2026-04-10T00:00:00" u="1"/>
        <d v="2026-10-02T00:00:00" u="1"/>
        <d v="2027-04-27T00:00:00" u="1"/>
        <d v="2027-10-16T00:00:00" u="1"/>
        <d v="2023-12-28T00:00:00" u="1"/>
        <d v="2024-03-21T00:00:00" u="1"/>
        <d v="2024-04-11T00:00:00" u="1"/>
        <d v="2024-05-09T00:00:00" u="1"/>
        <d v="2024-06-06T00:00:00" u="1"/>
        <d v="2024-07-04T00:00:00" u="1"/>
        <d v="2024-06-27T00:00:00" u="1"/>
        <d v="2024-09-05T00:00:00" u="1"/>
        <d v="2024-09-12T00:00:00" u="1"/>
        <d v="2027-04-12T00:00:00" u="1"/>
        <d v="2027-03-03T00:00:00" u="1"/>
        <d v="2027-05-10T00:00:00" u="1"/>
        <d v="2027-11-23T00:00:00" u="1"/>
      </sharedItems>
      <fieldGroup par="25"/>
    </cacheField>
    <cacheField name="Lote" numFmtId="0">
      <sharedItems containsBlank="1" containsMixedTypes="1" containsNumber="1" containsInteger="1" minValue="1" maxValue="200326"/>
    </cacheField>
    <cacheField name="Idade" numFmtId="3">
      <sharedItems containsSemiMixedTypes="0" containsString="0" containsNumber="1" minValue="-96.714285714285708" maxValue="69"/>
    </cacheField>
    <cacheField name="Emp-CC" numFmtId="3">
      <sharedItems/>
    </cacheField>
    <cacheField name="Gr. Recria" numFmtId="0">
      <sharedItems/>
    </cacheField>
    <cacheField name="Núcleo" numFmtId="0">
      <sharedItems/>
    </cacheField>
    <cacheField name="Qtde." numFmtId="3">
      <sharedItems containsString="0" containsBlank="1" containsNumber="1" containsInteger="1" minValue="0" maxValue="66000"/>
    </cacheField>
    <cacheField name="Cama" numFmtId="0">
      <sharedItems containsBlank="1"/>
    </cacheField>
    <cacheField name="Vazo" numFmtId="0">
      <sharedItems containsString="0" containsBlank="1" containsNumber="1" containsInteger="1" minValue="16" maxValue="68"/>
    </cacheField>
    <cacheField name="Raca" numFmtId="0">
      <sharedItems count="2">
        <s v="COBB"/>
        <s v="ROSS"/>
      </sharedItems>
    </cacheField>
    <cacheField name="Fêmea - Macho" numFmtId="0">
      <sharedItems count="10">
        <s v="500 SLOW - MALE"/>
        <s v="500 SLOW - MV"/>
        <s v="AP95 - 344  JBS"/>
        <s v="500 SLOW - MALE JBS"/>
        <s v="AP95 - 344"/>
        <s v="800 SLOW CDP5 - MALE"/>
        <s v="800 SLOW CDP4 - MALE"/>
        <s v="800 SLOW CDP4 - MX"/>
        <s v="ROSS AP95_344" u="1"/>
        <s v="800 SLOW - MALE" u="1"/>
      </sharedItems>
    </cacheField>
    <cacheField name="Inic. 22 Sem." numFmtId="165">
      <sharedItems containsSemiMixedTypes="0" containsNonDate="0" containsDate="1" containsString="0" minDate="2025-02-20T00:00:00" maxDate="2028-06-14T00:00:00"/>
    </cacheField>
    <cacheField name="Lote2" numFmtId="0">
      <sharedItems containsBlank="1" containsMixedTypes="1" containsNumber="1" containsInteger="1" minValue="230025" maxValue="230426"/>
    </cacheField>
    <cacheField name="Emp-CC2" numFmtId="0">
      <sharedItems/>
    </cacheField>
    <cacheField name="Gr. Destino" numFmtId="0">
      <sharedItems/>
    </cacheField>
    <cacheField name="Núcleo2" numFmtId="0">
      <sharedItems containsBlank="1"/>
    </cacheField>
    <cacheField name="Qtde.2" numFmtId="3">
      <sharedItems containsSemiMixedTypes="0" containsString="0" containsNumber="1" containsInteger="1" minValue="4000" maxValue="62000"/>
    </cacheField>
    <cacheField name="Data Abate" numFmtId="165">
      <sharedItems containsSemiMixedTypes="0" containsNonDate="0" containsDate="1" containsString="0" minDate="2025-12-24T00:00:00" maxDate="2029-04-24T00:00:00"/>
    </cacheField>
    <cacheField name="Abate" numFmtId="1">
      <sharedItems containsSemiMixedTypes="0" containsString="0" containsNumber="1" containsInteger="1" minValue="64" maxValue="70"/>
    </cacheField>
    <cacheField name="Vazio" numFmtId="1">
      <sharedItems containsString="0" containsBlank="1" containsNumber="1" containsInteger="1" minValue="34" maxValue="65"/>
    </cacheField>
    <cacheField name="Prev. Aloj." numFmtId="164">
      <sharedItems containsSemiMixedTypes="0" containsNonDate="0" containsDate="1" containsString="0" minDate="2026-02-05T00:00:00" maxDate="2029-04-24T00:00:00"/>
    </cacheField>
    <cacheField name="Meses (Dt. Inic. Sem.)" numFmtId="0" databaseField="0">
      <fieldGroup base="2">
        <rangePr groupBy="months" startDate="2024-09-19T00:00:00" endDate="2028-01-19T00:00:00"/>
        <groupItems count="14">
          <s v="&lt;19/09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9/01/2028"/>
        </groupItems>
      </fieldGroup>
    </cacheField>
    <cacheField name="Trimestres (Dt. Inic. Sem.)" numFmtId="0" databaseField="0">
      <fieldGroup base="2">
        <rangePr groupBy="quarters" startDate="2024-09-19T00:00:00" endDate="2028-01-19T00:00:00"/>
        <groupItems count="6">
          <s v="&lt;19/09/2024"/>
          <s v="Trim1"/>
          <s v="Trim2"/>
          <s v="Trim3"/>
          <s v="Trim4"/>
          <s v="&gt;19/01/2028"/>
        </groupItems>
      </fieldGroup>
    </cacheField>
    <cacheField name="Anos (Dt. Inic. Sem.)" numFmtId="0" databaseField="0">
      <fieldGroup base="2">
        <rangePr groupBy="years" startDate="2024-09-19T00:00:00" endDate="2028-01-19T00:00:00"/>
        <groupItems count="7">
          <s v="&lt;19/09/2024"/>
          <s v="2024"/>
          <s v="2025"/>
          <s v="2026"/>
          <s v="2027"/>
          <s v="2028"/>
          <s v="&gt;19/01/2028"/>
        </groupItems>
      </fieldGroup>
    </cacheField>
  </cacheFields>
  <extLst>
    <ext xmlns:x14="http://schemas.microsoft.com/office/spreadsheetml/2009/9/main" uri="{725AE2AE-9491-48be-B2B4-4EB974FC3084}">
      <x14:pivotCacheDefinition pivotCacheId="873111686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By="PCP-Volnei-Pereira" refreshedDate="46071.677886458332" createdVersion="8" refreshedVersion="8" minRefreshableVersion="3" recordCount="16" xr:uid="{0F798E2C-5143-4FF2-AF4B-615F078DF44A}">
  <cacheSource type="worksheet">
    <worksheetSource ref="A1:W17" sheet="Pluma CV" r:id="rId1"/>
  </cacheSource>
  <cacheFields count="26">
    <cacheField name="Reg." numFmtId="0">
      <sharedItems/>
    </cacheField>
    <cacheField name="Dt. Aloj." numFmtId="164">
      <sharedItems containsSemiMixedTypes="0" containsNonDate="0" containsDate="1" containsString="0" minDate="2026-01-31T00:00:00" maxDate="2027-12-08T00:00:00" count="16">
        <d v="2026-01-31T00:00:00"/>
        <d v="2026-02-28T00:00:00"/>
        <d v="2026-04-19T00:00:00"/>
        <d v="2026-05-20T00:00:00"/>
        <d v="2026-07-18T00:00:00"/>
        <d v="2026-08-26T00:00:00"/>
        <d v="2026-10-08T00:00:00"/>
        <d v="2026-11-18T00:00:00"/>
        <d v="2027-01-26T00:00:00"/>
        <d v="2027-03-06T00:00:00"/>
        <d v="2027-04-23T00:00:00"/>
        <d v="2027-06-08T00:00:00"/>
        <d v="2027-07-22T00:00:00"/>
        <d v="2027-09-04T00:00:00"/>
        <d v="2027-10-22T00:00:00"/>
        <d v="2027-12-07T00:00:00"/>
      </sharedItems>
    </cacheField>
    <cacheField name="Dt. Inic. Sem." numFmtId="165">
      <sharedItems containsSemiMixedTypes="0" containsNonDate="0" containsDate="1" containsString="0" minDate="2026-01-29T00:00:00" maxDate="2027-12-08T00:00:00" count="16">
        <d v="2026-01-29T00:00:00"/>
        <d v="2026-02-26T00:00:00"/>
        <d v="2026-04-19T00:00:00"/>
        <d v="2026-05-20T00:00:00"/>
        <d v="2026-07-18T00:00:00"/>
        <d v="2026-08-26T00:00:00"/>
        <d v="2026-10-08T00:00:00"/>
        <d v="2026-11-18T00:00:00"/>
        <d v="2027-01-26T00:00:00"/>
        <d v="2027-03-06T00:00:00"/>
        <d v="2027-04-23T00:00:00"/>
        <d v="2027-06-08T00:00:00"/>
        <d v="2027-07-22T00:00:00"/>
        <d v="2027-09-04T00:00:00"/>
        <d v="2027-10-22T00:00:00"/>
        <d v="2027-12-07T00:00:00"/>
      </sharedItems>
      <fieldGroup par="25"/>
    </cacheField>
    <cacheField name="Lote" numFmtId="0">
      <sharedItems containsBlank="1" containsMixedTypes="1" containsNumber="1" containsInteger="1" minValue="151843" maxValue="700126"/>
    </cacheField>
    <cacheField name="Idade" numFmtId="3">
      <sharedItems containsSemiMixedTypes="0" containsString="0" containsNumber="1" minValue="-93.857142857142861" maxValue="2.8571428571428572"/>
    </cacheField>
    <cacheField name="Emp-CC" numFmtId="3">
      <sharedItems containsMixedTypes="1" containsNumber="1" containsInteger="1" minValue="31" maxValue="69"/>
    </cacheField>
    <cacheField name="Recria" numFmtId="14">
      <sharedItems/>
    </cacheField>
    <cacheField name="Núcleo" numFmtId="14">
      <sharedItems containsBlank="1"/>
    </cacheField>
    <cacheField name="Qtde." numFmtId="3">
      <sharedItems containsSemiMixedTypes="0" containsString="0" containsNumber="1" containsInteger="1" minValue="35000" maxValue="35000"/>
    </cacheField>
    <cacheField name="Cama" numFmtId="0">
      <sharedItems containsBlank="1"/>
    </cacheField>
    <cacheField name="VZ" numFmtId="0">
      <sharedItems containsString="0" containsBlank="1" containsNumber="1" containsInteger="1" minValue="23" maxValue="55"/>
    </cacheField>
    <cacheField name="Raca" numFmtId="0">
      <sharedItems count="2">
        <s v="COBB"/>
        <s v="" u="1"/>
      </sharedItems>
    </cacheField>
    <cacheField name="Linhagem" numFmtId="0">
      <sharedItems containsBlank="1" count="3">
        <s v="500 SLOW - MALE"/>
        <m u="1"/>
        <s v="COBB - MALE" u="1"/>
      </sharedItems>
    </cacheField>
    <cacheField name="Inic. 22 Sem." numFmtId="165">
      <sharedItems containsSemiMixedTypes="0" containsNonDate="0" containsDate="1" containsString="0" minDate="2026-06-25T00:00:00" maxDate="2028-05-03T00:00:00"/>
    </cacheField>
    <cacheField name="Lote2" numFmtId="168">
      <sharedItems containsString="0" containsBlank="1" containsNumber="1" containsInteger="1" minValue="730026" maxValue="730026"/>
    </cacheField>
    <cacheField name="Emp-CC2" numFmtId="0">
      <sharedItems/>
    </cacheField>
    <cacheField name="Recria2" numFmtId="0">
      <sharedItems/>
    </cacheField>
    <cacheField name="Núcleo2" numFmtId="0">
      <sharedItems containsSemiMixedTypes="0" containsString="0" containsNumber="1" containsInteger="1" minValue="0" maxValue="0"/>
    </cacheField>
    <cacheField name="Qtde.2" numFmtId="3">
      <sharedItems containsSemiMixedTypes="0" containsString="0" containsNumber="1" containsInteger="1" minValue="33425" maxValue="33425"/>
    </cacheField>
    <cacheField name="Data Abate" numFmtId="165">
      <sharedItems containsSemiMixedTypes="0" containsNonDate="0" containsDate="1" containsString="0" minDate="2027-05-05T00:00:00" maxDate="2029-03-20T00:00:00"/>
    </cacheField>
    <cacheField name="Abate" numFmtId="1">
      <sharedItems containsSemiMixedTypes="0" containsString="0" containsNumber="1" containsInteger="1" minValue="66" maxValue="69"/>
    </cacheField>
    <cacheField name="VZ2" numFmtId="1">
      <sharedItems containsString="0" containsBlank="1" containsNumber="1" containsInteger="1" minValue="48" maxValue="53"/>
    </cacheField>
    <cacheField name="Prev. Aloj." numFmtId="164">
      <sharedItems containsSemiMixedTypes="0" containsNonDate="0" containsDate="1" containsString="0" minDate="2027-06-22T00:00:00" maxDate="2029-03-20T00:00:00"/>
    </cacheField>
    <cacheField name="Meses (Dt. Inic. Sem.)" numFmtId="0" databaseField="0">
      <fieldGroup base="2">
        <rangePr groupBy="months" startDate="2026-01-29T00:00:00" endDate="2027-12-08T00:00:00"/>
        <groupItems count="14">
          <s v="&lt;29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8/12/2027"/>
        </groupItems>
      </fieldGroup>
    </cacheField>
    <cacheField name="Trimestres (Dt. Inic. Sem.)" numFmtId="0" databaseField="0">
      <fieldGroup base="2">
        <rangePr groupBy="quarters" startDate="2026-01-29T00:00:00" endDate="2027-12-08T00:00:00"/>
        <groupItems count="6">
          <s v="&lt;29/01/2026"/>
          <s v="Trim1"/>
          <s v="Trim2"/>
          <s v="Trim3"/>
          <s v="Trim4"/>
          <s v="&gt;08/12/2027"/>
        </groupItems>
      </fieldGroup>
    </cacheField>
    <cacheField name="Anos (Dt. Inic. Sem.)" numFmtId="0" databaseField="0">
      <fieldGroup base="2">
        <rangePr groupBy="years" startDate="2026-01-29T00:00:00" endDate="2027-12-08T00:00:00"/>
        <groupItems count="4">
          <s v="&lt;29/01/2026"/>
          <s v="2026"/>
          <s v="2027"/>
          <s v="&gt;08/12/2027"/>
        </groupItems>
      </fieldGroup>
    </cacheField>
  </cacheFields>
  <extLst>
    <ext xmlns:x14="http://schemas.microsoft.com/office/spreadsheetml/2009/9/main" uri="{725AE2AE-9491-48be-B2B4-4EB974FC3084}">
      <x14:pivotCacheDefinition pivotCacheId="426783373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By="Excel Services" refreshedDate="46132.32406979167" createdVersion="8" refreshedVersion="8" minRefreshableVersion="3" recordCount="31" xr:uid="{45981CC4-484D-4D1B-B89B-FA0109138F93}">
  <cacheSource type="worksheet">
    <worksheetSource ref="A1:W26" sheet="Plusval"/>
  </cacheSource>
  <cacheFields count="26">
    <cacheField name="Reg." numFmtId="0">
      <sharedItems/>
    </cacheField>
    <cacheField name="Dt. Aloj." numFmtId="164">
      <sharedItems containsSemiMixedTypes="0" containsNonDate="0" containsDate="1" containsString="0" minDate="2023-09-13T00:00:00" maxDate="2028-01-19T00:00:00" count="42">
        <d v="2024-10-17T00:00:00"/>
        <d v="2024-12-06T00:00:00"/>
        <d v="2024-12-24T00:00:00"/>
        <d v="2025-01-28T00:00:00"/>
        <d v="2025-04-15T00:00:00"/>
        <d v="2025-06-13T00:00:00"/>
        <d v="2025-07-08T00:00:00"/>
        <d v="2025-08-08T00:00:00"/>
        <d v="2025-10-01T00:00:00"/>
        <d v="2025-11-21T00:00:00"/>
        <d v="2025-12-23T00:00:00"/>
        <d v="2026-02-04T00:00:00"/>
        <d v="2026-04-16T00:00:00"/>
        <d v="2026-06-04T00:00:00"/>
        <d v="2026-06-26T00:00:00"/>
        <d v="2026-08-20T00:00:00"/>
        <d v="2026-10-08T00:00:00"/>
        <d v="2026-11-26T00:00:00"/>
        <d v="2026-12-20T00:00:00"/>
        <d v="2027-02-08T00:00:00"/>
        <d v="2027-04-23T00:00:00"/>
        <d v="2027-06-11T00:00:00"/>
        <d v="2027-07-05T00:00:00"/>
        <d v="2027-08-24T00:00:00"/>
        <d v="2027-10-12T00:00:00"/>
        <d v="2027-11-30T00:00:00"/>
        <d v="2027-12-24T00:00:00"/>
        <d v="2026-04-15T00:00:00" u="1"/>
        <d v="2026-10-09T00:00:00" u="1"/>
        <d v="2027-04-24T00:00:00" u="1"/>
        <d v="2027-10-13T00:00:00" u="1"/>
        <d v="2023-09-13T00:00:00" u="1"/>
        <d v="2023-11-11T00:00:00" u="1"/>
        <d v="2023-12-13T00:00:00" u="1"/>
        <d v="2024-01-09T00:00:00" u="1"/>
        <d v="2024-03-06T00:00:00" u="1"/>
        <d v="2024-05-15T00:00:00" u="1"/>
        <d v="2024-06-13T00:00:00" u="1"/>
        <d v="2024-08-03T00:00:00" u="1"/>
        <d v="2027-11-07T00:00:00" u="1"/>
        <d v="2027-12-25T00:00:00" u="1"/>
        <d v="2028-01-18T00:00:00" u="1"/>
      </sharedItems>
      <fieldGroup par="25"/>
    </cacheField>
    <cacheField name="Dt. Inic. Sem." numFmtId="165">
      <sharedItems containsSemiMixedTypes="0" containsNonDate="0" containsDate="1" containsString="0" minDate="2024-10-17T00:00:00" maxDate="2027-12-25T00:00:00"/>
    </cacheField>
    <cacheField name="Lote" numFmtId="0">
      <sharedItems containsMixedTypes="1" containsNumber="1" containsInteger="1" minValue="500025" maxValue="500225"/>
    </cacheField>
    <cacheField name="Idade" numFmtId="3">
      <sharedItems containsSemiMixedTypes="0" containsString="0" containsNumber="1" minValue="-87.571428571428569" maxValue="78.571428571428569"/>
    </cacheField>
    <cacheField name="Emp-CC" numFmtId="3">
      <sharedItems/>
    </cacheField>
    <cacheField name="Recria" numFmtId="14">
      <sharedItems/>
    </cacheField>
    <cacheField name="Núcleo" numFmtId="14">
      <sharedItems/>
    </cacheField>
    <cacheField name="Qtde." numFmtId="3">
      <sharedItems containsString="0" containsBlank="1" containsNumber="1" containsInteger="1" minValue="0" maxValue="55400"/>
    </cacheField>
    <cacheField name="Cama" numFmtId="0">
      <sharedItems/>
    </cacheField>
    <cacheField name="VZ" numFmtId="0">
      <sharedItems containsSemiMixedTypes="0" containsString="0" containsNumber="1" containsInteger="1" minValue="15" maxValue="50"/>
    </cacheField>
    <cacheField name="Raca" numFmtId="0">
      <sharedItems containsBlank="1" count="4">
        <s v="ROSS"/>
        <s v="COBB"/>
        <s v="HUBB"/>
        <m u="1"/>
      </sharedItems>
    </cacheField>
    <cacheField name="Fêmea - Macho" numFmtId="0">
      <sharedItems count="6">
        <s v="AP95 - 344"/>
        <s v="500 SLOW - MALE"/>
        <s v="500 FAST - MALE"/>
        <s v="500 SLOW - MX"/>
        <s v="EFFICIENCY PLUS_M77"/>
        <s v="APN - 344"/>
      </sharedItems>
    </cacheField>
    <cacheField name="Inic. 22 Sem." numFmtId="165">
      <sharedItems containsSemiMixedTypes="0" containsNonDate="0" containsDate="1" containsString="0" minDate="2025-03-13T00:00:00" maxDate="2028-05-20T00:00:00"/>
    </cacheField>
    <cacheField name="Lote2" numFmtId="0">
      <sharedItems containsBlank="1" containsMixedTypes="1" containsNumber="1" containsInteger="1" minValue="530025" maxValue="530826"/>
    </cacheField>
    <cacheField name="Emp-CC2" numFmtId="0">
      <sharedItems/>
    </cacheField>
    <cacheField name="Produção" numFmtId="0">
      <sharedItems/>
    </cacheField>
    <cacheField name="Núcleo2" numFmtId="0">
      <sharedItems/>
    </cacheField>
    <cacheField name="Qtde.2" numFmtId="3">
      <sharedItems containsSemiMixedTypes="0" containsString="0" containsNumber="1" containsInteger="1" minValue="0" maxValue="52907"/>
    </cacheField>
    <cacheField name="Data Abate" numFmtId="165">
      <sharedItems containsSemiMixedTypes="0" containsNonDate="0" containsDate="1" containsString="0" minDate="2026-01-21T00:00:00" maxDate="2029-04-06T00:00:00"/>
    </cacheField>
    <cacheField name="Abate" numFmtId="1">
      <sharedItems containsSemiMixedTypes="0" containsString="0" containsNumber="1" containsInteger="1" minValue="66" maxValue="73"/>
    </cacheField>
    <cacheField name="VZ2" numFmtId="1">
      <sharedItems containsString="0" containsBlank="1" containsNumber="1" containsInteger="1" minValue="1" maxValue="57"/>
    </cacheField>
    <cacheField name="Prev. Aloj." numFmtId="164">
      <sharedItems containsSemiMixedTypes="0" containsNonDate="0" containsDate="1" containsString="0" minDate="2026-02-26T00:00:00" maxDate="2029-04-06T00:00:00"/>
    </cacheField>
    <cacheField name="Meses (Dt. Aloj.)" numFmtId="0" databaseField="0">
      <fieldGroup base="1">
        <rangePr groupBy="months" startDate="2024-10-17T00:00:00" endDate="2027-12-25T00:00:00"/>
        <groupItems count="14">
          <s v="&lt;17/10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5/12/2027"/>
        </groupItems>
      </fieldGroup>
    </cacheField>
    <cacheField name="Trimestres (Dt. Aloj.)" numFmtId="0" databaseField="0">
      <fieldGroup base="1">
        <rangePr groupBy="quarters" startDate="2024-10-17T00:00:00" endDate="2027-12-25T00:00:00"/>
        <groupItems count="6">
          <s v="&lt;17/10/2024"/>
          <s v="Trim1"/>
          <s v="Trim2"/>
          <s v="Trim3"/>
          <s v="Trim4"/>
          <s v="&gt;25/12/2027"/>
        </groupItems>
      </fieldGroup>
    </cacheField>
    <cacheField name="Anos (Dt. Aloj.)" numFmtId="0" databaseField="0">
      <fieldGroup base="1">
        <rangePr groupBy="years" startDate="2024-10-17T00:00:00" endDate="2027-12-25T00:00:00"/>
        <groupItems count="6">
          <s v="&lt;17/10/2024"/>
          <s v="2024"/>
          <s v="2025"/>
          <s v="2026"/>
          <s v="2027"/>
          <s v="&gt;25/12/2027"/>
        </groupItems>
      </fieldGroup>
    </cacheField>
  </cacheFields>
  <extLst>
    <ext xmlns:x14="http://schemas.microsoft.com/office/spreadsheetml/2009/9/main" uri="{725AE2AE-9491-48be-B2B4-4EB974FC3084}">
      <x14:pivotCacheDefinition pivotCacheId="142941932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By="PCP-Volnei-Pereira" refreshedDate="46246.319756712961" createdVersion="8" refreshedVersion="8" minRefreshableVersion="3" recordCount="76" xr:uid="{5A161A95-3B13-426B-8BB0-7B0AAA5B1092}">
  <cacheSource type="worksheet">
    <worksheetSource ref="A1:W77" sheet="Pluma SP"/>
  </cacheSource>
  <cacheFields count="26">
    <cacheField name="Reg." numFmtId="0">
      <sharedItems/>
    </cacheField>
    <cacheField name="Dt. Aloj." numFmtId="164">
      <sharedItems containsSemiMixedTypes="0" containsNonDate="0" containsDate="1" containsString="0" minDate="2025-01-03T00:00:00" maxDate="2028-01-23T00:00:00"/>
    </cacheField>
    <cacheField name="Dt. Inic. Sem." numFmtId="165">
      <sharedItems containsSemiMixedTypes="0" containsNonDate="0" containsDate="1" containsString="0" minDate="2025-01-09T00:00:00" maxDate="2028-01-23T00:00:00" count="49">
        <d v="2025-01-09T00:00:00"/>
        <d v="2025-01-30T00:00:00"/>
        <d v="2025-02-13T00:00:00"/>
        <d v="2025-02-27T00:00:00"/>
        <d v="2025-03-20T00:00:00"/>
        <d v="2025-03-27T00:00:00"/>
        <d v="2025-04-03T00:00:00"/>
        <d v="2025-05-22T00:00:00"/>
        <d v="2025-06-05T00:00:00"/>
        <d v="2025-07-31T00:00:00"/>
        <d v="2025-08-21T00:00:00"/>
        <d v="2025-09-04T00:00:00"/>
        <d v="2025-09-11T00:00:00"/>
        <d v="2025-09-13T00:00:00"/>
        <d v="2025-11-06T00:00:00"/>
        <d v="2025-11-13T00:00:00"/>
        <d v="2026-01-08T00:00:00"/>
        <d v="2026-02-19T00:00:00"/>
        <d v="2026-02-26T00:00:00"/>
        <d v="2026-03-12T00:00:00"/>
        <d v="2026-04-02T00:00:00"/>
        <d v="2026-04-09T00:00:00"/>
        <d v="2026-05-07T00:00:00"/>
        <d v="2026-05-14T00:00:00"/>
        <d v="2026-07-23T00:00:00"/>
        <d v="2026-07-30T00:00:00"/>
        <d v="2026-08-29T00:00:00"/>
        <d v="2026-09-24T00:00:00"/>
        <d v="2026-09-27T00:00:00"/>
        <d v="2026-11-15T00:00:00"/>
        <d v="2026-11-27T00:00:00"/>
        <d v="2026-12-21T00:00:00"/>
        <d v="2027-01-18T00:00:00"/>
        <d v="2027-02-21T00:00:00"/>
        <d v="2027-04-09T00:00:00"/>
        <d v="2027-03-22T00:00:00"/>
        <d v="2027-04-22T00:00:00"/>
        <d v="2027-05-01T00:00:00"/>
        <d v="2027-05-20T00:00:00"/>
        <d v="2027-05-23T00:00:00"/>
        <d v="2027-08-03T00:00:00"/>
        <d v="2027-07-30T00:00:00"/>
        <d v="2027-09-06T00:00:00"/>
        <d v="2027-10-08T00:00:00"/>
        <d v="2027-10-11T00:00:00"/>
        <d v="2027-11-14T00:00:00"/>
        <d v="2027-12-06T00:00:00"/>
        <d v="2027-12-20T00:00:00"/>
        <d v="2028-01-22T00:00:00"/>
      </sharedItems>
      <fieldGroup par="25"/>
    </cacheField>
    <cacheField name="Lote" numFmtId="0">
      <sharedItems containsBlank="1" containsMixedTypes="1" containsNumber="1" containsInteger="1" minValue="45748" maxValue="201027"/>
    </cacheField>
    <cacheField name="Idade_x000a_Ordem" numFmtId="3">
      <sharedItems containsString="0" containsBlank="1" containsNumber="1" minValue="1.8571428571428572" maxValue="153557"/>
    </cacheField>
    <cacheField name="Emp-CC" numFmtId="0">
      <sharedItems containsBlank="1"/>
    </cacheField>
    <cacheField name="Gr. Recria" numFmtId="0">
      <sharedItems/>
    </cacheField>
    <cacheField name="Núcleo" numFmtId="0">
      <sharedItems containsBlank="1"/>
    </cacheField>
    <cacheField name="Qtde." numFmtId="3">
      <sharedItems containsString="0" containsBlank="1" containsNumber="1" containsInteger="1" minValue="30000" maxValue="66000"/>
    </cacheField>
    <cacheField name="Cama" numFmtId="0">
      <sharedItems containsBlank="1"/>
    </cacheField>
    <cacheField name="Vazo" numFmtId="0">
      <sharedItems containsBlank="1" containsMixedTypes="1" containsNumber="1" containsInteger="1" minValue="16" maxValue="68"/>
    </cacheField>
    <cacheField name="Raca" numFmtId="0">
      <sharedItems count="3">
        <s v="ROSS"/>
        <s v="COBB"/>
        <s v="JBS"/>
      </sharedItems>
    </cacheField>
    <cacheField name="Fêmea - Macho" numFmtId="0">
      <sharedItems count="11">
        <s v="AP95 - 344  JBS"/>
        <s v="500 SLOW - MALE"/>
        <s v="500 SLOW - MALE JBS"/>
        <s v="AP95 - 344"/>
        <s v="800 SLOW - MALE"/>
        <s v="CDP4 SF - MALE"/>
        <s v="800 SLOW - MX"/>
        <s v="500 SLOW - MX"/>
        <s v="500 SLOW - MV" u="1"/>
        <s v="800 SLOW CDP5 - MALE" u="1"/>
        <s v="800 SLOW CDP4 - MALE" u="1"/>
      </sharedItems>
    </cacheField>
    <cacheField name="Inic. 22 Sem." numFmtId="165">
      <sharedItems containsSemiMixedTypes="0" containsNonDate="0" containsDate="1" containsString="0" minDate="2025-06-05T00:00:00" maxDate="2028-06-18T00:00:00"/>
    </cacheField>
    <cacheField name="Lote2" numFmtId="0">
      <sharedItems containsBlank="1" containsMixedTypes="1" containsNumber="1" containsInteger="1" minValue="230025" maxValue="230926"/>
    </cacheField>
    <cacheField name="Emp-CC2" numFmtId="0">
      <sharedItems/>
    </cacheField>
    <cacheField name="Gr. Destino" numFmtId="0">
      <sharedItems/>
    </cacheField>
    <cacheField name="Núcleo2" numFmtId="0">
      <sharedItems/>
    </cacheField>
    <cacheField name="Qtde.2" numFmtId="3">
      <sharedItems containsSemiMixedTypes="0" containsString="0" containsNumber="1" containsInteger="1" minValue="4000" maxValue="62000"/>
    </cacheField>
    <cacheField name="Data Abate" numFmtId="165">
      <sharedItems containsSemiMixedTypes="0" containsNonDate="0" containsDate="1" containsString="0" minDate="2026-03-11T00:00:00" maxDate="2029-04-28T00:00:00"/>
    </cacheField>
    <cacheField name="Abate" numFmtId="1">
      <sharedItems containsSemiMixedTypes="0" containsString="0" containsNumber="1" containsInteger="1" minValue="61" maxValue="70"/>
    </cacheField>
    <cacheField name="Vazio" numFmtId="1">
      <sharedItems containsString="0" containsBlank="1" containsNumber="1" containsInteger="1" minValue="36" maxValue="85"/>
    </cacheField>
    <cacheField name="Prev. Aloj." numFmtId="164">
      <sharedItems containsNonDate="0" containsDate="1" containsString="0" containsBlank="1" minDate="2026-06-04T00:00:00" maxDate="2029-04-28T00:00:00"/>
    </cacheField>
    <cacheField name="Meses (Dt. Inic. Sem.)" numFmtId="0" databaseField="0">
      <fieldGroup base="2">
        <rangePr groupBy="months" startDate="2025-01-09T00:00:00" endDate="2028-01-23T00:00:00"/>
        <groupItems count="14">
          <s v="&lt;09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3/01/2028"/>
        </groupItems>
      </fieldGroup>
    </cacheField>
    <cacheField name="Trimestres (Dt. Inic. Sem.)" numFmtId="0" databaseField="0">
      <fieldGroup base="2">
        <rangePr groupBy="quarters" startDate="2025-01-09T00:00:00" endDate="2028-01-23T00:00:00"/>
        <groupItems count="6">
          <s v="&lt;09/01/2025"/>
          <s v="Trim1"/>
          <s v="Trim2"/>
          <s v="Trim3"/>
          <s v="Trim4"/>
          <s v="&gt;23/01/2028"/>
        </groupItems>
      </fieldGroup>
    </cacheField>
    <cacheField name="Anos (Dt. Inic. Sem.)" numFmtId="0" databaseField="0">
      <fieldGroup base="2">
        <rangePr groupBy="years" startDate="2025-01-09T00:00:00" endDate="2028-01-23T00:00:00"/>
        <groupItems count="6">
          <s v="&lt;09/01/2025"/>
          <s v="2025"/>
          <s v="2026"/>
          <s v="2027"/>
          <s v="2028"/>
          <s v="&gt;23/01/2028"/>
        </groupItems>
      </fieldGroup>
    </cacheField>
  </cacheFields>
  <extLst>
    <ext xmlns:x14="http://schemas.microsoft.com/office/spreadsheetml/2009/9/main" uri="{725AE2AE-9491-48be-B2B4-4EB974FC3084}">
      <x14:pivotCacheDefinition pivotCacheId="367689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andro Meira" refreshedDate="46294.626182870372" createdVersion="8" refreshedVersion="8" minRefreshableVersion="3" recordCount="87" xr:uid="{0403F390-4E72-4DAC-83FE-38223D71F900}">
  <cacheSource type="worksheet">
    <worksheetSource name="Recria"/>
  </cacheSource>
  <cacheFields count="11">
    <cacheField name="Unidade" numFmtId="0">
      <sharedItems count="8">
        <s v="Pluma - PR"/>
        <s v="Pluma - SP"/>
        <s v="Pluma - G3"/>
        <s v="Plusval"/>
        <s v="Pluma - MI"/>
        <s v="Pluma - CV"/>
        <s v="Pluma - DF"/>
        <s v="Cassilândia"/>
      </sharedItems>
    </cacheField>
    <cacheField name="Fase" numFmtId="0">
      <sharedItems/>
    </cacheField>
    <cacheField name="Granja Recria" numFmtId="0">
      <sharedItems/>
    </cacheField>
    <cacheField name="Núcleo" numFmtId="0">
      <sharedItems containsBlank="1"/>
    </cacheField>
    <cacheField name="Qtd" numFmtId="3">
      <sharedItems containsMixedTypes="1" containsNumber="1" containsInteger="1" minValue="16000" maxValue="248000"/>
    </cacheField>
    <cacheField name="Emp+CC" numFmtId="0">
      <sharedItems/>
    </cacheField>
    <cacheField name="Emp" numFmtId="0">
      <sharedItems containsSemiMixedTypes="0" containsString="0" containsNumber="1" containsInteger="1" minValue="10" maxValue="229"/>
    </cacheField>
    <cacheField name="CC" numFmtId="0">
      <sharedItems containsSemiMixedTypes="0" containsString="0" containsNumber="1" containsInteger="1" minValue="16" maxValue="3267"/>
    </cacheField>
    <cacheField name="Prev Transf." numFmtId="0" formula="Qtd*0.955" databaseField="0"/>
    <cacheField name="Alojamento" numFmtId="0" formula="Qtd" databaseField="0"/>
    <cacheField name="Transferência" numFmtId="0" formula="Alojamento*0.955" databaseField="0"/>
  </cacheFields>
  <extLst>
    <ext xmlns:x14="http://schemas.microsoft.com/office/spreadsheetml/2009/9/main" uri="{725AE2AE-9491-48be-B2B4-4EB974FC3084}">
      <x14:pivotCacheDefinition pivotCacheId="1107350062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andro Meira" refreshedDate="46294.626183217595" createdVersion="8" refreshedVersion="8" minRefreshableVersion="3" recordCount="201" xr:uid="{61ED6B3C-8869-4859-956E-234B7FBE82CB}">
  <cacheSource type="worksheet">
    <worksheetSource name="Producao"/>
  </cacheSource>
  <cacheFields count="9">
    <cacheField name="Unidade" numFmtId="0">
      <sharedItems count="9">
        <s v="Pluma - PR"/>
        <s v="Pluma - SC"/>
        <s v="Pluma - SP"/>
        <s v="Pluma - G3"/>
        <s v="Plusval"/>
        <s v="Pluma - MI"/>
        <s v="Pluma - CV"/>
        <s v="Pluma - DF"/>
        <s v="Cassilândia"/>
      </sharedItems>
    </cacheField>
    <cacheField name="Fase" numFmtId="0">
      <sharedItems/>
    </cacheField>
    <cacheField name="Granja Produção" numFmtId="0">
      <sharedItems/>
    </cacheField>
    <cacheField name="Núcleo" numFmtId="0">
      <sharedItems containsBlank="1"/>
    </cacheField>
    <cacheField name="Qtd" numFmtId="3">
      <sharedItems containsMixedTypes="1" containsNumber="1" minValue="15000" maxValue="90000"/>
    </cacheField>
    <cacheField name="Emp+CC" numFmtId="0">
      <sharedItems/>
    </cacheField>
    <cacheField name="Emp" numFmtId="0">
      <sharedItems containsString="0" containsBlank="1" containsNumber="1" containsInteger="1" minValue="6" maxValue="229"/>
    </cacheField>
    <cacheField name="CC" numFmtId="0">
      <sharedItems containsSemiMixedTypes="0" containsString="0" containsNumber="1" containsInteger="1" minValue="10" maxValue="3283"/>
    </cacheField>
    <cacheField name="Prev Transf." numFmtId="0" formula="Qtd" databaseField="0"/>
  </cacheFields>
  <extLst>
    <ext xmlns:x14="http://schemas.microsoft.com/office/spreadsheetml/2009/9/main" uri="{725AE2AE-9491-48be-B2B4-4EB974FC3084}">
      <x14:pivotCacheDefinition pivotCacheId="373387276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andro Meira" refreshedDate="46294.626183333334" createdVersion="8" refreshedVersion="8" minRefreshableVersion="3" recordCount="18" xr:uid="{0EC24B0C-EE7D-4BF3-933E-7E193BA46431}">
  <cacheSource type="worksheet">
    <worksheetSource ref="A1:V19" sheet="Argentina"/>
  </cacheSource>
  <cacheFields count="22">
    <cacheField name="Reg." numFmtId="0">
      <sharedItems/>
    </cacheField>
    <cacheField name="Dt. Aloj." numFmtId="164">
      <sharedItems containsSemiMixedTypes="0" containsNonDate="0" containsDate="1" containsString="0" minDate="2024-08-28T00:00:00" maxDate="2027-01-19T00:00:00"/>
    </cacheField>
    <cacheField name="Ano" numFmtId="0">
      <sharedItems containsSemiMixedTypes="0" containsString="0" containsNumber="1" containsInteger="1" minValue="2024" maxValue="2027" count="4">
        <n v="2025"/>
        <n v="2024"/>
        <n v="2026"/>
        <n v="2027"/>
      </sharedItems>
    </cacheField>
    <cacheField name="Dt. Inic. Sem." numFmtId="165">
      <sharedItems containsSemiMixedTypes="0" containsNonDate="0" containsDate="1" containsString="0" minDate="2024-08-29T00:00:00" maxDate="2026-08-28T00:00:00"/>
    </cacheField>
    <cacheField name="Lote" numFmtId="0">
      <sharedItems containsNonDate="0" containsString="0" containsBlank="1"/>
    </cacheField>
    <cacheField name="Idade" numFmtId="3">
      <sharedItems containsSemiMixedTypes="0" containsString="0" containsNumber="1" minValue="4.7142857142857144" maxValue="108.71428571428571"/>
    </cacheField>
    <cacheField name="Emp" numFmtId="3">
      <sharedItems containsSemiMixedTypes="0" containsString="0" containsNumber="1" containsInteger="1" minValue="900" maxValue="900"/>
    </cacheField>
    <cacheField name="Gr. Recria" numFmtId="14">
      <sharedItems/>
    </cacheField>
    <cacheField name="Qtde." numFmtId="3">
      <sharedItems containsSemiMixedTypes="0" containsString="0" containsNumber="1" containsInteger="1" minValue="2853" maxValue="14000"/>
    </cacheField>
    <cacheField name="Cama" numFmtId="0">
      <sharedItems containsString="0" containsBlank="1" containsNumber="1" containsInteger="1" minValue="25" maxValue="25"/>
    </cacheField>
    <cacheField name="VZ" numFmtId="0">
      <sharedItems containsSemiMixedTypes="0" containsString="0" containsNumber="1" containsInteger="1" minValue="-46380" maxValue="317"/>
    </cacheField>
    <cacheField name="Linhagem" numFmtId="166">
      <sharedItems count="2">
        <s v="DKB White"/>
        <s v="DKB Brown"/>
      </sharedItems>
    </cacheField>
    <cacheField name="Inic. 17 Sem." numFmtId="165">
      <sharedItems containsSemiMixedTypes="0" containsNonDate="0" containsDate="1" containsString="0" minDate="2024-12-26T00:00:00" maxDate="2026-12-25T00:00:00"/>
    </cacheField>
    <cacheField name="Inic. 22 Sem." numFmtId="165">
      <sharedItems containsSemiMixedTypes="0" containsNonDate="0" containsDate="1" containsString="0" minDate="2025-01-30T00:00:00" maxDate="2027-01-29T00:00:00"/>
    </cacheField>
    <cacheField name="Lote2" numFmtId="168">
      <sharedItems containsString="0" containsBlank="1" containsNumber="1" containsInteger="1" minValue="93025" maxValue="93525"/>
    </cacheField>
    <cacheField name="Emp2" numFmtId="0">
      <sharedItems containsSemiMixedTypes="0" containsString="0" containsNumber="1" containsInteger="1" minValue="900" maxValue="900"/>
    </cacheField>
    <cacheField name="Gr. Destino" numFmtId="0">
      <sharedItems/>
    </cacheField>
    <cacheField name="Qtde.2" numFmtId="3">
      <sharedItems containsSemiMixedTypes="0" containsString="0" containsNumber="1" containsInteger="1" minValue="2853" maxValue="13370"/>
    </cacheField>
    <cacheField name="Data Abate" numFmtId="165">
      <sharedItems containsSemiMixedTypes="0" containsNonDate="0" containsDate="1" containsString="0" minDate="2026-04-01T00:00:00" maxDate="2028-03-30T00:00:00"/>
    </cacheField>
    <cacheField name="Abate" numFmtId="1">
      <sharedItems containsSemiMixedTypes="0" containsString="0" containsNumber="1" containsInteger="1" minValue="83" maxValue="105"/>
    </cacheField>
    <cacheField name="VZ2" numFmtId="1">
      <sharedItems containsString="0" containsBlank="1" containsNumber="1" containsInteger="1" minValue="113" maxValue="113"/>
    </cacheField>
    <cacheField name="Prev. Aloj." numFmtId="164">
      <sharedItems containsSemiMixedTypes="0" containsNonDate="0" containsDate="1" containsString="0" minDate="2026-04-01T00:00:00" maxDate="2028-03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andro Meira" refreshedDate="46294.626183449072" createdVersion="8" refreshedVersion="8" minRefreshableVersion="3" recordCount="18" xr:uid="{E282FC37-E788-4830-8CB0-49149F95606B}">
  <cacheSource type="worksheet">
    <worksheetSource ref="A1:U19" sheet="Cassilândia"/>
  </cacheSource>
  <cacheFields count="24">
    <cacheField name="Reg." numFmtId="0">
      <sharedItems/>
    </cacheField>
    <cacheField name="Dt. Aloj." numFmtId="164">
      <sharedItems containsSemiMixedTypes="0" containsNonDate="0" containsDate="1" containsString="0" minDate="2024-11-02T00:00:00" maxDate="2028-01-05T00:00:00" count="18">
        <d v="2024-11-02T00:00:00"/>
        <d v="2025-01-26T00:00:00"/>
        <d v="2025-05-13T00:00:00"/>
        <d v="2025-07-31T00:00:00"/>
        <d v="2025-10-29T00:00:00"/>
        <d v="2025-12-31T00:00:00"/>
        <d v="2026-01-29T00:00:00"/>
        <d v="2026-04-30T00:00:00"/>
        <d v="2026-06-22T00:00:00"/>
        <d v="2026-08-01T00:00:00"/>
        <d v="2026-11-08T00:00:00"/>
        <d v="2026-12-31T00:00:00"/>
        <d v="2027-02-09T00:00:00"/>
        <d v="2027-05-04T00:00:00"/>
        <d v="2027-06-26T00:00:00"/>
        <d v="2027-08-05T00:00:00"/>
        <d v="2027-11-12T00:00:00"/>
        <d v="2028-01-04T00:00:00"/>
      </sharedItems>
      <fieldGroup par="23"/>
    </cacheField>
    <cacheField name="Dt. Inic. Sem." numFmtId="165">
      <sharedItems containsSemiMixedTypes="0" containsNonDate="0" containsDate="1" containsString="0" minDate="2024-10-31T00:00:00" maxDate="2028-01-05T00:00:00"/>
    </cacheField>
    <cacheField name="Lote" numFmtId="0">
      <sharedItems/>
    </cacheField>
    <cacheField name="Idade" numFmtId="3">
      <sharedItems containsSemiMixedTypes="0" containsString="0" containsNumber="1" minValue="-66" maxValue="99.714285714285708"/>
    </cacheField>
    <cacheField name="Emp" numFmtId="3">
      <sharedItems containsSemiMixedTypes="0" containsString="0" containsNumber="1" containsInteger="1" minValue="40" maxValue="44"/>
    </cacheField>
    <cacheField name="Gr. Recria" numFmtId="14">
      <sharedItems/>
    </cacheField>
    <cacheField name="Qtde." numFmtId="3">
      <sharedItems containsSemiMixedTypes="0" containsString="0" containsNumber="1" containsInteger="1" minValue="49000" maxValue="62507"/>
    </cacheField>
    <cacheField name="Cama" numFmtId="0">
      <sharedItems/>
    </cacheField>
    <cacheField name="VZ" numFmtId="0">
      <sharedItems containsSemiMixedTypes="0" containsString="0" containsNumber="1" containsInteger="1" minValue="26" maxValue="47"/>
    </cacheField>
    <cacheField name="Raca" numFmtId="0">
      <sharedItems count="2">
        <s v="ROSS"/>
        <s v="COBB"/>
      </sharedItems>
    </cacheField>
    <cacheField name="Linhagem" numFmtId="0">
      <sharedItems count="2">
        <s v="AP95 - 344"/>
        <s v="500 SLOW - MALE"/>
      </sharedItems>
    </cacheField>
    <cacheField name="Inic. 22 Sem." numFmtId="165">
      <sharedItems containsSemiMixedTypes="0" containsNonDate="0" containsDate="1" containsString="0" minDate="2025-03-27T00:00:00" maxDate="2028-05-31T00:00:00"/>
    </cacheField>
    <cacheField name="Lote2" numFmtId="168">
      <sharedItems/>
    </cacheField>
    <cacheField name="Emp2" numFmtId="0">
      <sharedItems containsSemiMixedTypes="0" containsString="0" containsNumber="1" containsInteger="1" minValue="40" maxValue="44"/>
    </cacheField>
    <cacheField name="Gr. Destino" numFmtId="0">
      <sharedItems/>
    </cacheField>
    <cacheField name="Qtde.2" numFmtId="3">
      <sharedItems containsSemiMixedTypes="0" containsString="0" containsNumber="1" minValue="26000" maxValue="59694.184999999998"/>
    </cacheField>
    <cacheField name="Data Abate" numFmtId="165">
      <sharedItems containsSemiMixedTypes="0" containsNonDate="0" containsDate="1" containsString="0" minDate="2026-02-18T00:00:00" maxDate="2029-04-24T00:00:00"/>
    </cacheField>
    <cacheField name="Abate" numFmtId="1">
      <sharedItems containsSemiMixedTypes="0" containsString="0" containsNumber="1" containsInteger="1" minValue="68" maxValue="68"/>
    </cacheField>
    <cacheField name="VZ2" numFmtId="1">
      <sharedItems containsSemiMixedTypes="0" containsString="0" containsNumber="1" containsInteger="1" minValue="-47231" maxValue="377"/>
    </cacheField>
    <cacheField name="Prev. Aloj." numFmtId="164">
      <sharedItems containsSemiMixedTypes="0" containsNonDate="0" containsDate="1" containsString="0" minDate="1899-12-30T00:00:00" maxDate="2028-05-31T00:00:00"/>
    </cacheField>
    <cacheField name="Meses (Dt. Aloj.)" numFmtId="0" databaseField="0">
      <fieldGroup base="1">
        <rangePr groupBy="months" startDate="2024-11-02T00:00:00" endDate="2028-01-05T00:00:00"/>
        <groupItems count="14">
          <s v="&lt;02/1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5/01/2028"/>
        </groupItems>
      </fieldGroup>
    </cacheField>
    <cacheField name="Trimestres (Dt. Aloj.)" numFmtId="0" databaseField="0">
      <fieldGroup base="1">
        <rangePr groupBy="quarters" startDate="2024-11-02T00:00:00" endDate="2028-01-05T00:00:00"/>
        <groupItems count="6">
          <s v="&lt;02/11/2024"/>
          <s v="Trim1"/>
          <s v="Trim2"/>
          <s v="Trim3"/>
          <s v="Trim4"/>
          <s v="&gt;05/01/2028"/>
        </groupItems>
      </fieldGroup>
    </cacheField>
    <cacheField name="Anos (Dt. Aloj.)" numFmtId="0" databaseField="0">
      <fieldGroup base="1">
        <rangePr groupBy="years" startDate="2024-11-02T00:00:00" endDate="2028-01-05T00:00:00"/>
        <groupItems count="7">
          <s v="&lt;02/11/2024"/>
          <s v="2024"/>
          <s v="2025"/>
          <s v="2026"/>
          <s v="2027"/>
          <s v="2028"/>
          <s v="&gt;05/01/2028"/>
        </groupItems>
      </fieldGroup>
    </cacheField>
  </cacheFields>
  <extLst>
    <ext xmlns:x14="http://schemas.microsoft.com/office/spreadsheetml/2009/9/main" uri="{725AE2AE-9491-48be-B2B4-4EB974FC3084}">
      <x14:pivotCacheDefinition pivotCacheId="1084307150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vandro Meira" refreshedDate="46294.626183912034" createdVersion="8" refreshedVersion="8" minRefreshableVersion="3" recordCount="313" xr:uid="{0F9AA919-486F-4305-A654-EA474D0E24C5}">
  <cacheSource type="worksheet">
    <worksheetSource ref="A1:W314" sheet="Pluma PR+SC"/>
  </cacheSource>
  <cacheFields count="26">
    <cacheField name="Reg." numFmtId="0">
      <sharedItems containsBlank="1"/>
    </cacheField>
    <cacheField name="Dt. Aloj." numFmtId="164">
      <sharedItems containsSemiMixedTypes="0" containsNonDate="0" containsDate="1" containsString="0" minDate="2025-02-14T00:00:00" maxDate="2028-05-22T00:00:00" count="197">
        <d v="2025-02-14T00:00:00"/>
        <d v="2025-02-21T00:00:00"/>
        <d v="2025-02-26T00:00:00"/>
        <d v="2025-03-04T00:00:00"/>
        <d v="2025-03-08T00:00:00"/>
        <d v="2025-03-14T00:00:00"/>
        <d v="2025-03-28T00:00:00"/>
        <d v="2025-04-03T00:00:00"/>
        <d v="2025-04-02T00:00:00"/>
        <d v="2025-04-11T00:00:00"/>
        <d v="2025-04-16T00:00:00"/>
        <d v="2025-04-26T00:00:00"/>
        <d v="2025-04-24T00:00:00"/>
        <d v="2025-05-03T00:00:00"/>
        <d v="2025-05-01T00:00:00"/>
        <d v="2025-05-02T00:00:00"/>
        <d v="2025-05-06T00:00:00"/>
        <d v="2025-05-27T00:00:00"/>
        <d v="2025-05-28T00:00:00"/>
        <d v="2025-05-30T00:00:00"/>
        <d v="2025-05-31T00:00:00"/>
        <d v="2025-06-06T00:00:00"/>
        <d v="2025-06-13T00:00:00"/>
        <d v="2025-06-10T00:00:00"/>
        <d v="2025-06-20T00:00:00"/>
        <d v="2025-06-19T00:00:00"/>
        <d v="2025-06-28T00:00:00"/>
        <d v="2025-07-02T00:00:00"/>
        <d v="2025-07-01T00:00:00"/>
        <d v="2025-07-08T00:00:00"/>
        <d v="2025-07-25T00:00:00"/>
        <d v="2025-07-24T00:00:00"/>
        <d v="2025-07-31T00:00:00"/>
        <d v="2025-08-16T00:00:00"/>
        <d v="2025-08-14T00:00:00"/>
        <d v="2025-08-22T00:00:00"/>
        <d v="2025-08-26T00:00:00"/>
        <d v="2025-08-29T00:00:00"/>
        <d v="2025-09-05T00:00:00"/>
        <d v="2025-09-04T00:00:00"/>
        <d v="2025-09-13T00:00:00"/>
        <d v="2025-09-24T00:00:00"/>
        <d v="2025-09-26T00:00:00"/>
        <d v="2025-10-01T00:00:00"/>
        <d v="2025-10-04T00:00:00"/>
        <d v="2025-10-09T00:00:00"/>
        <d v="2025-10-10T00:00:00"/>
        <d v="2025-10-18T00:00:00"/>
        <d v="2025-10-23T00:00:00"/>
        <d v="2025-10-30T00:00:00"/>
        <d v="2025-11-04T00:00:00"/>
        <d v="2025-11-12T00:00:00"/>
        <d v="2025-11-21T00:00:00"/>
        <d v="2025-11-27T00:00:00"/>
        <d v="2025-12-05T00:00:00"/>
        <d v="2025-11-28T00:00:00"/>
        <d v="2025-12-06T00:00:00"/>
        <d v="2025-12-04T00:00:00"/>
        <d v="2025-12-11T00:00:00"/>
        <d v="2025-12-17T00:00:00"/>
        <d v="2025-12-19T00:00:00"/>
        <d v="2025-12-23T00:00:00"/>
        <d v="2026-01-09T00:00:00"/>
        <d v="2026-01-08T00:00:00"/>
        <d v="2026-01-16T00:00:00"/>
        <d v="2026-01-10T00:00:00"/>
        <d v="2026-01-21T00:00:00"/>
        <d v="2026-02-04T00:00:00"/>
        <d v="2026-02-12T00:00:00"/>
        <d v="2026-02-21T00:00:00"/>
        <d v="2026-02-25T00:00:00"/>
        <d v="2026-03-03T00:00:00"/>
        <d v="2026-03-13T00:00:00"/>
        <d v="2026-03-18T00:00:00"/>
        <d v="2026-03-20T00:00:00"/>
        <d v="2026-03-31T00:00:00"/>
        <d v="2026-04-03T00:00:00"/>
        <d v="2026-04-04T00:00:00"/>
        <d v="2026-04-07T00:00:00"/>
        <d v="2026-04-10T00:00:00"/>
        <d v="2026-04-22T00:00:00"/>
        <d v="2026-04-25T00:00:00"/>
        <d v="2026-04-30T00:00:00"/>
        <d v="2026-05-09T00:00:00"/>
        <d v="2026-05-15T00:00:00"/>
        <d v="2026-05-14T00:00:00"/>
        <d v="2026-05-19T00:00:00"/>
        <d v="2026-06-02T00:00:00"/>
        <d v="2026-06-13T00:00:00"/>
        <d v="2026-06-18T00:00:00"/>
        <d v="2026-06-19T00:00:00"/>
        <d v="2026-06-24T00:00:00"/>
        <d v="2026-07-02T00:00:00"/>
        <d v="2026-07-07T00:00:00"/>
        <d v="2026-07-11T00:00:00"/>
        <d v="2026-07-22T00:00:00"/>
        <d v="2026-07-29T00:00:00"/>
        <d v="2026-08-01T00:00:00"/>
        <d v="2026-08-05T00:00:00"/>
        <d v="2026-08-08T00:00:00"/>
        <d v="2026-08-18T00:00:00"/>
        <d v="2026-08-25T00:00:00"/>
        <d v="2026-09-18T00:00:00"/>
        <d v="2026-08-29T00:00:00"/>
        <d v="2026-09-15T00:00:00"/>
        <d v="2026-09-10T00:00:00"/>
        <d v="2026-09-27T00:00:00"/>
        <d v="2026-09-25T00:00:00"/>
        <d v="2026-10-06T00:00:00"/>
        <d v="2026-10-08T00:00:00"/>
        <d v="2026-10-09T00:00:00"/>
        <d v="2026-10-15T00:00:00"/>
        <d v="2026-10-14T00:00:00"/>
        <d v="2026-10-28T00:00:00"/>
        <d v="2026-10-23T00:00:00"/>
        <d v="2026-11-05T00:00:00"/>
        <d v="2026-11-02T00:00:00"/>
        <d v="2026-11-06T00:00:00"/>
        <d v="2026-11-10T00:00:00"/>
        <d v="2026-11-13T00:00:00"/>
        <d v="2026-11-23T00:00:00"/>
        <d v="2026-11-26T00:00:00"/>
        <d v="2026-11-29T00:00:00"/>
        <d v="2026-12-05T00:00:00"/>
        <d v="2026-12-07T00:00:00"/>
        <d v="2026-12-19T00:00:00"/>
        <d v="2026-12-20T00:00:00"/>
        <d v="2026-12-21T00:00:00"/>
        <d v="2026-12-23T00:00:00"/>
        <d v="2027-01-01T00:00:00"/>
        <d v="2027-01-13T00:00:00"/>
        <d v="2027-01-20T00:00:00"/>
        <d v="2027-01-27T00:00:00"/>
        <d v="2027-02-08T00:00:00"/>
        <d v="2027-02-19T00:00:00"/>
        <d v="2027-03-03T00:00:00"/>
        <d v="2027-02-26T00:00:00"/>
        <d v="2027-04-26T00:00:00"/>
        <d v="2027-03-12T00:00:00"/>
        <d v="2027-03-13T00:00:00"/>
        <d v="2027-03-24T00:00:00"/>
        <d v="2027-04-05T00:00:00"/>
        <d v="2027-04-02T00:00:00"/>
        <d v="2027-03-31T00:00:00"/>
        <d v="2027-04-13T00:00:00"/>
        <d v="2027-04-20T00:00:00"/>
        <d v="2027-04-27T00:00:00"/>
        <d v="2027-04-23T00:00:00"/>
        <d v="2027-04-29T00:00:00"/>
        <d v="2027-05-11T00:00:00"/>
        <d v="2027-05-18T00:00:00"/>
        <d v="2027-05-19T00:00:00"/>
        <d v="2027-05-23T00:00:00"/>
        <d v="2027-05-28T00:00:00"/>
        <d v="2027-06-08T00:00:00"/>
        <d v="2027-06-10T00:00:00"/>
        <d v="2027-06-14T00:00:00"/>
        <d v="2027-06-16T00:00:00"/>
        <d v="2027-06-22T00:00:00"/>
        <d v="2027-06-25T00:00:00"/>
        <d v="2027-07-04T00:00:00"/>
        <d v="2027-07-11T00:00:00"/>
        <d v="2027-07-18T00:00:00"/>
        <d v="2027-07-29T00:00:00"/>
        <d v="2027-08-02T00:00:00"/>
        <d v="2027-08-10T00:00:00"/>
        <d v="2027-08-24T00:00:00"/>
        <d v="2027-08-17T00:00:00"/>
        <d v="2027-08-31T00:00:00"/>
        <d v="2027-09-12T00:00:00"/>
        <d v="2027-09-21T00:00:00"/>
        <d v="2027-11-11T00:00:00"/>
        <d v="2027-09-25T00:00:00"/>
        <d v="2027-10-05T00:00:00"/>
        <d v="2027-10-09T00:00:00"/>
        <d v="2027-10-24T00:00:00"/>
        <d v="2027-10-13T00:00:00"/>
        <d v="2027-10-16T00:00:00"/>
        <d v="2027-10-30T00:00:00"/>
        <d v="2027-10-12T00:00:00"/>
        <d v="2027-10-26T00:00:00"/>
        <d v="2027-11-09T00:00:00"/>
        <d v="2027-11-19T00:00:00"/>
        <d v="2027-11-12T00:00:00"/>
        <d v="2027-11-22T00:00:00"/>
        <d v="2027-11-28T00:00:00"/>
        <d v="2027-11-30T00:00:00"/>
        <d v="2027-12-01T00:00:00"/>
        <d v="2027-12-08T00:00:00"/>
        <d v="2027-12-11T00:00:00"/>
        <d v="2027-12-13T00:00:00"/>
        <d v="2027-12-14T00:00:00"/>
        <d v="2027-12-31T00:00:00"/>
        <d v="2027-12-24T00:00:00"/>
        <d v="2027-12-25T00:00:00"/>
        <d v="2028-04-29T00:00:00"/>
        <d v="2028-05-21T00:00:00"/>
      </sharedItems>
    </cacheField>
    <cacheField name="Dt. Inic. Sem." numFmtId="165">
      <sharedItems containsSemiMixedTypes="0" containsNonDate="0" containsDate="1" containsString="0" minDate="2025-02-13T00:00:00" maxDate="2028-05-22T00:00:00" count="160">
        <d v="2025-02-13T00:00:00"/>
        <d v="2025-02-20T00:00:00"/>
        <d v="2025-02-27T00:00:00"/>
        <d v="2025-03-06T00:00:00"/>
        <d v="2025-03-13T00:00:00"/>
        <d v="2025-03-27T00:00:00"/>
        <d v="2025-04-03T00:00:00"/>
        <d v="2025-04-10T00:00:00"/>
        <d v="2025-04-17T00:00:00"/>
        <d v="2025-04-24T00:00:00"/>
        <d v="2025-05-01T00:00:00"/>
        <d v="2025-05-08T00:00:00"/>
        <d v="2025-05-22T00:00:00"/>
        <d v="2025-05-29T00:00:00"/>
        <d v="2025-06-05T00:00:00"/>
        <d v="2025-06-12T00:00:00"/>
        <d v="2025-06-19T00:00:00"/>
        <d v="2025-06-26T00:00:00"/>
        <d v="2025-07-03T00:00:00"/>
        <d v="2025-07-10T00:00:00"/>
        <d v="2025-07-24T00:00:00"/>
        <d v="2025-07-31T00:00:00"/>
        <d v="2025-08-14T00:00:00"/>
        <d v="2025-08-21T00:00:00"/>
        <d v="2025-08-28T00:00:00"/>
        <d v="2025-09-04T00:00:00"/>
        <d v="2025-09-11T00:00:00"/>
        <d v="2025-09-25T00:00:00"/>
        <d v="2025-10-02T00:00:00"/>
        <d v="2025-10-09T00:00:00"/>
        <d v="2025-10-16T00:00:00"/>
        <d v="2025-10-23T00:00:00"/>
        <d v="2025-11-06T00:00:00"/>
        <d v="2025-11-13T00:00:00"/>
        <d v="2025-11-20T00:00:00"/>
        <d v="2025-11-27T00:00:00"/>
        <d v="2025-12-04T00:00:00"/>
        <d v="2025-12-11T00:00:00"/>
        <d v="2025-12-18T00:00:00"/>
        <d v="2025-12-25T00:00:00"/>
        <d v="2026-01-08T00:00:00"/>
        <d v="2026-01-15T00:00:00"/>
        <d v="2026-01-22T00:00:00"/>
        <d v="2026-02-05T00:00:00"/>
        <d v="2026-02-12T00:00:00"/>
        <d v="2026-02-19T00:00:00"/>
        <d v="2026-02-26T00:00:00"/>
        <d v="2026-03-05T00:00:00"/>
        <d v="2026-03-12T00:00:00"/>
        <d v="2026-03-19T00:00:00"/>
        <d v="2026-03-26T00:00:00"/>
        <d v="2026-04-02T00:00:00"/>
        <d v="2026-04-09T00:00:00"/>
        <d v="2026-04-23T00:00:00"/>
        <d v="2026-04-30T00:00:00"/>
        <d v="2026-05-07T00:00:00"/>
        <d v="2026-05-14T00:00:00"/>
        <d v="2026-05-21T00:00:00"/>
        <d v="2026-06-04T00:00:00"/>
        <d v="2026-06-11T00:00:00"/>
        <d v="2026-06-18T00:00:00"/>
        <d v="2026-06-25T00:00:00"/>
        <d v="2026-07-02T00:00:00"/>
        <d v="2026-07-09T00:00:00"/>
        <d v="2026-07-23T00:00:00"/>
        <d v="2026-07-30T00:00:00"/>
        <d v="2026-08-06T00:00:00"/>
        <d v="2026-08-13T00:00:00"/>
        <d v="2026-08-27T00:00:00"/>
        <d v="2026-09-17T00:00:00"/>
        <d v="2026-08-29T00:00:00"/>
        <d v="2026-11-02T00:00:00"/>
        <d v="2026-09-27T00:00:00"/>
        <d v="2026-09-24T00:00:00"/>
        <d v="2026-10-08T00:00:00"/>
        <d v="2026-10-15T00:00:00"/>
        <d v="2026-10-14T00:00:00"/>
        <d v="2026-10-28T00:00:00"/>
        <d v="2026-10-23T00:00:00"/>
        <d v="2026-11-05T00:00:00"/>
        <d v="2026-11-06T00:00:00"/>
        <d v="2026-11-10T00:00:00"/>
        <d v="2026-11-13T00:00:00"/>
        <d v="2026-11-23T00:00:00"/>
        <d v="2026-11-26T00:00:00"/>
        <d v="2026-11-29T00:00:00"/>
        <d v="2026-12-05T00:00:00"/>
        <d v="2026-12-07T00:00:00"/>
        <d v="2026-12-19T00:00:00"/>
        <d v="2026-12-20T00:00:00"/>
        <d v="2026-12-21T00:00:00"/>
        <d v="2026-12-23T00:00:00"/>
        <d v="2027-01-01T00:00:00"/>
        <d v="2027-01-13T00:00:00"/>
        <d v="2027-01-20T00:00:00"/>
        <d v="2027-01-27T00:00:00"/>
        <d v="2027-02-08T00:00:00"/>
        <d v="2027-02-19T00:00:00"/>
        <d v="2027-03-03T00:00:00"/>
        <d v="2027-02-26T00:00:00"/>
        <d v="2027-04-26T00:00:00"/>
        <d v="2027-03-12T00:00:00"/>
        <d v="2027-03-13T00:00:00"/>
        <d v="2027-03-24T00:00:00"/>
        <d v="2027-04-05T00:00:00"/>
        <d v="2027-04-02T00:00:00"/>
        <d v="2027-03-31T00:00:00"/>
        <d v="2027-04-13T00:00:00"/>
        <d v="2027-04-20T00:00:00"/>
        <d v="2027-04-27T00:00:00"/>
        <d v="2027-04-23T00:00:00"/>
        <d v="2027-04-29T00:00:00"/>
        <d v="2027-05-11T00:00:00"/>
        <d v="2027-05-18T00:00:00"/>
        <d v="2027-05-19T00:00:00"/>
        <d v="2027-05-23T00:00:00"/>
        <d v="2027-05-28T00:00:00"/>
        <d v="2027-06-08T00:00:00"/>
        <d v="2027-06-10T00:00:00"/>
        <d v="2027-06-14T00:00:00"/>
        <d v="2027-06-16T00:00:00"/>
        <d v="2027-06-22T00:00:00"/>
        <d v="2027-06-25T00:00:00"/>
        <d v="2027-07-04T00:00:00"/>
        <d v="2027-07-11T00:00:00"/>
        <d v="2027-07-18T00:00:00"/>
        <d v="2027-07-29T00:00:00"/>
        <d v="2027-08-02T00:00:00"/>
        <d v="2027-08-10T00:00:00"/>
        <d v="2027-08-24T00:00:00"/>
        <d v="2027-08-17T00:00:00"/>
        <d v="2027-08-31T00:00:00"/>
        <d v="2027-09-12T00:00:00"/>
        <d v="2027-09-21T00:00:00"/>
        <d v="2027-11-11T00:00:00"/>
        <d v="2027-09-25T00:00:00"/>
        <d v="2027-10-05T00:00:00"/>
        <d v="2027-10-09T00:00:00"/>
        <d v="2027-10-24T00:00:00"/>
        <d v="2027-10-13T00:00:00"/>
        <d v="2027-10-16T00:00:00"/>
        <d v="2027-10-30T00:00:00"/>
        <d v="2027-10-12T00:00:00"/>
        <d v="2027-10-26T00:00:00"/>
        <d v="2027-11-09T00:00:00"/>
        <d v="2027-11-19T00:00:00"/>
        <d v="2027-11-12T00:00:00"/>
        <d v="2027-11-22T00:00:00"/>
        <d v="2027-11-28T00:00:00"/>
        <d v="2027-11-30T00:00:00"/>
        <d v="2027-12-01T00:00:00"/>
        <d v="2027-12-08T00:00:00"/>
        <d v="2027-12-11T00:00:00"/>
        <d v="2027-12-13T00:00:00"/>
        <d v="2027-12-14T00:00:00"/>
        <d v="2027-12-31T00:00:00"/>
        <d v="2027-12-24T00:00:00"/>
        <d v="2027-12-25T00:00:00"/>
        <d v="2028-04-29T00:00:00"/>
        <d v="2028-05-21T00:00:00"/>
      </sharedItems>
      <fieldGroup par="25"/>
    </cacheField>
    <cacheField name="Lote" numFmtId="0">
      <sharedItems containsBlank="1" containsMixedTypes="1" containsNumber="1" containsInteger="1" minValue="100025" maxValue="500225"/>
    </cacheField>
    <cacheField name="Idade_x000a_Ordem" numFmtId="0">
      <sharedItems containsBlank="1" containsMixedTypes="1" containsNumber="1" minValue="-6" maxValue="153565"/>
    </cacheField>
    <cacheField name="Emp-CC" numFmtId="3">
      <sharedItems/>
    </cacheField>
    <cacheField name="Recria" numFmtId="14">
      <sharedItems count="44">
        <s v="Esperança 3 - PR"/>
        <s v="Picolli Rec. - PR"/>
        <s v="Bom S. Rec. 1 - PR"/>
        <s v="Alto da Serra - PR"/>
        <s v="Santa Tereza 3 - PR"/>
        <s v="Viganó 2 - PR"/>
        <s v="Quedas - PR"/>
        <s v="Esperança 1  - PR"/>
        <s v="Pluma 1 - PR"/>
        <s v="São Fco de Assis - PR"/>
        <s v="Pluma 3 - PR"/>
        <s v="Pluma 4 - PR"/>
        <s v="Panorama 3 - PR"/>
        <s v="N. S. Carmo 1 - PR"/>
        <s v="Iguaçu Recria - PR"/>
        <s v="Panorama 2 - PR"/>
        <s v="Viganó 1 - PR"/>
        <s v="Rio Chopim 2 - PR"/>
        <s v="Três Palmeiras - PR"/>
        <s v="Salto Caxias Rec. 1 - PR"/>
        <s v="Corti - PR"/>
        <s v="Santa Tereza 1 - PR"/>
        <s v="Pluma 2 - PR"/>
        <s v="Panorama 1 - PR"/>
        <s v="Esperança 2 - PR"/>
        <s v="Santa Izabel - PR"/>
        <s v="Rio Chopim 3 - PR"/>
        <s v="Rio Chopim 1 - PR"/>
        <s v="N. S. Carmo 2 - PR"/>
        <s v="Santa Tereza 2 - PR"/>
        <s v="Bom S. Rec. 2 - PR"/>
        <s v="Bom Retiro 02 - SP"/>
        <s v="Aliança - PR"/>
        <s v="Pluma 5 - PR"/>
        <s v="Ipe"/>
        <s v="N. Sª. Ap. Rec. 1- PR"/>
        <s v="Pluma 6 - PR"/>
        <s v="Eduardo Fig. - SP"/>
        <s v="C.VALE"/>
        <s v="Rosa Maria 01 - SP"/>
        <s v="Cafezal Rec. 1 - PR"/>
        <s v="Uberaba - PR"/>
        <s v="Cafezal Rec. 2 - PR"/>
        <s v="Bom Jesus - SC" u="1"/>
      </sharedItems>
    </cacheField>
    <cacheField name="Núcleo" numFmtId="14">
      <sharedItems/>
    </cacheField>
    <cacheField name="Qtde." numFmtId="3">
      <sharedItems containsBlank="1" containsMixedTypes="1" containsNumber="1" containsInteger="1" minValue="0" maxValue="107000"/>
    </cacheField>
    <cacheField name="Cama" numFmtId="0">
      <sharedItems containsMixedTypes="1" containsNumber="1" containsInteger="1" minValue="1" maxValue="1" count="6">
        <s v="2ª"/>
        <s v="L"/>
        <s v="3ª"/>
        <s v="1ª"/>
        <s v="-"/>
        <n v="1" u="1"/>
      </sharedItems>
    </cacheField>
    <cacheField name="VZ" numFmtId="0">
      <sharedItems containsMixedTypes="1" containsNumber="1" containsInteger="1" minValue="8" maxValue="72"/>
    </cacheField>
    <cacheField name="Raca" numFmtId="0">
      <sharedItems count="5">
        <s v="COBB"/>
        <s v="ROSS"/>
        <s v="HUBB"/>
        <s v="JBS"/>
        <e v="#N/A" u="1"/>
      </sharedItems>
    </cacheField>
    <cacheField name="Fêmea - Macho" numFmtId="0">
      <sharedItems containsBlank="1" count="17">
        <s v="500 SLOW - MALE"/>
        <s v="AP95 - 344"/>
        <s v="AP95 - 344  JBS"/>
        <s v="500 SLOW - MALE JBS"/>
        <s v="500 SLOW - MX"/>
        <s v="CDP4 SF - MALE"/>
        <s v="500 FAST - MALE"/>
        <s v="500 SLOW - MX JBS"/>
        <s v="APN - 344"/>
        <s v="800 SLOW - MX"/>
        <s v="CDP4 SF - MX"/>
        <s v="EFFICIENCY PLUS_M77"/>
        <s v="800 SLOW - MALE"/>
        <m u="1"/>
        <s v="500 SLOW - MV" u="1"/>
        <s v="800 SLOW CDP4 - MALE" u="1"/>
        <s v="800 SLOW CDP4 - MX" u="1"/>
      </sharedItems>
    </cacheField>
    <cacheField name="Inic. 22 Sem." numFmtId="165">
      <sharedItems containsSemiMixedTypes="0" containsNonDate="0" containsDate="1" containsString="0" minDate="2025-06-19T00:00:00" maxDate="2028-10-16T00:00:00"/>
    </cacheField>
    <cacheField name="Lote2" numFmtId="0">
      <sharedItems containsBlank="1" containsMixedTypes="1" containsNumber="1" containsInteger="1" minValue="130025" maxValue="138426"/>
    </cacheField>
    <cacheField name="Emp-CC2" numFmtId="0">
      <sharedItems/>
    </cacheField>
    <cacheField name="Produção" numFmtId="0">
      <sharedItems containsBlank="1"/>
    </cacheField>
    <cacheField name="Núcleo2" numFmtId="0">
      <sharedItems/>
    </cacheField>
    <cacheField name="Qtde.2" numFmtId="3">
      <sharedItems containsMixedTypes="1" containsNumber="1" containsInteger="1" minValue="2800" maxValue="102185"/>
    </cacheField>
    <cacheField name="Data Abate" numFmtId="165">
      <sharedItems containsSemiMixedTypes="0" containsNonDate="0" containsDate="1" containsString="0" minDate="2026-06-03T00:00:00" maxDate="2029-08-26T00:00:00"/>
    </cacheField>
    <cacheField name="Abate" numFmtId="1">
      <sharedItems containsSemiMixedTypes="0" containsString="0" containsNumber="1" containsInteger="1" minValue="59" maxValue="71"/>
    </cacheField>
    <cacheField name="VZ2" numFmtId="0">
      <sharedItems containsBlank="1" containsMixedTypes="1" containsNumber="1" containsInteger="1" minValue="14" maxValue="134"/>
    </cacheField>
    <cacheField name="Prev. Aloj." numFmtId="0">
      <sharedItems containsDate="1" containsMixedTypes="1" minDate="2026-07-23T00:00:00" maxDate="2029-08-26T00:00:00"/>
    </cacheField>
    <cacheField name="Meses (Dt. Inic. Sem.)" numFmtId="0" databaseField="0">
      <fieldGroup base="2">
        <rangePr groupBy="months" startDate="2025-02-13T00:00:00" endDate="2028-05-22T00:00:00"/>
        <groupItems count="14">
          <s v="&lt;13/02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2/05/2028"/>
        </groupItems>
      </fieldGroup>
    </cacheField>
    <cacheField name="Trimestres (Dt. Inic. Sem.)" numFmtId="0" databaseField="0">
      <fieldGroup base="2">
        <rangePr groupBy="quarters" startDate="2025-02-13T00:00:00" endDate="2028-05-22T00:00:00"/>
        <groupItems count="6">
          <s v="&lt;13/02/2025"/>
          <s v="Trim1"/>
          <s v="Trim2"/>
          <s v="Trim3"/>
          <s v="Trim4"/>
          <s v="&gt;22/05/2028"/>
        </groupItems>
      </fieldGroup>
    </cacheField>
    <cacheField name="Anos (Dt. Inic. Sem.)" numFmtId="0" databaseField="0">
      <fieldGroup base="2">
        <rangePr groupBy="years" startDate="2025-02-13T00:00:00" endDate="2028-05-22T00:00:00"/>
        <groupItems count="6">
          <s v="&lt;13/02/2025"/>
          <s v="2025"/>
          <s v="2026"/>
          <s v="2027"/>
          <s v="2028"/>
          <s v="&gt;22/05/2028"/>
        </groupItems>
      </fieldGroup>
    </cacheField>
  </cacheFields>
  <extLst>
    <ext xmlns:x14="http://schemas.microsoft.com/office/spreadsheetml/2009/9/main" uri="{725AE2AE-9491-48be-B2B4-4EB974FC3084}">
      <x14:pivotCacheDefinition pivotCacheId="18116060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s v="Recria"/>
    <s v="Alto da Serra - PR"/>
    <s v="(N1)"/>
    <n v="120000"/>
    <s v="128_1367"/>
    <n v="128"/>
    <n v="1367"/>
  </r>
  <r>
    <x v="0"/>
    <s v="Recria"/>
    <s v="Bom S. Rec. 1 - PR"/>
    <s v="(N4)"/>
    <n v="84000"/>
    <s v="117_139"/>
    <n v="117"/>
    <n v="139"/>
  </r>
  <r>
    <x v="0"/>
    <s v="Recria"/>
    <s v="Bom S. Rec. 2 - PR"/>
    <s v="(N7)"/>
    <n v="168000"/>
    <s v="117_1531"/>
    <n v="117"/>
    <n v="1531"/>
  </r>
  <r>
    <x v="0"/>
    <s v="Recria"/>
    <s v="Corti - PR"/>
    <s v="(N1)"/>
    <n v="84000"/>
    <s v="10_130"/>
    <n v="10"/>
    <n v="130"/>
  </r>
  <r>
    <x v="0"/>
    <s v="Recria"/>
    <s v="Esperança 1  - PR"/>
    <s v="(N1)"/>
    <n v="120000"/>
    <s v="139_49"/>
    <n v="139"/>
    <n v="49"/>
  </r>
  <r>
    <x v="0"/>
    <s v="Recria"/>
    <s v="Esperança 2 - PR"/>
    <s v="(N2)"/>
    <n v="120000"/>
    <s v="139_149"/>
    <n v="139"/>
    <n v="149"/>
  </r>
  <r>
    <x v="0"/>
    <s v="Recria"/>
    <s v="Esperança 3 - PR"/>
    <s v="(N3)"/>
    <n v="168000"/>
    <s v="10_1295"/>
    <n v="10"/>
    <n v="1295"/>
  </r>
  <r>
    <x v="0"/>
    <s v="Recria"/>
    <s v="Iguaçu Recria - PR"/>
    <s v="(N2)"/>
    <n v="120000"/>
    <s v="10_1250"/>
    <n v="10"/>
    <n v="1250"/>
  </r>
  <r>
    <x v="0"/>
    <s v="Recria"/>
    <s v="N. S. Carmo 1 - PR"/>
    <s v="(N1)"/>
    <n v="84000"/>
    <s v="10_169"/>
    <n v="10"/>
    <n v="169"/>
  </r>
  <r>
    <x v="0"/>
    <s v="Recria"/>
    <s v="N. S. Carmo 2 - PR"/>
    <s v="(N2)"/>
    <n v="120000"/>
    <s v="10_1182"/>
    <n v="10"/>
    <n v="1182"/>
  </r>
  <r>
    <x v="0"/>
    <s v="Recria"/>
    <s v="Panorama 1 - PR"/>
    <s v="(N1)"/>
    <n v="92000"/>
    <s v="10_180"/>
    <n v="10"/>
    <n v="180"/>
  </r>
  <r>
    <x v="0"/>
    <s v="Recria"/>
    <s v="Panorama 2 - PR"/>
    <s v="(N2)"/>
    <n v="126000"/>
    <s v="10_369"/>
    <n v="10"/>
    <n v="369"/>
  </r>
  <r>
    <x v="0"/>
    <s v="Recria"/>
    <s v="Panorama 3 - PR"/>
    <s v="(N3)"/>
    <n v="148000"/>
    <s v="10_776"/>
    <n v="10"/>
    <n v="776"/>
  </r>
  <r>
    <x v="0"/>
    <s v="Recria"/>
    <s v="Picolli Rec. - PR"/>
    <s v="(N1)"/>
    <n v="120000"/>
    <s v="10_203"/>
    <n v="10"/>
    <n v="203"/>
  </r>
  <r>
    <x v="0"/>
    <s v="Recria"/>
    <s v="Pluma 1 - PR"/>
    <s v="(N1)"/>
    <n v="214000"/>
    <s v="112_29"/>
    <n v="112"/>
    <n v="29"/>
  </r>
  <r>
    <x v="0"/>
    <s v="Recria"/>
    <s v="Pluma 2 - PR"/>
    <s v="(N2)"/>
    <n v="144000"/>
    <s v="112_67"/>
    <n v="112"/>
    <n v="67"/>
  </r>
  <r>
    <x v="0"/>
    <s v="Recria"/>
    <s v="Pluma 3 - PR"/>
    <s v="(N3)"/>
    <n v="120000"/>
    <s v="112_16"/>
    <n v="112"/>
    <n v="16"/>
  </r>
  <r>
    <x v="0"/>
    <s v="Recria"/>
    <s v="Pluma 4 - PR"/>
    <s v="(N4)"/>
    <n v="168000"/>
    <s v="112_1939"/>
    <n v="112"/>
    <n v="1939"/>
  </r>
  <r>
    <x v="0"/>
    <s v="Recria"/>
    <s v="Pluma 5 - PR"/>
    <s v="(N5)"/>
    <n v="120000"/>
    <s v="112_2399"/>
    <n v="112"/>
    <n v="2399"/>
  </r>
  <r>
    <x v="0"/>
    <s v="Recria"/>
    <s v="Pluma 6 - PR"/>
    <s v="(N6)"/>
    <n v="168000"/>
    <s v="112_2401"/>
    <n v="112"/>
    <n v="2401"/>
  </r>
  <r>
    <x v="0"/>
    <s v="Recria"/>
    <s v="Quedas - PR"/>
    <s v="(N1)"/>
    <n v="60000"/>
    <s v="124_47"/>
    <n v="124"/>
    <n v="447"/>
  </r>
  <r>
    <x v="0"/>
    <s v="Recria"/>
    <s v="Rio Chopim 1 - PR"/>
    <s v="(N1)"/>
    <n v="84000"/>
    <s v="27_165"/>
    <n v="27"/>
    <n v="165"/>
  </r>
  <r>
    <x v="0"/>
    <s v="Recria"/>
    <s v="Rio Chopim 2 - PR"/>
    <s v="(N2)"/>
    <n v="84000"/>
    <s v="27_181"/>
    <n v="27"/>
    <n v="181"/>
  </r>
  <r>
    <x v="0"/>
    <s v="Recria"/>
    <s v="Rio Chopim 3 - PR"/>
    <s v="(N1)"/>
    <n v="120000"/>
    <s v="10_1405"/>
    <n v="10"/>
    <n v="1405"/>
  </r>
  <r>
    <x v="0"/>
    <s v="Recria"/>
    <s v="Salto Caxias Rec. 1 - PR"/>
    <s v="(N1)"/>
    <n v="100000"/>
    <s v="10_775"/>
    <n v="10"/>
    <n v="775"/>
  </r>
  <r>
    <x v="0"/>
    <s v="Recria"/>
    <s v="Santa Izabel - PR"/>
    <s v="(N1)"/>
    <n v="120000"/>
    <s v="10_116"/>
    <n v="10"/>
    <n v="116"/>
  </r>
  <r>
    <x v="0"/>
    <s v="Recria"/>
    <s v="Santa Tereza 1 - PR"/>
    <s v="(N1)"/>
    <n v="75000"/>
    <s v="10_326"/>
    <n v="10"/>
    <n v="326"/>
  </r>
  <r>
    <x v="0"/>
    <s v="Recria"/>
    <s v="Santa Tereza 2 - PR"/>
    <s v="(N2)"/>
    <n v="75000"/>
    <s v="10_327"/>
    <n v="10"/>
    <n v="327"/>
  </r>
  <r>
    <x v="0"/>
    <s v="Recria"/>
    <s v="Santa Tereza 3 - PR"/>
    <s v="(N3)"/>
    <n v="75000"/>
    <s v="10_328"/>
    <n v="10"/>
    <n v="328"/>
  </r>
  <r>
    <x v="0"/>
    <s v="Recria"/>
    <s v="Três Palmeiras - PR"/>
    <s v="(N1)"/>
    <s v="252000"/>
    <s v="10_267"/>
    <n v="10"/>
    <n v="267"/>
  </r>
  <r>
    <x v="0"/>
    <s v="Recria"/>
    <s v="Viganó 1 - PR"/>
    <s v="(N1)"/>
    <n v="84000"/>
    <s v="10_140"/>
    <n v="10"/>
    <n v="140"/>
  </r>
  <r>
    <x v="0"/>
    <s v="Recria"/>
    <s v="Viganó 2 - PR"/>
    <s v="(N2)"/>
    <n v="120000"/>
    <s v="10_857"/>
    <n v="10"/>
    <n v="857"/>
  </r>
  <r>
    <x v="0"/>
    <s v="Recria"/>
    <s v="São Fco de Assis - PR"/>
    <s v="(N1)"/>
    <n v="90000"/>
    <s v="10_1938"/>
    <n v="10"/>
    <n v="1938"/>
  </r>
  <r>
    <x v="0"/>
    <s v="Recria"/>
    <s v="Aliança - PR"/>
    <s v="(N1)"/>
    <n v="120000"/>
    <s v="10_1940"/>
    <n v="10"/>
    <n v="1940"/>
  </r>
  <r>
    <x v="0"/>
    <s v="Recria"/>
    <s v="Uberaba Rec. 1 - PR"/>
    <s v="(N1)"/>
    <n v="168000"/>
    <s v="10_1941"/>
    <n v="10"/>
    <n v="1941"/>
  </r>
  <r>
    <x v="0"/>
    <s v="Recria"/>
    <s v="N. Sª. Ap. Rec. 1- PR"/>
    <s v="(N1)"/>
    <n v="120000"/>
    <s v="10_2384"/>
    <n v="10"/>
    <n v="2384"/>
  </r>
  <r>
    <x v="0"/>
    <s v="Recria"/>
    <s v="Cafezal Rec. 1 - PR"/>
    <s v="(N1)"/>
    <n v="120000"/>
    <s v="135_2389"/>
    <n v="135"/>
    <n v="2389"/>
  </r>
  <r>
    <x v="0"/>
    <s v="Recria"/>
    <s v="Cafezal Rec. 2 - PR"/>
    <s v="(N2)"/>
    <n v="120000"/>
    <s v="135_2402"/>
    <n v="135"/>
    <n v="2402"/>
  </r>
  <r>
    <x v="1"/>
    <s v="Recria"/>
    <s v="Bom Retiro 01 - SP"/>
    <s v="(N1)"/>
    <n v="130000"/>
    <s v="39_479"/>
    <n v="39"/>
    <n v="479"/>
  </r>
  <r>
    <x v="1"/>
    <s v="Recria"/>
    <s v="Bom Retiro 02 - SP"/>
    <s v="(N2)"/>
    <n v="90000"/>
    <s v="39_464"/>
    <n v="39"/>
    <n v="464"/>
  </r>
  <r>
    <x v="1"/>
    <s v="Recria"/>
    <s v="Rosa Maria 01 - SP"/>
    <s v="(N1)"/>
    <n v="60000"/>
    <s v="22_494"/>
    <n v="22"/>
    <n v="494"/>
  </r>
  <r>
    <x v="1"/>
    <s v="Recria"/>
    <s v="Rosa Maria 02 - SP"/>
    <s v="(N2)"/>
    <n v="60000"/>
    <s v="22_481"/>
    <n v="22"/>
    <n v="481"/>
  </r>
  <r>
    <x v="1"/>
    <s v="Recria"/>
    <s v="Vilela - PR"/>
    <s v="(N1)"/>
    <n v="120000"/>
    <s v="10-115"/>
    <n v="10"/>
    <n v="115"/>
  </r>
  <r>
    <x v="1"/>
    <s v="Recria"/>
    <s v="Eduardo Fig. - SP"/>
    <s v="(N1)"/>
    <n v="120000"/>
    <s v="29_2238"/>
    <n v="29"/>
    <n v="2238"/>
  </r>
  <r>
    <x v="2"/>
    <s v="Recria"/>
    <s v="Bezerros - 01"/>
    <s v="(N1)"/>
    <n v="40000"/>
    <s v="225_3001"/>
    <n v="225"/>
    <n v="3001"/>
  </r>
  <r>
    <x v="2"/>
    <s v="Recria"/>
    <s v="Bezerros - 02"/>
    <s v="(N2)"/>
    <n v="32000"/>
    <s v="225_3002"/>
    <n v="225"/>
    <n v="3002"/>
  </r>
  <r>
    <x v="2"/>
    <s v="Recria"/>
    <s v="Bezerros - 03"/>
    <s v="(N3)"/>
    <n v="41000"/>
    <s v="225_3003"/>
    <n v="225"/>
    <n v="3003"/>
  </r>
  <r>
    <x v="2"/>
    <s v="Recria"/>
    <s v="Cachoeirinha - 01"/>
    <s v="(N1)"/>
    <n v="32000"/>
    <s v="222_3004"/>
    <n v="222"/>
    <n v="3004"/>
  </r>
  <r>
    <x v="2"/>
    <s v="Recria"/>
    <s v="Cachoeirinha - 02"/>
    <s v="(N2)"/>
    <n v="32000"/>
    <s v="222_3005"/>
    <n v="222"/>
    <n v="3005"/>
  </r>
  <r>
    <x v="2"/>
    <s v="Recria"/>
    <s v="Ereu - 01"/>
    <s v="(N1)"/>
    <n v="28000"/>
    <s v="229_3006"/>
    <n v="229"/>
    <n v="3006"/>
  </r>
  <r>
    <x v="2"/>
    <s v="Recria"/>
    <s v="Pesqueira - 01"/>
    <s v="(N1)"/>
    <n v="32000"/>
    <s v="221_3008"/>
    <n v="221"/>
    <n v="3008"/>
  </r>
  <r>
    <x v="2"/>
    <s v="Recria"/>
    <s v="Pesqueira - 02"/>
    <s v="(N2)"/>
    <n v="16000"/>
    <s v="221_3009"/>
    <n v="221"/>
    <n v="3009"/>
  </r>
  <r>
    <x v="2"/>
    <s v="Recria"/>
    <s v="Pesqueira - 03"/>
    <s v="(N3)"/>
    <n v="32000"/>
    <s v="221_3010"/>
    <n v="221"/>
    <n v="3010"/>
  </r>
  <r>
    <x v="2"/>
    <s v="Recria"/>
    <s v="Pina - 01"/>
    <s v="(N1)"/>
    <n v="17000"/>
    <s v="227_3015"/>
    <n v="227"/>
    <n v="3015"/>
  </r>
  <r>
    <x v="2"/>
    <s v="Recria"/>
    <s v="Pina - 02"/>
    <s v="(N2)"/>
    <n v="16500"/>
    <s v="227_3016"/>
    <n v="227"/>
    <n v="3016"/>
  </r>
  <r>
    <x v="2"/>
    <s v="Recria"/>
    <s v="Pina - 03"/>
    <s v="(N3)"/>
    <n v="17000"/>
    <s v="227_3017"/>
    <n v="227"/>
    <n v="3017"/>
  </r>
  <r>
    <x v="2"/>
    <s v="Recria"/>
    <s v="Pina - 04"/>
    <s v="(N4)"/>
    <n v="17000"/>
    <s v="227_3018"/>
    <n v="227"/>
    <n v="3018"/>
  </r>
  <r>
    <x v="2"/>
    <s v="Recria"/>
    <s v="Pina - 05"/>
    <s v="(N5)"/>
    <n v="17000"/>
    <s v="227_3019"/>
    <n v="227"/>
    <n v="3019"/>
  </r>
  <r>
    <x v="2"/>
    <s v="Recria"/>
    <s v="Pina - 06"/>
    <s v="(N6)"/>
    <n v="17000"/>
    <s v="227_3020"/>
    <n v="227"/>
    <n v="3020"/>
  </r>
  <r>
    <x v="2"/>
    <s v="Recria"/>
    <s v="Pina - 07"/>
    <s v="(N7)"/>
    <n v="17000"/>
    <s v="227_3021"/>
    <n v="227"/>
    <n v="3021"/>
  </r>
  <r>
    <x v="2"/>
    <s v="Recria"/>
    <s v="Pina - 08"/>
    <s v="(N8)"/>
    <n v="17000"/>
    <s v="227_3022"/>
    <n v="227"/>
    <n v="3022"/>
  </r>
  <r>
    <x v="2"/>
    <s v="Recria"/>
    <s v="Riacho - 01"/>
    <s v="(N1-2)"/>
    <n v="56000"/>
    <s v="220_3011"/>
    <n v="220"/>
    <n v="3011"/>
  </r>
  <r>
    <x v="2"/>
    <s v="Recria"/>
    <s v="Riacho - 02"/>
    <s v="(N3-4)"/>
    <n v="56000"/>
    <s v="220_3012"/>
    <n v="220"/>
    <n v="3012"/>
  </r>
  <r>
    <x v="2"/>
    <s v="Recria"/>
    <s v="Riacho - 03"/>
    <s v="(N5-6)"/>
    <n v="56000"/>
    <s v="220_3013"/>
    <n v="220"/>
    <n v="3013"/>
  </r>
  <r>
    <x v="2"/>
    <s v="Recria"/>
    <s v="Riacho - 04"/>
    <s v="(N7-8)"/>
    <n v="56000"/>
    <s v="220_3014"/>
    <n v="220"/>
    <n v="3014"/>
  </r>
  <r>
    <x v="3"/>
    <s v="Recria"/>
    <s v="Araucaria"/>
    <s v="(N1)"/>
    <n v="108000"/>
    <s v="12_122"/>
    <n v="12"/>
    <n v="122"/>
  </r>
  <r>
    <x v="3"/>
    <s v="Recria"/>
    <s v="Gurucaia"/>
    <s v="(N2)"/>
    <n v="108000"/>
    <s v="12_100"/>
    <n v="12"/>
    <n v="100"/>
  </r>
  <r>
    <x v="3"/>
    <s v="Recria"/>
    <s v="Ipe"/>
    <s v="(N3)"/>
    <n v="108000"/>
    <s v="12_99"/>
    <n v="12"/>
    <n v="99"/>
  </r>
  <r>
    <x v="3"/>
    <s v="Recria"/>
    <s v="Canela"/>
    <s v="(N4)"/>
    <n v="108000"/>
    <s v="12_98"/>
    <n v="12"/>
    <n v="98"/>
  </r>
  <r>
    <x v="4"/>
    <s v="Recria"/>
    <s v="Baseggio 1 - GO"/>
    <s v="(N1)"/>
    <n v="96000"/>
    <s v="132_2414"/>
    <n v="132"/>
    <n v="2414"/>
  </r>
  <r>
    <x v="4"/>
    <s v="Recria"/>
    <s v="Baseggio 2 - GO"/>
    <s v="(N2)"/>
    <n v="96000"/>
    <s v="132_2415"/>
    <n v="132"/>
    <n v="2415"/>
  </r>
  <r>
    <x v="5"/>
    <s v="Recria"/>
    <s v="Lindoia Rec. 01 - MT"/>
    <s v="(N1)"/>
    <n v="70000"/>
    <s v="136_2441"/>
    <n v="136"/>
    <n v="2441"/>
  </r>
  <r>
    <x v="5"/>
    <s v="Recria"/>
    <s v="Lindoia Rec. 02 - MT"/>
    <s v="(N2)"/>
    <n v="70000"/>
    <s v="136_2442"/>
    <n v="136"/>
    <n v="2442"/>
  </r>
  <r>
    <x v="5"/>
    <s v="Recria"/>
    <s v="Lindoia Rec. 03 - MT"/>
    <s v="(N3)"/>
    <n v="70000"/>
    <s v="136_2443"/>
    <n v="136"/>
    <n v="2443"/>
  </r>
  <r>
    <x v="5"/>
    <s v="Recria"/>
    <s v="Lindoia Rec. 04 - MT"/>
    <s v="(N4)"/>
    <n v="70000"/>
    <s v="136_2444"/>
    <n v="136"/>
    <n v="2444"/>
  </r>
  <r>
    <x v="6"/>
    <s v="Recria"/>
    <s v="CECIN SARKIS - 01"/>
    <m/>
    <n v="248000"/>
    <s v="70_952"/>
    <n v="70"/>
    <n v="952"/>
  </r>
  <r>
    <x v="6"/>
    <s v="Recria"/>
    <s v="CECIN SARKIS - 02"/>
    <m/>
    <n v="122000"/>
    <s v="70_953"/>
    <n v="70"/>
    <n v="953"/>
  </r>
  <r>
    <x v="6"/>
    <s v="Recria"/>
    <s v="SIDNEI"/>
    <m/>
    <n v="133000"/>
    <s v="70_1360"/>
    <n v="70"/>
    <n v="1360"/>
  </r>
  <r>
    <x v="6"/>
    <s v="Recria"/>
    <s v="TO-01"/>
    <m/>
    <n v="128000"/>
    <s v="70_1164"/>
    <n v="70"/>
    <n v="1164"/>
  </r>
  <r>
    <x v="6"/>
    <s v="Recria"/>
    <s v="TO-02"/>
    <m/>
    <n v="133000"/>
    <s v="70_1165"/>
    <n v="70"/>
    <n v="1165"/>
  </r>
  <r>
    <x v="6"/>
    <s v="Recria"/>
    <s v="TO-03"/>
    <m/>
    <n v="133000"/>
    <s v="70_1166"/>
    <n v="70"/>
    <n v="1166"/>
  </r>
  <r>
    <x v="6"/>
    <s v="Recria"/>
    <s v="TO-04"/>
    <m/>
    <n v="133000"/>
    <s v="70_1193"/>
    <n v="70"/>
    <n v="1193"/>
  </r>
  <r>
    <x v="6"/>
    <s v="Recria"/>
    <s v="TO-05"/>
    <m/>
    <n v="133000"/>
    <s v="70_1194"/>
    <n v="70"/>
    <n v="1194"/>
  </r>
  <r>
    <x v="6"/>
    <s v="Recria"/>
    <s v="TO-06"/>
    <m/>
    <n v="132000"/>
    <s v="70_1195"/>
    <n v="70"/>
    <n v="1195"/>
  </r>
  <r>
    <x v="7"/>
    <s v="Recria"/>
    <s v="Cassilândia Rec. 02 - MS"/>
    <m/>
    <n v="98000"/>
    <s v="40_412"/>
    <n v="40"/>
    <n v="412"/>
  </r>
  <r>
    <x v="7"/>
    <s v="Recria"/>
    <s v="Cassilândia Rec. 01 - MS"/>
    <m/>
    <n v="120000"/>
    <s v="40_403"/>
    <n v="40"/>
    <n v="403"/>
  </r>
  <r>
    <x v="7"/>
    <s v="Recria"/>
    <s v="Cassilândia Rec. 03 - MS"/>
    <m/>
    <n v="120000"/>
    <s v="44_3267"/>
    <n v="44"/>
    <n v="32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s v="Produção"/>
    <s v="Agua do Sabia - PR"/>
    <s v="(N1)"/>
    <n v="57000"/>
    <s v="10_17"/>
    <n v="10"/>
    <n v="17"/>
  </r>
  <r>
    <x v="0"/>
    <s v="Produção"/>
    <s v="Alto Verê - PR"/>
    <s v="(N1)"/>
    <n v="24000"/>
    <s v="10_18"/>
    <n v="10"/>
    <n v="18"/>
  </r>
  <r>
    <x v="0"/>
    <s v="Produção"/>
    <s v="Asa branca - PR"/>
    <s v="(N1)"/>
    <n v="36000"/>
    <s v="89_864"/>
    <n v="89"/>
    <n v="864"/>
  </r>
  <r>
    <x v="0"/>
    <s v="Produção"/>
    <s v="Bela Vista 1 - PR"/>
    <s v="(N1)"/>
    <n v="40000"/>
    <s v="17_104"/>
    <n v="17"/>
    <n v="104"/>
  </r>
  <r>
    <x v="0"/>
    <s v="Produção"/>
    <s v="Bela Vista 2 - PR"/>
    <s v="(N2)"/>
    <n v="40000"/>
    <s v="17_105"/>
    <n v="17"/>
    <n v="105"/>
  </r>
  <r>
    <x v="0"/>
    <s v="Produção"/>
    <s v="Bela Vista 3 - PR"/>
    <s v="(N3)"/>
    <n v="40000"/>
    <s v="17_106"/>
    <n v="17"/>
    <n v="106"/>
  </r>
  <r>
    <x v="0"/>
    <s v="Produção"/>
    <s v="Bela Vista 4 - PR"/>
    <s v="(N4)"/>
    <n v="40000"/>
    <s v="17_107"/>
    <n v="17"/>
    <n v="107"/>
  </r>
  <r>
    <x v="1"/>
    <s v="Produção"/>
    <s v="Bem-te-vi - SC"/>
    <s v="(N1)"/>
    <n v="30000"/>
    <s v="96_1029"/>
    <n v="96"/>
    <n v="1029"/>
  </r>
  <r>
    <x v="0"/>
    <s v="Produção"/>
    <s v="Biava - PR"/>
    <s v="(N1)"/>
    <n v="26000"/>
    <s v="10_20"/>
    <n v="10"/>
    <n v="20"/>
  </r>
  <r>
    <x v="0"/>
    <s v="Produção"/>
    <s v="Bom sucesso 1 - PR"/>
    <s v="(N1)"/>
    <n v="40000"/>
    <s v="117_88"/>
    <n v="117"/>
    <n v="788"/>
  </r>
  <r>
    <x v="0"/>
    <s v="Produção"/>
    <s v="Bom sucesso 2 - PR"/>
    <s v="(N2)"/>
    <n v="40000"/>
    <s v="117_124"/>
    <n v="117"/>
    <n v="124"/>
  </r>
  <r>
    <x v="0"/>
    <s v="Produção"/>
    <s v="Bom sucesso 3 - PR"/>
    <s v="(N3)"/>
    <n v="40000"/>
    <s v="117_157"/>
    <n v="117"/>
    <n v="157"/>
  </r>
  <r>
    <x v="0"/>
    <s v="Produção"/>
    <s v="Bom sucesso 4 - PR"/>
    <s v="(N5)"/>
    <n v="40000"/>
    <s v="117_202"/>
    <n v="117"/>
    <n v="202"/>
  </r>
  <r>
    <x v="0"/>
    <s v="Produção"/>
    <s v="Bom sucesso 5 - PR"/>
    <s v="(N6)"/>
    <n v="40000"/>
    <s v="117_219"/>
    <n v="117"/>
    <n v="219"/>
  </r>
  <r>
    <x v="0"/>
    <s v="Produção"/>
    <s v="Bragapolis - PR"/>
    <s v="(N1)"/>
    <n v="70000"/>
    <s v="10_1027"/>
    <n v="10"/>
    <n v="1027"/>
  </r>
  <r>
    <x v="0"/>
    <s v="Produção"/>
    <s v="Butiá - PR"/>
    <s v="(N1)"/>
    <n v="36000"/>
    <s v="122_22"/>
    <n v="122"/>
    <n v="222"/>
  </r>
  <r>
    <x v="0"/>
    <s v="Produção"/>
    <s v="Canguçu 1 - PR"/>
    <s v="(N1)"/>
    <n v="57000"/>
    <s v="10_860"/>
    <n v="10"/>
    <n v="860"/>
  </r>
  <r>
    <x v="0"/>
    <s v="Produção"/>
    <s v="Canguçu 2 - PR"/>
    <s v="(N2)"/>
    <n v="57000"/>
    <s v="10_1296"/>
    <n v="10"/>
    <n v="1296"/>
  </r>
  <r>
    <x v="0"/>
    <s v="Produção"/>
    <s v="Canguçu 3 - PR"/>
    <s v="(N3)"/>
    <n v="57000"/>
    <s v="10_1459"/>
    <n v="10"/>
    <n v="1459"/>
  </r>
  <r>
    <x v="0"/>
    <s v="Produção"/>
    <s v="Cappellesso - PR"/>
    <s v="(N1)"/>
    <n v="37000"/>
    <s v="10_233"/>
    <n v="10"/>
    <n v="233"/>
  </r>
  <r>
    <x v="1"/>
    <s v="Produção"/>
    <s v="Casarin - SC"/>
    <s v="(N1)"/>
    <n v="24000"/>
    <s v="95_102"/>
    <n v="95"/>
    <n v="102"/>
  </r>
  <r>
    <x v="0"/>
    <s v="Produção"/>
    <s v="Celso Hoffelder - PR"/>
    <s v="(N1)"/>
    <n v="57000"/>
    <s v="10_55"/>
    <n v="10"/>
    <n v="55"/>
  </r>
  <r>
    <x v="0"/>
    <s v="Produção"/>
    <s v="Darlan - PR"/>
    <s v="(N1)"/>
    <n v="57000"/>
    <s v="10_330"/>
    <n v="10"/>
    <n v="330"/>
  </r>
  <r>
    <x v="0"/>
    <s v="Produção"/>
    <s v="Entre rios 1 - PR"/>
    <s v="(N1)"/>
    <n v="36000"/>
    <s v="10_177"/>
    <n v="10"/>
    <n v="177"/>
  </r>
  <r>
    <x v="0"/>
    <s v="Produção"/>
    <s v="Entre Rios 2 - PR"/>
    <s v="(N2)"/>
    <n v="36000"/>
    <s v="10_178"/>
    <n v="10"/>
    <n v="178"/>
  </r>
  <r>
    <x v="0"/>
    <s v="Produção"/>
    <s v="Erveira - PR"/>
    <s v="(N1)"/>
    <n v="32000"/>
    <s v="138_26"/>
    <n v="138"/>
    <n v="26"/>
  </r>
  <r>
    <x v="1"/>
    <s v="Produção"/>
    <s v="Faxinal 1 - SC"/>
    <s v="(N1)"/>
    <n v="30000"/>
    <s v="84_159"/>
    <n v="84"/>
    <n v="159"/>
  </r>
  <r>
    <x v="1"/>
    <s v="Produção"/>
    <s v="Faxinal 2 - SC"/>
    <s v="(N2)"/>
    <n v="15000"/>
    <s v="84_162"/>
    <n v="84"/>
    <n v="162"/>
  </r>
  <r>
    <x v="1"/>
    <s v="Produção"/>
    <s v="Faxinal 3 - SC"/>
    <s v="(N3)"/>
    <n v="54000"/>
    <s v="84_170"/>
    <n v="84"/>
    <n v="170"/>
  </r>
  <r>
    <x v="1"/>
    <s v="Produção"/>
    <s v="Fiorin - SC"/>
    <s v="(N1)"/>
    <n v="22000"/>
    <s v="13_1458"/>
    <n v="13"/>
    <n v="1458"/>
  </r>
  <r>
    <x v="0"/>
    <s v="Produção"/>
    <s v="Flor da serra - PR"/>
    <s v="(N1)"/>
    <n v="20000"/>
    <s v="10_69"/>
    <n v="10"/>
    <n v="69"/>
  </r>
  <r>
    <x v="0"/>
    <s v="Produção"/>
    <s v="Fundo da Grota - PR"/>
    <s v="(N1)"/>
    <n v="57000"/>
    <s v="10_1184"/>
    <n v="10"/>
    <n v="1184"/>
  </r>
  <r>
    <x v="0"/>
    <s v="Produção"/>
    <s v="Iguaçu 1 - PR"/>
    <s v="(N1)"/>
    <n v="57000"/>
    <s v="10_859"/>
    <n v="10"/>
    <n v="859"/>
  </r>
  <r>
    <x v="0"/>
    <s v="Produção"/>
    <s v="Iguaçu 2 - PR"/>
    <s v="(N3)"/>
    <n v="57000"/>
    <s v="10_1460"/>
    <n v="10"/>
    <n v="1460"/>
  </r>
  <r>
    <x v="0"/>
    <s v="Produção"/>
    <s v="Ilha Bella 1 - PR"/>
    <s v="(N1)"/>
    <n v="76000"/>
    <s v="10_367"/>
    <n v="10"/>
    <n v="367"/>
  </r>
  <r>
    <x v="0"/>
    <s v="Produção"/>
    <s v="Ilha Bella 2 - PR"/>
    <s v="(N2)"/>
    <n v="57000"/>
    <s v="10_1535"/>
    <n v="10"/>
    <n v="1535"/>
  </r>
  <r>
    <x v="0"/>
    <s v="Produção"/>
    <s v="Itapejara - PR"/>
    <s v="(N1)"/>
    <n v="40000"/>
    <s v="105_30"/>
    <n v="105"/>
    <n v="530"/>
  </r>
  <r>
    <x v="0"/>
    <s v="Produção"/>
    <s v="Jairo Guzzo - PR"/>
    <s v="(N1)"/>
    <n v="15000"/>
    <s v="10_31"/>
    <n v="10"/>
    <n v="31"/>
  </r>
  <r>
    <x v="0"/>
    <s v="Produção"/>
    <s v="JS - PR"/>
    <s v="(N1)"/>
    <n v="36000"/>
    <s v="10_856"/>
    <n v="10"/>
    <n v="856"/>
  </r>
  <r>
    <x v="0"/>
    <s v="Produção"/>
    <s v="Km 45 nucleo 1 - PR"/>
    <s v="(N1)"/>
    <n v="36000"/>
    <s v="10_204"/>
    <n v="10"/>
    <n v="204"/>
  </r>
  <r>
    <x v="0"/>
    <s v="Produção"/>
    <s v="Km 45 nucleo 2 - PR"/>
    <s v="(N2)"/>
    <n v="50000"/>
    <s v="10_52"/>
    <n v="10"/>
    <n v="52"/>
  </r>
  <r>
    <x v="0"/>
    <s v="Produção"/>
    <s v="Linha Nova - PR"/>
    <s v="(N1)"/>
    <n v="76000"/>
    <s v="10_1183"/>
    <n v="10"/>
    <n v="1183"/>
  </r>
  <r>
    <x v="0"/>
    <s v="Produção"/>
    <s v="Fronteira 1 - PR"/>
    <s v="(N1)"/>
    <n v="57000"/>
    <s v="123_1536"/>
    <n v="123"/>
    <n v="1536"/>
  </r>
  <r>
    <x v="0"/>
    <s v="Produção"/>
    <s v="Fronteira 2 - PR"/>
    <s v="(N2)"/>
    <n v="57000"/>
    <s v="123_1537"/>
    <n v="123"/>
    <n v="1537"/>
  </r>
  <r>
    <x v="0"/>
    <s v="Produção"/>
    <s v="Fronteira 3 - PR"/>
    <s v="(N3)"/>
    <n v="57000"/>
    <s v="123_1538"/>
    <n v="123"/>
    <n v="1538"/>
  </r>
  <r>
    <x v="0"/>
    <s v="Produção"/>
    <s v="Fronteira 4 - PR"/>
    <s v="(N4)"/>
    <n v="57000"/>
    <s v="123_1539"/>
    <n v="123"/>
    <n v="1539"/>
  </r>
  <r>
    <x v="0"/>
    <s v="Produção"/>
    <s v="Marafon - PR"/>
    <s v="(N1)"/>
    <n v="36000"/>
    <s v="90_861"/>
    <n v="90"/>
    <n v="861"/>
  </r>
  <r>
    <x v="0"/>
    <s v="Produção"/>
    <s v="Mariott - PR"/>
    <s v="(N1)"/>
    <n v="40000"/>
    <s v="25_53"/>
    <n v="25"/>
    <n v="553"/>
  </r>
  <r>
    <x v="0"/>
    <s v="Produção"/>
    <s v="Miotto - PR"/>
    <s v="(N1)"/>
    <s v="36000"/>
    <s v="10_179"/>
    <n v="10"/>
    <n v="179"/>
  </r>
  <r>
    <x v="0"/>
    <s v="Produção"/>
    <s v="Nona Tere - PR"/>
    <s v="(N1)"/>
    <n v="57000"/>
    <s v="10_397"/>
    <n v="10"/>
    <n v="397"/>
  </r>
  <r>
    <x v="0"/>
    <s v="Produção"/>
    <s v="Nuernberg - PR"/>
    <s v="(N1)"/>
    <s v="12000"/>
    <s v="10_734"/>
    <n v="10"/>
    <n v="734"/>
  </r>
  <r>
    <x v="1"/>
    <s v="Produção"/>
    <s v="Ouro Verde - SC"/>
    <s v="(N1)"/>
    <s v="24000"/>
    <s v="102_351"/>
    <n v="102"/>
    <n v="351"/>
  </r>
  <r>
    <x v="0"/>
    <s v="Produção"/>
    <s v="Pandolfi - PR"/>
    <s v="(N1)"/>
    <n v="36000"/>
    <s v="111_1534"/>
    <n v="111"/>
    <n v="1534"/>
  </r>
  <r>
    <x v="0"/>
    <s v="Produção"/>
    <s v="Paulo - PR"/>
    <s v="(N1)"/>
    <s v="24000"/>
    <s v="10_735"/>
    <n v="10"/>
    <n v="735"/>
  </r>
  <r>
    <x v="0"/>
    <s v="Produção"/>
    <s v="Pinzon - PR"/>
    <s v="(N1)"/>
    <n v="25000"/>
    <s v="10_34"/>
    <n v="10"/>
    <n v="34"/>
  </r>
  <r>
    <x v="0"/>
    <s v="Produção"/>
    <s v="Planalto - PR"/>
    <s v="(N1)"/>
    <s v="93000"/>
    <s v="10_274"/>
    <n v="10"/>
    <n v="274"/>
  </r>
  <r>
    <x v="1"/>
    <s v="Produção"/>
    <s v="Ponte serrada 1 - SC"/>
    <s v="(N1)"/>
    <n v="30000"/>
    <s v="101_1079"/>
    <n v="101"/>
    <n v="1079"/>
  </r>
  <r>
    <x v="1"/>
    <s v="Produção"/>
    <s v="Ponte serrada 2 - SC"/>
    <s v="(N1)"/>
    <n v="58000"/>
    <s v="13_1080"/>
    <n v="13"/>
    <n v="1080"/>
  </r>
  <r>
    <x v="1"/>
    <s v="Produção"/>
    <s v="Prezotto - SC"/>
    <s v="(N1)"/>
    <n v="40000"/>
    <s v="13_258"/>
    <n v="13"/>
    <n v="258"/>
  </r>
  <r>
    <x v="0"/>
    <s v="Produção"/>
    <s v="Renascença 1 - PR"/>
    <s v="(N1)"/>
    <n v="57000"/>
    <s v="118_832"/>
    <n v="118"/>
    <n v="832"/>
  </r>
  <r>
    <x v="0"/>
    <s v="Produção"/>
    <s v="Renascença 2 - PR"/>
    <s v="(N2)"/>
    <n v="57000"/>
    <s v="118_863"/>
    <n v="118"/>
    <n v="863"/>
  </r>
  <r>
    <x v="0"/>
    <s v="Produção"/>
    <s v="Renascença 3 - PR"/>
    <s v="(N3)"/>
    <n v="57000"/>
    <s v="118_1081"/>
    <n v="118"/>
    <n v="1081"/>
  </r>
  <r>
    <x v="0"/>
    <s v="Produção"/>
    <s v="Rossi 1 - PR"/>
    <s v="(N1)"/>
    <n v="57000"/>
    <s v="10_329"/>
    <n v="10"/>
    <n v="329"/>
  </r>
  <r>
    <x v="0"/>
    <s v="Produção"/>
    <s v="Rossi 2 - PR"/>
    <s v="(N2)"/>
    <n v="57000"/>
    <s v="10_368"/>
    <n v="10"/>
    <n v="368"/>
  </r>
  <r>
    <x v="1"/>
    <s v="Produção"/>
    <s v="Rossignol - SC"/>
    <s v="(N1)"/>
    <n v="30000"/>
    <s v="93_261"/>
    <n v="93"/>
    <n v="261"/>
  </r>
  <r>
    <x v="1"/>
    <s v="Produção"/>
    <s v="Saade - SC"/>
    <s v="(N1)"/>
    <n v="24000"/>
    <s v="108_1387"/>
    <n v="108"/>
    <n v="1387"/>
  </r>
  <r>
    <x v="0"/>
    <s v="Produção"/>
    <s v="Salto 1 - PR"/>
    <s v="(N1)"/>
    <n v="36000"/>
    <s v="26_166"/>
    <n v="26"/>
    <n v="166"/>
  </r>
  <r>
    <x v="0"/>
    <s v="Produção"/>
    <s v="Salto 2 - PR"/>
    <s v="(N2)"/>
    <n v="36000"/>
    <s v="26_167"/>
    <n v="26"/>
    <n v="167"/>
  </r>
  <r>
    <x v="0"/>
    <s v="Produção"/>
    <s v="Salto Caxias Prod. 1 - PR"/>
    <s v="(N2)"/>
    <n v="48000"/>
    <s v="10_46"/>
    <n v="10"/>
    <n v="46"/>
  </r>
  <r>
    <x v="0"/>
    <s v="Produção"/>
    <s v="Salto Caxias Prod. 2 - PR"/>
    <s v="(N3)"/>
    <n v="48000"/>
    <s v="10_858"/>
    <n v="10"/>
    <n v="858"/>
  </r>
  <r>
    <x v="0"/>
    <s v="Produção"/>
    <s v="Santolin - PR"/>
    <s v="(N1)"/>
    <n v="40000"/>
    <s v="10_41"/>
    <n v="10"/>
    <n v="41"/>
  </r>
  <r>
    <x v="0"/>
    <s v="Produção"/>
    <s v="São Bernardo - PR"/>
    <s v="(N1)"/>
    <n v="34000"/>
    <s v="119_153"/>
    <n v="119"/>
    <n v="153"/>
  </r>
  <r>
    <x v="0"/>
    <s v="Produção"/>
    <s v="São Braz 2 - PR"/>
    <s v="(N1)"/>
    <n v="30000"/>
    <s v="10_43"/>
    <n v="10"/>
    <n v="43"/>
  </r>
  <r>
    <x v="0"/>
    <s v="Produção"/>
    <s v="São Caetano - PR"/>
    <s v="(N1)"/>
    <n v="40000"/>
    <s v="119_154"/>
    <n v="119"/>
    <n v="154"/>
  </r>
  <r>
    <x v="0"/>
    <s v="Produção"/>
    <s v="São Francisco - PR"/>
    <s v="(N1)"/>
    <n v="34000"/>
    <s v="119_156"/>
    <n v="119"/>
    <n v="156"/>
  </r>
  <r>
    <x v="0"/>
    <s v="Produção"/>
    <s v="São José - PR"/>
    <s v="(N1)"/>
    <n v="30000"/>
    <s v="10_44"/>
    <n v="10"/>
    <n v="44"/>
  </r>
  <r>
    <x v="0"/>
    <s v="Produção"/>
    <s v="São Manoel - PR"/>
    <s v="(N1)"/>
    <s v="6000"/>
    <s v="119_155"/>
    <n v="119"/>
    <n v="155"/>
  </r>
  <r>
    <x v="0"/>
    <s v="Produção"/>
    <s v="São Miguel - PR"/>
    <s v="(N1)"/>
    <n v="40000"/>
    <s v="10_48"/>
    <n v="10"/>
    <n v="48"/>
  </r>
  <r>
    <x v="0"/>
    <s v="Produção"/>
    <s v="São Pedro - PR"/>
    <s v="(N1)"/>
    <n v="25000"/>
    <s v="120_45"/>
    <n v="120"/>
    <n v="45"/>
  </r>
  <r>
    <x v="0"/>
    <s v="Produção"/>
    <s v="São Roque - PR"/>
    <s v="(N1)"/>
    <n v="40000"/>
    <s v="11_150"/>
    <n v="11"/>
    <n v="150"/>
  </r>
  <r>
    <x v="0"/>
    <s v="Produção"/>
    <s v="Saudade - PR"/>
    <s v="(N1)"/>
    <n v="90000"/>
    <s v="16_85"/>
    <n v="16"/>
    <n v="685"/>
  </r>
  <r>
    <x v="0"/>
    <s v="Produção"/>
    <s v="Scolari - PR"/>
    <s v="(N1)"/>
    <n v="76000"/>
    <s v="10_358"/>
    <n v="10"/>
    <n v="358"/>
  </r>
  <r>
    <x v="1"/>
    <s v="Produção"/>
    <s v="Tortato - SC"/>
    <s v="(N1)"/>
    <n v="20000"/>
    <s v="85_158"/>
    <n v="85"/>
    <n v="158"/>
  </r>
  <r>
    <x v="1"/>
    <s v="Produção"/>
    <s v="Trindade - SC"/>
    <s v="(N1)"/>
    <n v="40000"/>
    <s v="107_248"/>
    <n v="107"/>
    <n v="248"/>
  </r>
  <r>
    <x v="1"/>
    <s v="Produção"/>
    <s v="Trevisan - SC"/>
    <s v="(N1)"/>
    <n v="24000"/>
    <s v="13_2295"/>
    <n v="13"/>
    <n v="2295"/>
  </r>
  <r>
    <x v="0"/>
    <s v="Produção"/>
    <s v="Vora 1 - PR"/>
    <s v="(N1)"/>
    <n v="80000"/>
    <s v="116_2297"/>
    <n v="116"/>
    <n v="2297"/>
  </r>
  <r>
    <x v="0"/>
    <s v="Produção"/>
    <s v="Vora 2 - PR"/>
    <s v="(N2)"/>
    <n v="80000"/>
    <s v="116_2296"/>
    <n v="116"/>
    <n v="2296"/>
  </r>
  <r>
    <x v="0"/>
    <s v="Produção"/>
    <s v="Aliança Prod. 1 - PR"/>
    <s v="(N2)"/>
    <n v="57000"/>
    <s v="10_2382"/>
    <n v="10"/>
    <n v="2382"/>
  </r>
  <r>
    <x v="0"/>
    <s v="Produção"/>
    <s v="Aliança Prod. 2 - PR"/>
    <s v="(N3)"/>
    <n v="57000"/>
    <s v="10_2383"/>
    <n v="10"/>
    <n v="2383"/>
  </r>
  <r>
    <x v="0"/>
    <s v="Produção"/>
    <s v="N. Sª. Ap. Prod. 1 - PR"/>
    <s v="(N2)"/>
    <n v="57000"/>
    <s v="10_2385"/>
    <n v="10"/>
    <n v="2385"/>
  </r>
  <r>
    <x v="0"/>
    <s v="Produção"/>
    <s v="N. Sª. Ap. Prod. 2 - PR"/>
    <s v="(N3)"/>
    <n v="57000"/>
    <s v="10_2386"/>
    <n v="10"/>
    <n v="2386"/>
  </r>
  <r>
    <x v="0"/>
    <s v="Produção"/>
    <s v="Uberaba Prod. 1 - PR"/>
    <s v="(N2)"/>
    <n v="80000"/>
    <s v="10_2387"/>
    <n v="10"/>
    <n v="2387"/>
  </r>
  <r>
    <x v="0"/>
    <s v="Produção"/>
    <s v="Uberaba Prod. 2 - PR"/>
    <s v="(N3)"/>
    <n v="80000"/>
    <s v="10_2388"/>
    <n v="10"/>
    <n v="2388"/>
  </r>
  <r>
    <x v="0"/>
    <s v="Produção"/>
    <s v="Cafezal Prod. 1 - PR"/>
    <s v="(N3)"/>
    <n v="57000"/>
    <s v="135_2390"/>
    <n v="135"/>
    <n v="2390"/>
  </r>
  <r>
    <x v="0"/>
    <s v="Produção"/>
    <s v="Cafezal Prod. 2 - PR"/>
    <s v="(N4)"/>
    <n v="57000"/>
    <s v="135_2391"/>
    <n v="135"/>
    <n v="2391"/>
  </r>
  <r>
    <x v="0"/>
    <s v="Produção"/>
    <s v="Cafezal Prod. 3 - PR"/>
    <s v="(N5)"/>
    <n v="57000"/>
    <s v="10"/>
    <n v="10"/>
    <n v="10"/>
  </r>
  <r>
    <x v="0"/>
    <s v="Produção"/>
    <s v="Cafezal Prod. 4 - PR"/>
    <s v="(N6)"/>
    <n v="57000"/>
    <s v="10"/>
    <n v="10"/>
    <n v="10"/>
  </r>
  <r>
    <x v="2"/>
    <s v="Produção"/>
    <s v="Carolina - SP"/>
    <s v="(N1)"/>
    <n v="28000"/>
    <s v="14_496"/>
    <n v="14"/>
    <n v="496"/>
  </r>
  <r>
    <x v="2"/>
    <s v="Produção"/>
    <s v="Faz. Santa Rosa - SP"/>
    <s v="(N1)"/>
    <n v="58000"/>
    <s v="19_495"/>
    <n v="19"/>
    <n v="495"/>
  </r>
  <r>
    <x v="2"/>
    <s v="Produção"/>
    <s v="Pardinho 1 - SP"/>
    <s v="(N1)"/>
    <n v="60000"/>
    <s v="18_476"/>
    <n v="18"/>
    <n v="476"/>
  </r>
  <r>
    <x v="2"/>
    <s v="Produção"/>
    <s v="Pardinho 2 - SP"/>
    <s v="(N2)"/>
    <n v="17000"/>
    <s v="18_473"/>
    <n v="18"/>
    <n v="473"/>
  </r>
  <r>
    <x v="2"/>
    <s v="Produção"/>
    <s v="Potreiro 1 - SP"/>
    <s v="(N1)"/>
    <n v="23500"/>
    <s v="81_482"/>
    <n v="81"/>
    <n v="482"/>
  </r>
  <r>
    <x v="2"/>
    <s v="Produção"/>
    <s v="Potreiro 2 - SP"/>
    <s v="(N2)"/>
    <n v="23500"/>
    <s v="81_483"/>
    <n v="81"/>
    <n v="483"/>
  </r>
  <r>
    <x v="2"/>
    <s v="Produção"/>
    <s v="Potreiro 3 - SP"/>
    <s v="(N3)"/>
    <n v="23500"/>
    <s v="81_484"/>
    <n v="81"/>
    <n v="484"/>
  </r>
  <r>
    <x v="2"/>
    <s v="Produção"/>
    <s v="Potreiro 4 - SP"/>
    <s v="(N4)"/>
    <n v="23500"/>
    <s v="81_826"/>
    <n v="81"/>
    <n v="826"/>
  </r>
  <r>
    <x v="2"/>
    <s v="Produção"/>
    <s v="Potreiro 5 - SP"/>
    <s v="(N5)"/>
    <n v="24000"/>
    <s v="81_785"/>
    <n v="81"/>
    <n v="785"/>
  </r>
  <r>
    <x v="2"/>
    <s v="Produção"/>
    <s v="Potreiro 6 - SP"/>
    <s v="(N6)"/>
    <n v="18000"/>
    <s v="81_786"/>
    <n v="81"/>
    <n v="786"/>
  </r>
  <r>
    <x v="2"/>
    <s v="Produção"/>
    <s v="Samambaia 1 - SP"/>
    <s v="(N1)"/>
    <n v="45000"/>
    <s v="87_853"/>
    <n v="87"/>
    <n v="853"/>
  </r>
  <r>
    <x v="2"/>
    <s v="Produção"/>
    <s v="Samambaia 2 - SP"/>
    <s v="(N2)"/>
    <n v="38000"/>
    <s v="87_854"/>
    <n v="87"/>
    <n v="854"/>
  </r>
  <r>
    <x v="2"/>
    <s v="Produção"/>
    <s v="Samambaia 3 - SP"/>
    <s v="(N3)"/>
    <n v="28000"/>
    <s v="87_855"/>
    <n v="87"/>
    <n v="855"/>
  </r>
  <r>
    <x v="2"/>
    <s v="Produção"/>
    <s v="Morro Agudo - SP"/>
    <s v="(N1)"/>
    <n v="34000"/>
    <s v="92_961"/>
    <n v="92"/>
    <n v="961"/>
  </r>
  <r>
    <x v="2"/>
    <s v="Produção"/>
    <s v="Brodoski - SP"/>
    <s v="(N1)"/>
    <n v="34000"/>
    <s v="130_451"/>
    <n v="130"/>
    <n v="451"/>
  </r>
  <r>
    <x v="2"/>
    <s v="Produção"/>
    <s v="Santelmo - SP"/>
    <s v="(N1)"/>
    <n v="36000"/>
    <s v="121_2237"/>
    <n v="121"/>
    <n v="2237"/>
  </r>
  <r>
    <x v="2"/>
    <s v="Produção"/>
    <s v="Beltrame - SP"/>
    <s v="(N1)"/>
    <n v="24000"/>
    <s v="126_2244"/>
    <n v="126"/>
    <n v="2244"/>
  </r>
  <r>
    <x v="2"/>
    <s v="Produção"/>
    <s v="Olivio Serra - SP"/>
    <s v="(N1)"/>
    <n v="24000"/>
    <s v="125_2245"/>
    <n v="125"/>
    <n v="2245"/>
  </r>
  <r>
    <x v="2"/>
    <s v="Produção"/>
    <s v="São Gabriel - SP"/>
    <s v="(N1)"/>
    <n v="57000"/>
    <s v="127_2243"/>
    <n v="127"/>
    <n v="2243"/>
  </r>
  <r>
    <x v="3"/>
    <s v="Produção"/>
    <s v="Bezerros - 01"/>
    <s v="(N1)"/>
    <n v="38200"/>
    <s v="225_3023"/>
    <n v="225"/>
    <n v="3023"/>
  </r>
  <r>
    <x v="3"/>
    <s v="Produção"/>
    <s v="Bezerros - 02"/>
    <s v="(N2)"/>
    <n v="30560"/>
    <s v="225_3024"/>
    <n v="225"/>
    <n v="3024"/>
  </r>
  <r>
    <x v="3"/>
    <s v="Produção"/>
    <s v="Bezerros - 03"/>
    <s v="(N3)"/>
    <n v="39155"/>
    <s v="225_3025"/>
    <n v="225"/>
    <n v="3025"/>
  </r>
  <r>
    <x v="3"/>
    <s v="Produção"/>
    <s v="Cachoeirinha - 01"/>
    <s v="(N1)"/>
    <n v="30560"/>
    <s v="222_3026"/>
    <n v="222"/>
    <n v="3026"/>
  </r>
  <r>
    <x v="3"/>
    <s v="Produção"/>
    <s v="Cachoeirinha - 02"/>
    <s v="(N2)"/>
    <n v="30560"/>
    <s v="222_3027"/>
    <n v="222"/>
    <n v="3027"/>
  </r>
  <r>
    <x v="3"/>
    <s v="Produção"/>
    <s v="Ereu - 01"/>
    <s v="(N1)"/>
    <n v="26740"/>
    <s v="229_3028"/>
    <n v="229"/>
    <n v="3028"/>
  </r>
  <r>
    <x v="3"/>
    <s v="Produção"/>
    <s v="Pesqueira - 01"/>
    <s v="(N1)"/>
    <n v="30560"/>
    <s v="221_3030"/>
    <n v="221"/>
    <n v="3030"/>
  </r>
  <r>
    <x v="3"/>
    <s v="Produção"/>
    <s v="Pesqueira - 02"/>
    <s v="(N2)"/>
    <n v="15280"/>
    <s v="221_3031"/>
    <n v="221"/>
    <n v="3031"/>
  </r>
  <r>
    <x v="3"/>
    <s v="Produção"/>
    <s v="Pesqueira - 03"/>
    <s v="(N3)"/>
    <n v="30560"/>
    <s v="221_3032"/>
    <n v="221"/>
    <n v="3032"/>
  </r>
  <r>
    <x v="3"/>
    <s v="Produção"/>
    <s v="Pina - 01"/>
    <s v="(N1)"/>
    <n v="16235"/>
    <s v="227_3037"/>
    <n v="227"/>
    <n v="3037"/>
  </r>
  <r>
    <x v="3"/>
    <s v="Produção"/>
    <s v="Pina - 02"/>
    <s v="(N2)"/>
    <n v="15757.5"/>
    <s v="227_3038"/>
    <n v="227"/>
    <n v="3038"/>
  </r>
  <r>
    <x v="3"/>
    <s v="Produção"/>
    <s v="Pina - 03"/>
    <s v="(N3)"/>
    <n v="16235"/>
    <s v="227_3039"/>
    <n v="227"/>
    <n v="3039"/>
  </r>
  <r>
    <x v="3"/>
    <s v="Produção"/>
    <s v="Pina - 04"/>
    <s v="(N4)"/>
    <n v="16235"/>
    <s v="227_3040"/>
    <n v="227"/>
    <n v="3040"/>
  </r>
  <r>
    <x v="3"/>
    <s v="Produção"/>
    <s v="Pina - 05"/>
    <s v="(N5)"/>
    <n v="16235"/>
    <s v="227_3041"/>
    <n v="227"/>
    <n v="3041"/>
  </r>
  <r>
    <x v="3"/>
    <s v="Produção"/>
    <s v="Pina - 06"/>
    <s v="(N6)"/>
    <n v="16235"/>
    <s v="227_3042"/>
    <n v="227"/>
    <n v="3042"/>
  </r>
  <r>
    <x v="3"/>
    <s v="Produção"/>
    <s v="Pina - 07"/>
    <s v="(N7)"/>
    <n v="16235"/>
    <s v="227_3043"/>
    <n v="227"/>
    <n v="3043"/>
  </r>
  <r>
    <x v="3"/>
    <s v="Produção"/>
    <s v="Pina - 08"/>
    <s v="(N8)"/>
    <n v="16235"/>
    <s v="227_3044"/>
    <n v="227"/>
    <n v="3044"/>
  </r>
  <r>
    <x v="3"/>
    <s v="Produção"/>
    <s v="Riacho - 01"/>
    <s v="(N1-2)"/>
    <n v="53480"/>
    <s v="220_3033"/>
    <n v="220"/>
    <n v="3033"/>
  </r>
  <r>
    <x v="3"/>
    <s v="Produção"/>
    <s v="Riacho - 02"/>
    <s v="(N3-4)"/>
    <n v="53480"/>
    <s v="220_3034"/>
    <n v="220"/>
    <n v="3034"/>
  </r>
  <r>
    <x v="3"/>
    <s v="Produção"/>
    <s v="Riacho - 03"/>
    <s v="(N5-6)"/>
    <n v="53480"/>
    <s v="220_3035"/>
    <n v="220"/>
    <n v="3035"/>
  </r>
  <r>
    <x v="3"/>
    <s v="Produção"/>
    <s v="Riacho - 04"/>
    <s v="(N7-8)"/>
    <n v="53480"/>
    <s v="220_3036"/>
    <n v="220"/>
    <n v="3036"/>
  </r>
  <r>
    <x v="4"/>
    <s v="Produção"/>
    <s v="Dos Ipes"/>
    <s v="(N1)"/>
    <n v="50000"/>
    <s v="20_204"/>
    <n v="20"/>
    <n v="204"/>
  </r>
  <r>
    <x v="4"/>
    <s v="Produção"/>
    <s v="Fukushima"/>
    <s v="(N1)"/>
    <n v="25000"/>
    <s v="19_362"/>
    <n v="19"/>
    <n v="362"/>
  </r>
  <r>
    <x v="4"/>
    <s v="Produção"/>
    <s v="N.S.A"/>
    <s v="(N1)"/>
    <s v="25000"/>
    <s v="6_208"/>
    <n v="6"/>
    <n v="208"/>
  </r>
  <r>
    <x v="4"/>
    <s v="Produção"/>
    <s v="Shalon"/>
    <s v="(N1)"/>
    <n v="50000"/>
    <s v="6_205"/>
    <n v="6"/>
    <n v="205"/>
  </r>
  <r>
    <x v="4"/>
    <s v="Produção"/>
    <s v="São pedro"/>
    <s v="(N1)"/>
    <n v="50000"/>
    <s v="21_207"/>
    <n v="21"/>
    <n v="207"/>
  </r>
  <r>
    <x v="4"/>
    <s v="Produção"/>
    <s v="Fenato"/>
    <s v="(N1)"/>
    <n v="50000"/>
    <s v="14_94"/>
    <n v="14"/>
    <n v="494"/>
  </r>
  <r>
    <x v="4"/>
    <s v="Produção"/>
    <s v="Ovolandia"/>
    <s v="(N1)"/>
    <n v="50000"/>
    <s v="18_95"/>
    <n v="18"/>
    <n v="895"/>
  </r>
  <r>
    <x v="4"/>
    <s v="Produção"/>
    <s v="Santa Maria"/>
    <s v="(N1)"/>
    <n v="50000"/>
    <s v="10_280"/>
    <n v="10"/>
    <n v="280"/>
  </r>
  <r>
    <x v="4"/>
    <s v="Produção"/>
    <s v="Pinheiro"/>
    <s v="(N1)"/>
    <n v="50000"/>
    <s v="11_134"/>
    <n v="11"/>
    <n v="134"/>
  </r>
  <r>
    <x v="5"/>
    <s v="Produção"/>
    <s v="Pedro 1 - GO"/>
    <s v="(N1)"/>
    <n v="23000"/>
    <s v="134_2416"/>
    <n v="133"/>
    <n v="2416"/>
  </r>
  <r>
    <x v="5"/>
    <s v="Produção"/>
    <s v="Pedro 2 - GO"/>
    <s v="(N2)"/>
    <n v="23000"/>
    <s v="134_2417"/>
    <n v="133"/>
    <n v="2417"/>
  </r>
  <r>
    <x v="5"/>
    <s v="Produção"/>
    <s v="Luciara 1 - GO"/>
    <s v="(N1)"/>
    <n v="23000"/>
    <s v="133_2418"/>
    <n v="134"/>
    <n v="2418"/>
  </r>
  <r>
    <x v="5"/>
    <s v="Produção"/>
    <s v="Luciara 2 - GO"/>
    <s v="(N2)"/>
    <n v="23000"/>
    <s v="133_2419"/>
    <n v="134"/>
    <n v="2419"/>
  </r>
  <r>
    <x v="5"/>
    <s v="Produção"/>
    <s v="Deosdedethi 01 - GO"/>
    <s v="(N1)"/>
    <n v="23000"/>
    <s v="140_2420"/>
    <m/>
    <n v="2420"/>
  </r>
  <r>
    <x v="5"/>
    <s v="Produção"/>
    <s v="Deosdedethi 02 - GO"/>
    <s v="(N2)"/>
    <n v="23000"/>
    <s v="140_2421"/>
    <m/>
    <n v="2421"/>
  </r>
  <r>
    <x v="5"/>
    <s v="Produção"/>
    <s v="Deosdedethi 03 - GO"/>
    <s v="(N1)"/>
    <n v="23000"/>
    <s v="140_2422"/>
    <m/>
    <n v="2422"/>
  </r>
  <r>
    <x v="5"/>
    <s v="Produção"/>
    <s v="Deosdedethi 04 - GO"/>
    <s v="(N2)"/>
    <n v="23000"/>
    <s v="140_2423"/>
    <m/>
    <n v="2423"/>
  </r>
  <r>
    <x v="6"/>
    <s v="Produção"/>
    <s v="Lindoia Prod. 05 - MT"/>
    <m/>
    <n v="33425"/>
    <s v="136_2445"/>
    <n v="136"/>
    <n v="2445"/>
  </r>
  <r>
    <x v="6"/>
    <s v="Produção"/>
    <s v="Lindoia Prod. 06 - MT"/>
    <m/>
    <n v="33425"/>
    <s v="136_2446"/>
    <n v="136"/>
    <n v="2446"/>
  </r>
  <r>
    <x v="6"/>
    <s v="Produção"/>
    <s v="Lindoia Prod. 07 - MT"/>
    <m/>
    <n v="33425"/>
    <s v="136_2447"/>
    <n v="136"/>
    <n v="2447"/>
  </r>
  <r>
    <x v="6"/>
    <s v="Produção"/>
    <s v="Lindoia Prod. 08 - MT"/>
    <m/>
    <n v="33425"/>
    <s v="136_2448"/>
    <n v="136"/>
    <n v="2448"/>
  </r>
  <r>
    <x v="6"/>
    <s v="Produção"/>
    <s v="Lindoia Prod. 09 - MT"/>
    <m/>
    <n v="33425"/>
    <s v="136_2449"/>
    <n v="136"/>
    <n v="2449"/>
  </r>
  <r>
    <x v="6"/>
    <s v="Produção"/>
    <s v="Lindoia Prod. 10 - MT"/>
    <m/>
    <n v="33425"/>
    <s v="136_2450"/>
    <n v="136"/>
    <n v="2450"/>
  </r>
  <r>
    <x v="6"/>
    <s v="Produção"/>
    <s v="Lindoia Prod. 11 - MT"/>
    <m/>
    <n v="33425"/>
    <s v="136_2451"/>
    <n v="136"/>
    <n v="2451"/>
  </r>
  <r>
    <x v="6"/>
    <s v="Produção"/>
    <s v="Lindoia Prod. 12 - MT"/>
    <m/>
    <n v="33425"/>
    <s v="136_2452"/>
    <n v="136"/>
    <n v="2452"/>
  </r>
  <r>
    <x v="7"/>
    <s v="Produção"/>
    <s v="Adriana Barreto ( AB-01)"/>
    <m/>
    <n v="45000"/>
    <s v="70_765"/>
    <n v="70"/>
    <n v="765"/>
  </r>
  <r>
    <x v="7"/>
    <s v="Produção"/>
    <s v="AGUINALDO LELIS (AL-01)"/>
    <m/>
    <n v="35000"/>
    <s v="72_750"/>
    <n v="72"/>
    <n v="750"/>
  </r>
  <r>
    <x v="7"/>
    <s v="Produção"/>
    <s v="Eduardo Bezerra 1(EB-01)"/>
    <m/>
    <n v="44000"/>
    <s v="72_759"/>
    <n v="72"/>
    <n v="759"/>
  </r>
  <r>
    <x v="7"/>
    <s v="Produção"/>
    <s v="Elias Marquezi (EM-01)"/>
    <m/>
    <n v="19000"/>
    <s v="70_747"/>
    <n v="70"/>
    <n v="747"/>
  </r>
  <r>
    <x v="7"/>
    <s v="Produção"/>
    <s v="Granja Santa Cruz (SC-01)"/>
    <m/>
    <n v="44000"/>
    <s v="70_3282"/>
    <n v="70"/>
    <n v="3282"/>
  </r>
  <r>
    <x v="7"/>
    <s v="Produção"/>
    <s v="Granja Santa Cruz (SC-02)"/>
    <m/>
    <n v="44000"/>
    <s v="70_3283"/>
    <n v="70"/>
    <n v="3283"/>
  </r>
  <r>
    <x v="7"/>
    <s v="Produção"/>
    <s v="Estrela Dalva 1 (ED-1)"/>
    <m/>
    <n v="44000"/>
    <s v="72_744"/>
    <n v="72"/>
    <n v="744"/>
  </r>
  <r>
    <x v="7"/>
    <s v="Produção"/>
    <s v="Estrela Dalva 1 (ED-2)"/>
    <m/>
    <n v="45000"/>
    <s v="72_745"/>
    <n v="72"/>
    <n v="745"/>
  </r>
  <r>
    <x v="7"/>
    <s v="Produção"/>
    <s v="Fernando Andrade 1 (FA-01)"/>
    <m/>
    <n v="45000"/>
    <s v="70_769"/>
    <n v="70"/>
    <n v="769"/>
  </r>
  <r>
    <x v="7"/>
    <s v="Produção"/>
    <s v="Granja - KC-01"/>
    <m/>
    <n v="48000"/>
    <s v="70_1646"/>
    <n v="70"/>
    <n v="1646"/>
  </r>
  <r>
    <x v="7"/>
    <s v="Produção"/>
    <s v="Granja - KC-02"/>
    <m/>
    <n v="48000"/>
    <s v="70_1647"/>
    <n v="70"/>
    <n v="1647"/>
  </r>
  <r>
    <x v="7"/>
    <s v="Produção"/>
    <s v="Jose Luiz Aborean1(JL-01)"/>
    <m/>
    <n v="45000"/>
    <s v="72_753"/>
    <n v="72"/>
    <n v="753"/>
  </r>
  <r>
    <x v="7"/>
    <s v="Produção"/>
    <s v="Jose Luiz Aborean1(JL-02)"/>
    <m/>
    <n v="44000"/>
    <s v="72_754"/>
    <n v="72"/>
    <n v="754"/>
  </r>
  <r>
    <x v="7"/>
    <s v="Produção"/>
    <s v="Jose Marcos (JM-01)"/>
    <m/>
    <n v="44000"/>
    <s v="72_748"/>
    <n v="72"/>
    <n v="748"/>
  </r>
  <r>
    <x v="7"/>
    <s v="Produção"/>
    <s v="Jose Mauro(JE )"/>
    <m/>
    <n v="44000"/>
    <s v="70_746"/>
    <n v="70"/>
    <n v="746"/>
  </r>
  <r>
    <x v="7"/>
    <s v="Produção"/>
    <s v="Luiz Gonzaga 1(LG-01)"/>
    <m/>
    <n v="58000"/>
    <s v="72_757"/>
    <n v="72"/>
    <n v="757"/>
  </r>
  <r>
    <x v="7"/>
    <s v="Produção"/>
    <s v="Luiz Gonzaga 2(LG-02)"/>
    <m/>
    <n v="44000"/>
    <s v="70_758"/>
    <n v="70"/>
    <n v="758"/>
  </r>
  <r>
    <x v="7"/>
    <s v="Produção"/>
    <s v="Marcelo Bezerra  ( MB-01 )"/>
    <m/>
    <n v="45000"/>
    <s v="70_764"/>
    <n v="70"/>
    <n v="764"/>
  </r>
  <r>
    <x v="7"/>
    <s v="Produção"/>
    <s v="Miguel 1 (MI-01)"/>
    <m/>
    <n v="44000"/>
    <s v="70_766"/>
    <n v="70"/>
    <n v="766"/>
  </r>
  <r>
    <x v="7"/>
    <s v="Produção"/>
    <s v="Miguel 2(MI-02)"/>
    <m/>
    <n v="44000"/>
    <s v="72_767"/>
    <n v="72"/>
    <n v="767"/>
  </r>
  <r>
    <x v="7"/>
    <s v="Produção"/>
    <s v="Miguel 3 (MI-03)"/>
    <m/>
    <n v="44000"/>
    <s v="70_768"/>
    <n v="70"/>
    <n v="768"/>
  </r>
  <r>
    <x v="7"/>
    <s v="Produção"/>
    <s v="Planaltina 01"/>
    <m/>
    <n v="19000"/>
    <s v="94_1382"/>
    <n v="94"/>
    <n v="1382"/>
  </r>
  <r>
    <x v="7"/>
    <s v="Produção"/>
    <s v="Planaltina 02"/>
    <m/>
    <n v="19000"/>
    <s v="94_1383"/>
    <n v="94"/>
    <n v="1383"/>
  </r>
  <r>
    <x v="7"/>
    <s v="Produção"/>
    <s v="Planaltina 03"/>
    <m/>
    <n v="19000"/>
    <s v="94_1384"/>
    <n v="94"/>
    <n v="1384"/>
  </r>
  <r>
    <x v="7"/>
    <s v="Produção"/>
    <s v="Planaltina 04"/>
    <m/>
    <n v="19000"/>
    <s v="94_1385"/>
    <n v="94"/>
    <n v="1385"/>
  </r>
  <r>
    <x v="7"/>
    <s v="Produção"/>
    <s v="Planaltina 05"/>
    <m/>
    <n v="30000"/>
    <s v="94_1450"/>
    <n v="94"/>
    <n v="1450"/>
  </r>
  <r>
    <x v="7"/>
    <s v="Produção"/>
    <s v="Planaltina 06"/>
    <m/>
    <n v="30000"/>
    <s v="94_634"/>
    <n v="94"/>
    <n v="634"/>
  </r>
  <r>
    <x v="7"/>
    <s v="Produção"/>
    <s v="Planaltina 07"/>
    <m/>
    <n v="28000"/>
    <s v="94_635"/>
    <n v="94"/>
    <n v="635"/>
  </r>
  <r>
    <x v="7"/>
    <s v="Produção"/>
    <s v="Rodrigo Bezerra  ( RB-01 )"/>
    <m/>
    <n v="44000"/>
    <s v="72_763"/>
    <n v="72"/>
    <n v="763"/>
  </r>
  <r>
    <x v="7"/>
    <s v="Produção"/>
    <s v="Rufato(RU) "/>
    <m/>
    <n v="44000"/>
    <s v="72_749"/>
    <n v="72"/>
    <n v="749"/>
  </r>
  <r>
    <x v="7"/>
    <s v="Produção"/>
    <s v="Santa Rita ( SR-01 )"/>
    <m/>
    <n v="44000"/>
    <s v="72_1344"/>
    <n v="72"/>
    <n v="1344"/>
  </r>
  <r>
    <x v="7"/>
    <s v="Produção"/>
    <s v="São Francisco  (SF-01)"/>
    <m/>
    <n v="44000"/>
    <s v="110_1677"/>
    <n v="110"/>
    <n v="1677"/>
  </r>
  <r>
    <x v="7"/>
    <s v="Produção"/>
    <s v="TOCAIA GRANDE (TG-01"/>
    <m/>
    <n v="46000"/>
    <s v="104_1232"/>
    <n v="104"/>
    <n v="1232"/>
  </r>
  <r>
    <x v="8"/>
    <s v="Produção"/>
    <s v="CASSILANDIA PROD 1"/>
    <m/>
    <n v="57000"/>
    <s v="40_410"/>
    <n v="40"/>
    <n v="410"/>
  </r>
  <r>
    <x v="8"/>
    <s v="Produção"/>
    <s v="CASSILANDIA PROD 2"/>
    <m/>
    <n v="57000"/>
    <s v="40_411"/>
    <n v="40"/>
    <n v="411"/>
  </r>
  <r>
    <x v="8"/>
    <s v="Produção"/>
    <s v="CASSILANDIA PROD 3"/>
    <m/>
    <n v="47000"/>
    <s v="40_404"/>
    <n v="40"/>
    <n v="404"/>
  </r>
  <r>
    <x v="8"/>
    <s v="Produção"/>
    <s v="CASSILANDIA PROD 4"/>
    <m/>
    <n v="47000"/>
    <s v="40_402"/>
    <n v="40"/>
    <n v="402"/>
  </r>
  <r>
    <x v="8"/>
    <s v="Produção"/>
    <s v="CASSILANDIA PROD 7"/>
    <m/>
    <n v="57000"/>
    <s v="44_3268"/>
    <n v="44"/>
    <n v="3268"/>
  </r>
  <r>
    <x v="8"/>
    <s v="Produção"/>
    <s v="CASSILANDIA PROD 8"/>
    <m/>
    <n v="57000"/>
    <s v="44_3269"/>
    <n v="44"/>
    <n v="326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Argentina"/>
    <d v="2025-04-25T00:00:00"/>
    <x v="0"/>
    <d v="2025-04-24T00:00:00"/>
    <m/>
    <n v="74.714285714285708"/>
    <n v="900"/>
    <s v="Don Cristobal 01"/>
    <n v="7000"/>
    <m/>
    <n v="-294"/>
    <x v="0"/>
    <d v="2025-08-21T00:00:00"/>
    <d v="2025-09-25T00:00:00"/>
    <n v="93025"/>
    <n v="900"/>
    <s v="Don Cristobal _G1"/>
    <n v="7000"/>
    <d v="2026-11-25T00:00:00"/>
    <n v="83"/>
    <m/>
    <d v="2026-11-25T00:00:00"/>
  </r>
  <r>
    <s v="Argentina"/>
    <d v="2024-08-28T00:00:00"/>
    <x v="1"/>
    <d v="2024-08-29T00:00:00"/>
    <m/>
    <n v="108.71428571428571"/>
    <n v="900"/>
    <s v="Don Cristobal 03"/>
    <n v="5800"/>
    <m/>
    <n v="-56"/>
    <x v="0"/>
    <d v="2024-12-26T00:00:00"/>
    <d v="2025-01-30T00:00:00"/>
    <n v="93125"/>
    <n v="900"/>
    <s v="Don Cristobal _G3"/>
    <n v="5800"/>
    <d v="2026-04-01T00:00:00"/>
    <n v="83"/>
    <m/>
    <d v="2026-04-01T00:00:00"/>
  </r>
  <r>
    <s v="Argentina"/>
    <d v="2024-10-31T00:00:00"/>
    <x v="1"/>
    <d v="2024-10-31T00:00:00"/>
    <m/>
    <n v="99.714285714285708"/>
    <n v="900"/>
    <s v="Don Cristobal 04"/>
    <n v="4700"/>
    <m/>
    <n v="-183"/>
    <x v="0"/>
    <d v="2025-02-27T00:00:00"/>
    <d v="2025-04-03T00:00:00"/>
    <n v="93225"/>
    <n v="900"/>
    <s v="Don Cristobal _G4"/>
    <n v="4700"/>
    <d v="2026-06-03T00:00:00"/>
    <n v="83"/>
    <m/>
    <d v="2026-06-03T00:00:00"/>
  </r>
  <r>
    <s v="Argentina"/>
    <d v="2024-10-31T00:00:00"/>
    <x v="1"/>
    <d v="2024-10-31T00:00:00"/>
    <m/>
    <n v="99.714285714285708"/>
    <n v="900"/>
    <s v="Don Cristobal 04"/>
    <n v="2853"/>
    <m/>
    <n v="-183"/>
    <x v="1"/>
    <d v="2025-02-27T00:00:00"/>
    <d v="2025-04-03T00:00:00"/>
    <n v="93325"/>
    <n v="900"/>
    <s v="Don Cristobal _G4"/>
    <n v="2853"/>
    <d v="2026-08-26T00:00:00"/>
    <n v="95"/>
    <m/>
    <d v="2026-08-26T00:00:00"/>
  </r>
  <r>
    <s v="Argentina"/>
    <d v="2024-08-28T00:00:00"/>
    <x v="1"/>
    <d v="2024-08-29T00:00:00"/>
    <m/>
    <n v="108.71428571428571"/>
    <n v="900"/>
    <s v="Don Cristobal 05"/>
    <n v="5355"/>
    <m/>
    <n v="159"/>
    <x v="1"/>
    <d v="2024-12-26T00:00:00"/>
    <d v="2025-01-30T00:00:00"/>
    <n v="93425"/>
    <n v="900"/>
    <s v="Don Cristobal _G5"/>
    <n v="5355"/>
    <d v="2026-09-02T00:00:00"/>
    <n v="105"/>
    <n v="113"/>
    <d v="2026-12-24T00:00:00"/>
  </r>
  <r>
    <s v="Argentina"/>
    <d v="2024-08-28T00:00:00"/>
    <x v="1"/>
    <d v="2024-08-29T00:00:00"/>
    <m/>
    <n v="108.71428571428571"/>
    <n v="900"/>
    <s v="Don Cristobal 06"/>
    <n v="5553"/>
    <m/>
    <n v="317"/>
    <x v="0"/>
    <d v="2024-12-26T00:00:00"/>
    <d v="2025-01-30T00:00:00"/>
    <n v="93525"/>
    <n v="900"/>
    <s v="Don Cristobal _G6"/>
    <n v="5355"/>
    <d v="2026-04-01T00:00:00"/>
    <n v="83"/>
    <m/>
    <d v="2026-04-01T00:00:00"/>
  </r>
  <r>
    <s v="Argentina"/>
    <d v="2025-06-03T00:00:00"/>
    <x v="0"/>
    <d v="2025-06-05T00:00:00"/>
    <m/>
    <n v="68.714285714285708"/>
    <n v="900"/>
    <s v="Nogoya 02 - G01"/>
    <n v="5442"/>
    <m/>
    <n v="42"/>
    <x v="1"/>
    <d v="2025-10-02T00:00:00"/>
    <d v="2025-11-06T00:00:00"/>
    <m/>
    <n v="900"/>
    <s v="Nogoya 02 - G01"/>
    <n v="5442"/>
    <d v="2027-01-06T00:00:00"/>
    <n v="83"/>
    <m/>
    <d v="2027-01-06T00:00:00"/>
  </r>
  <r>
    <s v="Argentina"/>
    <d v="2025-06-03T00:00:00"/>
    <x v="0"/>
    <d v="2025-06-05T00:00:00"/>
    <m/>
    <n v="68.714285714285708"/>
    <n v="900"/>
    <s v="Nogoya 02 - G01"/>
    <n v="6800"/>
    <m/>
    <n v="42"/>
    <x v="0"/>
    <d v="2025-10-02T00:00:00"/>
    <d v="2025-11-06T00:00:00"/>
    <m/>
    <n v="900"/>
    <s v="Nogoya 02 - G01"/>
    <n v="6800"/>
    <d v="2027-01-06T00:00:00"/>
    <n v="83"/>
    <m/>
    <d v="2027-01-06T00:00:00"/>
  </r>
  <r>
    <s v="Argentina"/>
    <d v="2025-11-08T00:00:00"/>
    <x v="0"/>
    <d v="2025-11-06T00:00:00"/>
    <m/>
    <n v="46.714285714285715"/>
    <n v="900"/>
    <s v="Nogoya 01- G02"/>
    <n v="13000"/>
    <m/>
    <n v="-97"/>
    <x v="0"/>
    <d v="2026-03-05T00:00:00"/>
    <d v="2026-04-09T00:00:00"/>
    <m/>
    <n v="900"/>
    <s v="Nogoya 02_G1"/>
    <n v="12480"/>
    <d v="2027-06-09T00:00:00"/>
    <n v="83"/>
    <m/>
    <d v="2027-06-09T00:00:00"/>
  </r>
  <r>
    <s v="Argentina"/>
    <d v="2025-11-13T00:00:00"/>
    <x v="0"/>
    <d v="2025-11-13T00:00:00"/>
    <m/>
    <n v="45.714285714285715"/>
    <n v="900"/>
    <s v="Nogoya 01- G03"/>
    <n v="7000"/>
    <m/>
    <n v="8"/>
    <x v="0"/>
    <d v="2026-03-12T00:00:00"/>
    <d v="2026-04-16T00:00:00"/>
    <m/>
    <n v="900"/>
    <s v="Nogoya 02_G2"/>
    <n v="6685"/>
    <d v="2027-06-16T00:00:00"/>
    <n v="83"/>
    <m/>
    <d v="2027-06-16T00:00:00"/>
  </r>
  <r>
    <s v="Argentina"/>
    <d v="2025-11-13T00:00:00"/>
    <x v="0"/>
    <d v="2025-11-13T00:00:00"/>
    <m/>
    <n v="45.714285714285715"/>
    <n v="900"/>
    <s v="Nogoya 01- G03"/>
    <n v="6000"/>
    <m/>
    <n v="8"/>
    <x v="1"/>
    <d v="2026-03-12T00:00:00"/>
    <d v="2026-04-16T00:00:00"/>
    <m/>
    <n v="900"/>
    <s v="Nogoya 02_G2"/>
    <n v="5730"/>
    <d v="2027-06-16T00:00:00"/>
    <n v="83"/>
    <m/>
    <d v="2027-06-16T00:00:00"/>
  </r>
  <r>
    <s v="Argentina"/>
    <d v="2025-11-28T00:00:00"/>
    <x v="0"/>
    <d v="2025-11-28T00:00:00"/>
    <m/>
    <n v="43.571428571428569"/>
    <n v="900"/>
    <s v="Nogoya 01- G01"/>
    <n v="5000"/>
    <m/>
    <n v="151"/>
    <x v="0"/>
    <d v="2026-03-27T00:00:00"/>
    <d v="2026-05-01T00:00:00"/>
    <m/>
    <n v="900"/>
    <s v="Nogoya 01_G3"/>
    <n v="4775"/>
    <d v="2027-07-01T00:00:00"/>
    <n v="83"/>
    <m/>
    <d v="2027-07-01T00:00:00"/>
  </r>
  <r>
    <s v="Argentina"/>
    <d v="2026-03-20T00:00:00"/>
    <x v="2"/>
    <d v="2026-03-19T00:00:00"/>
    <m/>
    <n v="27.714285714285715"/>
    <n v="900"/>
    <s v="Dom Cristobal  01- G02"/>
    <n v="6000"/>
    <m/>
    <n v="40"/>
    <x v="1"/>
    <d v="2026-07-16T00:00:00"/>
    <d v="2026-08-20T00:00:00"/>
    <m/>
    <n v="900"/>
    <s v="Dom Cristobal_G2"/>
    <n v="5730"/>
    <d v="2027-10-20T00:00:00"/>
    <n v="83"/>
    <m/>
    <d v="2027-10-20T00:00:00"/>
  </r>
  <r>
    <s v="Argentina"/>
    <d v="2026-03-20T00:00:00"/>
    <x v="2"/>
    <d v="2026-03-19T00:00:00"/>
    <m/>
    <n v="27.714285714285715"/>
    <n v="900"/>
    <s v="Dom Cristobal 01 -G07"/>
    <n v="7200"/>
    <m/>
    <n v="186"/>
    <x v="0"/>
    <d v="2026-07-16T00:00:00"/>
    <d v="2026-08-20T00:00:00"/>
    <m/>
    <n v="900"/>
    <s v="Dom Cristobal_G7"/>
    <n v="6876"/>
    <d v="2027-10-20T00:00:00"/>
    <n v="83"/>
    <m/>
    <d v="2027-10-20T00:00:00"/>
  </r>
  <r>
    <s v="Argentina"/>
    <d v="2026-08-25T00:00:00"/>
    <x v="2"/>
    <d v="2026-08-27T00:00:00"/>
    <m/>
    <n v="4.7142857142857144"/>
    <n v="900"/>
    <s v="Dom Cristobal Rec -G01"/>
    <n v="7000"/>
    <n v="25"/>
    <n v="25"/>
    <x v="1"/>
    <d v="2026-12-24T00:00:00"/>
    <d v="2027-01-28T00:00:00"/>
    <m/>
    <n v="900"/>
    <s v="Dom Cristobal_G8"/>
    <n v="6685"/>
    <d v="2028-03-29T00:00:00"/>
    <n v="83"/>
    <m/>
    <d v="2028-03-29T00:00:00"/>
  </r>
  <r>
    <s v="Argentina"/>
    <d v="2026-08-25T00:00:00"/>
    <x v="2"/>
    <d v="2026-08-27T00:00:00"/>
    <m/>
    <n v="4.7142857142857144"/>
    <n v="900"/>
    <s v="Dom Cristobal Rec -G01"/>
    <n v="14000"/>
    <n v="25"/>
    <n v="-46380"/>
    <x v="0"/>
    <d v="2026-12-24T00:00:00"/>
    <d v="2027-01-28T00:00:00"/>
    <m/>
    <n v="900"/>
    <s v="Nogoya 01_G1"/>
    <n v="13370"/>
    <d v="2028-03-29T00:00:00"/>
    <n v="83"/>
    <m/>
    <d v="2028-03-29T00:00:00"/>
  </r>
  <r>
    <s v="Argentina"/>
    <d v="2027-01-18T00:00:00"/>
    <x v="3"/>
    <d v="2026-08-27T00:00:00"/>
    <m/>
    <n v="4.7142857142857144"/>
    <n v="900"/>
    <s v="Dom Cristobal Rec -G01"/>
    <n v="7000"/>
    <m/>
    <n v="-46380"/>
    <x v="1"/>
    <d v="2026-12-24T00:00:00"/>
    <d v="2027-01-28T00:00:00"/>
    <m/>
    <n v="900"/>
    <s v="Dom Cristobal_G5"/>
    <n v="6685"/>
    <d v="2028-03-29T00:00:00"/>
    <n v="83"/>
    <m/>
    <d v="2028-03-29T00:00:00"/>
  </r>
  <r>
    <s v="Argentina"/>
    <d v="2027-01-18T00:00:00"/>
    <x v="3"/>
    <d v="2026-08-27T00:00:00"/>
    <m/>
    <n v="4.7142857142857144"/>
    <n v="900"/>
    <s v="Dom Cristobal Rec -G01"/>
    <n v="14000"/>
    <m/>
    <n v="-46380"/>
    <x v="0"/>
    <d v="2026-12-24T00:00:00"/>
    <d v="2027-01-28T00:00:00"/>
    <m/>
    <n v="900"/>
    <s v="Nogoya 01_G2"/>
    <n v="13370"/>
    <d v="2028-03-29T00:00:00"/>
    <n v="83"/>
    <m/>
    <d v="2028-03-29T00:00: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Cassilândia"/>
    <x v="0"/>
    <d v="2024-10-31T00:00:00"/>
    <s v="703-24"/>
    <n v="99.714285714285708"/>
    <n v="40"/>
    <s v="Cassilândia Rec. 01 - MS"/>
    <n v="61609"/>
    <s v="2º"/>
    <n v="47"/>
    <x v="0"/>
    <x v="0"/>
    <d v="2025-03-27T00:00:00"/>
    <s v="703-24"/>
    <n v="40"/>
    <s v="Cassilândia Prod. 02 - MS"/>
    <n v="58140"/>
    <d v="2026-02-18T00:00:00"/>
    <n v="68"/>
    <n v="35"/>
    <d v="2026-03-25T00:00:00"/>
  </r>
  <r>
    <s v="Cassilândia"/>
    <x v="1"/>
    <d v="2025-01-26T00:00:00"/>
    <s v="701-25"/>
    <n v="87.285714285714292"/>
    <n v="40"/>
    <s v="Cassilândia Rec. 02 - MS"/>
    <n v="49048"/>
    <s v="2º"/>
    <n v="39"/>
    <x v="0"/>
    <x v="0"/>
    <d v="2025-06-22T00:00:00"/>
    <s v="701-25"/>
    <n v="40"/>
    <s v="Cassilândia Prod. 04 - MS"/>
    <n v="46720"/>
    <d v="2026-05-16T00:00:00"/>
    <n v="68"/>
    <n v="40"/>
    <d v="2026-06-25T00:00:00"/>
  </r>
  <r>
    <s v="Cassilândia"/>
    <x v="2"/>
    <d v="2025-05-08T00:00:00"/>
    <s v="702-25"/>
    <n v="72.714285714285708"/>
    <n v="40"/>
    <s v="Cassilândia Rec. 01 - MS"/>
    <n v="60070"/>
    <s v="1ª"/>
    <n v="27"/>
    <x v="0"/>
    <x v="0"/>
    <d v="2025-10-02T00:00:00"/>
    <s v="702-25"/>
    <n v="40"/>
    <s v="Cassilândia Prod. 01 - MS"/>
    <n v="57428"/>
    <d v="2026-08-26T00:00:00"/>
    <n v="68"/>
    <n v="29"/>
    <d v="2026-09-24T00:00:00"/>
  </r>
  <r>
    <s v="Cassilândia"/>
    <x v="3"/>
    <d v="2025-07-31T00:00:00"/>
    <s v="703-25"/>
    <n v="60.714285714285715"/>
    <n v="40"/>
    <s v="Cassilândia Rec. 02 - MS"/>
    <n v="49456"/>
    <s v="L"/>
    <n v="35"/>
    <x v="1"/>
    <x v="1"/>
    <d v="2025-12-25T00:00:00"/>
    <s v="703-25"/>
    <n v="40"/>
    <s v="Cassilândia Prod. 03 - MS"/>
    <n v="47230.479999999996"/>
    <d v="2026-11-18T00:00:00"/>
    <n v="68"/>
    <n v="38"/>
    <d v="2026-12-26T00:00:00"/>
  </r>
  <r>
    <s v="Cassilândia"/>
    <x v="4"/>
    <d v="2025-10-29T00:00:00"/>
    <s v="704-25"/>
    <n v="47.857142857142854"/>
    <n v="40"/>
    <s v="Cassilândia Rec. 01 - MS"/>
    <n v="62507"/>
    <s v="1º"/>
    <n v="36"/>
    <x v="0"/>
    <x v="0"/>
    <d v="2026-03-25T00:00:00"/>
    <s v="704-25"/>
    <n v="40"/>
    <s v="Cassilândia Prod. 02 - MS"/>
    <n v="59694.184999999998"/>
    <d v="2027-02-16T00:00:00"/>
    <n v="68"/>
    <n v="47"/>
    <d v="2027-04-04T00:00:00"/>
  </r>
  <r>
    <s v="Cassilândia"/>
    <x v="5"/>
    <d v="2025-12-31T00:00:00"/>
    <s v="4000 26"/>
    <n v="38.857142857142854"/>
    <n v="44"/>
    <s v="Cassilândia Rec. 04 - MS"/>
    <n v="60000"/>
    <s v="1º"/>
    <n v="26"/>
    <x v="0"/>
    <x v="0"/>
    <d v="2026-05-27T00:00:00"/>
    <s v="4300 26"/>
    <n v="44"/>
    <s v="Cassilândia Prod. 07 - MS"/>
    <n v="57300"/>
    <d v="2027-04-20T00:00:00"/>
    <n v="68"/>
    <n v="37"/>
    <d v="2027-05-27T00:00:00"/>
  </r>
  <r>
    <s v="Cassilândia"/>
    <x v="6"/>
    <d v="2026-01-29T00:00:00"/>
    <s v="4001 26"/>
    <n v="34.714285714285715"/>
    <n v="40"/>
    <s v="Cassilândia Rec. 02 - MS"/>
    <n v="49000"/>
    <s v="1º"/>
    <n v="37"/>
    <x v="1"/>
    <x v="1"/>
    <d v="2026-06-25T00:00:00"/>
    <s v="4301 26"/>
    <n v="40"/>
    <s v="Cassilândia Prod. 04 - MS"/>
    <n v="46795"/>
    <d v="2027-05-19T00:00:00"/>
    <n v="68"/>
    <n v="377"/>
    <d v="2028-05-30T00:00:00"/>
  </r>
  <r>
    <s v="Cassilândia"/>
    <x v="7"/>
    <d v="2026-04-30T00:00:00"/>
    <s v="4002 26"/>
    <n v="21.714285714285715"/>
    <n v="40"/>
    <s v="Cassilândia Rec. 01 - MS"/>
    <n v="60000"/>
    <s v="L"/>
    <n v="45"/>
    <x v="0"/>
    <x v="0"/>
    <d v="2026-09-24T00:00:00"/>
    <s v="4302 26"/>
    <n v="40"/>
    <s v="Cassilândia Prod. 01 - MS"/>
    <n v="26000"/>
    <d v="2027-08-18T00:00:00"/>
    <n v="68"/>
    <n v="-46617"/>
    <d v="1899-12-30T00:00:00"/>
  </r>
  <r>
    <s v="Cassilândia"/>
    <x v="8"/>
    <d v="2026-06-22T00:00:00"/>
    <s v="4003 26"/>
    <n v="14.142857142857142"/>
    <n v="44"/>
    <s v="Cassilândia Rec. 04 - MS"/>
    <n v="60000"/>
    <s v="L"/>
    <n v="45"/>
    <x v="0"/>
    <x v="0"/>
    <d v="2026-11-16T00:00:00"/>
    <s v="4303 26"/>
    <n v="44"/>
    <s v="Cassilândia Prod. 08 - MS"/>
    <n v="57300"/>
    <d v="2027-10-10T00:00:00"/>
    <n v="68"/>
    <n v="-46670"/>
    <d v="1899-12-30T00:00:00"/>
  </r>
  <r>
    <s v="Cassilândia"/>
    <x v="9"/>
    <d v="2026-08-01T00:00:00"/>
    <s v="4004 26"/>
    <n v="8.4285714285714288"/>
    <n v="40"/>
    <s v="Cassilândia Rec. 02 - MS"/>
    <n v="49000"/>
    <s v="L"/>
    <n v="45"/>
    <x v="1"/>
    <x v="1"/>
    <d v="2026-12-26T00:00:00"/>
    <s v="4304 26"/>
    <n v="40"/>
    <s v="Cassilândia Prod. 03 - MS"/>
    <n v="46795"/>
    <d v="2027-11-19T00:00:00"/>
    <n v="68"/>
    <n v="-46710"/>
    <d v="1899-12-30T00:00:00"/>
  </r>
  <r>
    <s v="Cassilândia"/>
    <x v="10"/>
    <d v="2026-11-08T00:00:00"/>
    <s v="4005 26"/>
    <n v="-5.7142857142857144"/>
    <n v="40"/>
    <s v="Cassilândia Rec. 01 - MS"/>
    <n v="60000"/>
    <s v="1ª"/>
    <n v="30"/>
    <x v="0"/>
    <x v="0"/>
    <d v="2027-04-04T00:00:00"/>
    <s v="4300 27"/>
    <n v="40"/>
    <s v="Cassilândia Prod. 02 - MS"/>
    <n v="57300"/>
    <d v="2028-02-26T00:00:00"/>
    <n v="68"/>
    <n v="-46809"/>
    <d v="1899-12-30T00:00:00"/>
  </r>
  <r>
    <s v="Cassilândia"/>
    <x v="11"/>
    <d v="2026-12-31T00:00:00"/>
    <s v="4006 26"/>
    <n v="-13.285714285714286"/>
    <n v="44"/>
    <s v="Cassilândia Rec. 04 - MS"/>
    <n v="60000"/>
    <s v="1ª"/>
    <n v="30"/>
    <x v="0"/>
    <x v="0"/>
    <d v="2027-05-27T00:00:00"/>
    <s v="4301 27"/>
    <n v="44"/>
    <s v="Cassilândia Prod. 07 - MS"/>
    <n v="57300"/>
    <d v="2028-04-19T00:00:00"/>
    <n v="68"/>
    <n v="-46862"/>
    <d v="1899-12-30T00:00:00"/>
  </r>
  <r>
    <s v="Cassilândia"/>
    <x v="12"/>
    <d v="2027-02-09T00:00:00"/>
    <s v="4001 27"/>
    <n v="-19"/>
    <n v="40"/>
    <s v="Cassilândia Rec. 02 - MS"/>
    <n v="49000"/>
    <s v="1ª"/>
    <n v="30"/>
    <x v="1"/>
    <x v="1"/>
    <d v="2027-07-06T00:00:00"/>
    <s v="4302 27"/>
    <n v="40"/>
    <s v="Cassilândia Prod. 04 - MS"/>
    <n v="46795"/>
    <d v="2028-05-29T00:00:00"/>
    <n v="68"/>
    <n v="-46902"/>
    <d v="1899-12-30T00:00:00"/>
  </r>
  <r>
    <s v="Cassilândia"/>
    <x v="13"/>
    <d v="2027-05-04T00:00:00"/>
    <s v="4001 27"/>
    <n v="-31"/>
    <n v="40"/>
    <s v="Cassilândia Rec. 01 - MS"/>
    <n v="60000"/>
    <s v="L"/>
    <n v="45"/>
    <x v="0"/>
    <x v="0"/>
    <d v="2027-09-28T00:00:00"/>
    <s v="4302 27"/>
    <n v="40"/>
    <s v="Cassilândia Prod. 04 - MS"/>
    <n v="57300"/>
    <d v="2028-08-21T00:00:00"/>
    <n v="68"/>
    <n v="-46986"/>
    <d v="1899-12-30T00:00:00"/>
  </r>
  <r>
    <s v="Cassilândia"/>
    <x v="14"/>
    <d v="2027-06-26T00:00:00"/>
    <s v="4001 27"/>
    <n v="-38.571428571428569"/>
    <n v="40"/>
    <s v="Cassilândia Rec. 04 - MS"/>
    <n v="60000"/>
    <s v="L"/>
    <n v="45"/>
    <x v="1"/>
    <x v="1"/>
    <d v="2027-11-20T00:00:00"/>
    <s v="4302 27"/>
    <n v="40"/>
    <s v="Cassilândia Prod. 04 - MS"/>
    <n v="57300"/>
    <d v="2028-10-13T00:00:00"/>
    <n v="68"/>
    <n v="-47039"/>
    <d v="1899-12-30T00:00:00"/>
  </r>
  <r>
    <s v="Cassilândia"/>
    <x v="15"/>
    <d v="2027-08-05T00:00:00"/>
    <s v="4001 27"/>
    <n v="-44.285714285714285"/>
    <n v="40"/>
    <s v="Cassilândia Rec. 02 - MS"/>
    <n v="49000"/>
    <s v="L"/>
    <n v="30"/>
    <x v="1"/>
    <x v="1"/>
    <d v="2027-12-30T00:00:00"/>
    <s v="4302 27"/>
    <n v="40"/>
    <s v="Cassilândia Prod. 04 - MS"/>
    <n v="46795"/>
    <d v="2028-11-22T00:00:00"/>
    <n v="68"/>
    <n v="-47079"/>
    <d v="1899-12-30T00:00:00"/>
  </r>
  <r>
    <s v="Cassilândia"/>
    <x v="16"/>
    <d v="2027-11-12T00:00:00"/>
    <s v="4001 27"/>
    <n v="-58.428571428571431"/>
    <n v="40"/>
    <s v="Cassilândia Rec. 01 - MS"/>
    <n v="60000"/>
    <s v="L"/>
    <n v="30"/>
    <x v="0"/>
    <x v="0"/>
    <d v="2028-04-07T00:00:00"/>
    <s v="4302 27"/>
    <n v="40"/>
    <s v="Cassilândia Prod. 04 - MS"/>
    <n v="57300"/>
    <d v="2029-03-01T00:00:00"/>
    <n v="68"/>
    <n v="-47178"/>
    <d v="1899-12-30T00:00:00"/>
  </r>
  <r>
    <s v="Cassilândia"/>
    <x v="17"/>
    <d v="2028-01-04T00:00:00"/>
    <s v="4001 27"/>
    <n v="-66"/>
    <n v="40"/>
    <s v="Cassilândia Rec. 04 - MS"/>
    <n v="60000"/>
    <s v="L"/>
    <n v="30"/>
    <x v="0"/>
    <x v="0"/>
    <d v="2028-05-30T00:00:00"/>
    <s v="4302 27"/>
    <n v="40"/>
    <s v="Cassilândia Prod. 04 - MS"/>
    <n v="57300"/>
    <d v="2029-04-23T00:00:00"/>
    <n v="68"/>
    <n v="-47231"/>
    <d v="1899-12-30T00:00: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s v="PR"/>
    <x v="0"/>
    <x v="0"/>
    <s v="07-25"/>
    <n v="68"/>
    <s v="10_1295"/>
    <x v="0"/>
    <s v="(N3)"/>
    <n v="0"/>
    <x v="0"/>
    <n v="43"/>
    <x v="0"/>
    <x v="0"/>
    <d v="2025-07-10T00:00:00"/>
    <m/>
    <s v="126_2244"/>
    <s v="Beltrame - SP"/>
    <s v="(N1)"/>
    <s v="11000"/>
    <d v="2026-06-03T00:00:00"/>
    <n v="68"/>
    <n v="50"/>
    <d v="2026-07-23T00:00:00"/>
  </r>
  <r>
    <s v="PR"/>
    <x v="1"/>
    <x v="1"/>
    <s v="09-25"/>
    <n v="67"/>
    <s v="10_203"/>
    <x v="1"/>
    <s v="(N1)"/>
    <n v="60000"/>
    <x v="0"/>
    <n v="28"/>
    <x v="1"/>
    <x v="1"/>
    <d v="2025-07-17T00:00:00"/>
    <s v="144-25"/>
    <s v="10_330"/>
    <s v="Darlan - PR"/>
    <s v="(N1)"/>
    <n v="57000"/>
    <d v="2026-06-03T00:00:00"/>
    <n v="67"/>
    <n v="57"/>
    <d v="2026-07-30T00:00:00"/>
  </r>
  <r>
    <s v="PR"/>
    <x v="2"/>
    <x v="2"/>
    <s v="08-25"/>
    <n v="66"/>
    <s v="117_139"/>
    <x v="2"/>
    <s v="(N4)"/>
    <n v="40000"/>
    <x v="0"/>
    <n v="33"/>
    <x v="1"/>
    <x v="2"/>
    <d v="2025-07-24T00:00:00"/>
    <m/>
    <s v="126_2244"/>
    <s v="Beltrame - SP"/>
    <s v="(N1)"/>
    <s v="13000"/>
    <d v="2026-06-03T00:00:00"/>
    <n v="66"/>
    <n v="50"/>
    <d v="2026-07-23T00:00:00"/>
  </r>
  <r>
    <s v="PR"/>
    <x v="2"/>
    <x v="2"/>
    <s v="08-25"/>
    <n v="68"/>
    <s v="117_139"/>
    <x v="2"/>
    <s v="(N4)"/>
    <m/>
    <x v="0"/>
    <n v="33"/>
    <x v="1"/>
    <x v="2"/>
    <d v="2025-07-24T00:00:00"/>
    <s v="145-25"/>
    <s v="10_859"/>
    <s v="Iguaçu 1 - PR"/>
    <s v="(N1)"/>
    <n v="24000"/>
    <d v="2026-06-17T00:00:00"/>
    <n v="68"/>
    <n v="50"/>
    <d v="2026-08-06T00:00:00"/>
  </r>
  <r>
    <s v="PR"/>
    <x v="3"/>
    <x v="3"/>
    <s v="11-25"/>
    <n v="71"/>
    <s v="128_1367"/>
    <x v="3"/>
    <s v="(N1)"/>
    <n v="54000"/>
    <x v="0"/>
    <n v="29"/>
    <x v="0"/>
    <x v="3"/>
    <d v="2025-07-31T00:00:00"/>
    <s v="146-25"/>
    <s v="10_735"/>
    <s v="Paulo - PR"/>
    <s v="(N1)"/>
    <n v="23000"/>
    <d v="2026-07-15T00:00:00"/>
    <n v="71"/>
    <s v="FIM"/>
    <s v=" "/>
  </r>
  <r>
    <s v="PR"/>
    <x v="3"/>
    <x v="3"/>
    <s v="11-25"/>
    <n v="65"/>
    <s v="128_1367"/>
    <x v="3"/>
    <s v="(N1)"/>
    <m/>
    <x v="0"/>
    <n v="28"/>
    <x v="0"/>
    <x v="3"/>
    <d v="2025-07-31T00:00:00"/>
    <s v="147-25"/>
    <s v="96_1029"/>
    <s v="Bem-te-vi - SC"/>
    <s v="(N1)"/>
    <n v="28000"/>
    <d v="2026-06-03T00:00:00"/>
    <n v="65"/>
    <n v="50"/>
    <d v="2026-07-23T00:00:00"/>
  </r>
  <r>
    <s v="PR"/>
    <x v="4"/>
    <x v="4"/>
    <s v="10-25"/>
    <n v="66"/>
    <s v="10_328"/>
    <x v="4"/>
    <s v="(N3)"/>
    <n v="38000"/>
    <x v="1"/>
    <n v="55"/>
    <x v="1"/>
    <x v="1"/>
    <d v="2025-08-07T00:00:00"/>
    <s v="145-25"/>
    <s v="10_859"/>
    <s v="Iguaçu 1 - PR"/>
    <s v="(N1)"/>
    <n v="36000"/>
    <d v="2026-06-17T00:00:00"/>
    <n v="66"/>
    <n v="57"/>
    <d v="2026-08-13T00:00:00"/>
  </r>
  <r>
    <s v="PR"/>
    <x v="5"/>
    <x v="4"/>
    <s v="12-25"/>
    <n v="66"/>
    <s v="10_857"/>
    <x v="5"/>
    <s v="(N2)"/>
    <n v="60000"/>
    <x v="2"/>
    <n v="28"/>
    <x v="0"/>
    <x v="0"/>
    <d v="2025-08-07T00:00:00"/>
    <s v="148-25"/>
    <s v="10_329"/>
    <s v="Rossi 1 - PR"/>
    <s v="(N1)"/>
    <n v="57000"/>
    <d v="2026-06-17T00:00:00"/>
    <n v="66"/>
    <n v="57"/>
    <d v="2026-08-13T00:00:00"/>
  </r>
  <r>
    <s v="PR"/>
    <x v="6"/>
    <x v="5"/>
    <s v="14-25"/>
    <n v="66"/>
    <s v="124_47"/>
    <x v="6"/>
    <s v="(N1)"/>
    <n v="15000"/>
    <x v="0"/>
    <n v="15"/>
    <x v="0"/>
    <x v="0"/>
    <d v="2025-08-21T00:00:00"/>
    <s v="150-25"/>
    <s v="11_150"/>
    <s v="São Roque - PR"/>
    <s v="(N1)"/>
    <n v="13950"/>
    <d v="2026-07-01T00:00:00"/>
    <n v="66"/>
    <n v="43"/>
    <d v="2026-08-13T00:00:00"/>
  </r>
  <r>
    <s v="PR"/>
    <x v="6"/>
    <x v="5"/>
    <s v="13-25"/>
    <n v="64"/>
    <s v="124_47"/>
    <x v="6"/>
    <s v="(N1)"/>
    <n v="30000"/>
    <x v="0"/>
    <n v="15"/>
    <x v="0"/>
    <x v="0"/>
    <d v="2025-08-21T00:00:00"/>
    <s v="149-25"/>
    <s v="10_860"/>
    <s v="Canguçu 1 - PR"/>
    <s v="(N1)"/>
    <n v="28800"/>
    <d v="2026-06-17T00:00:00"/>
    <n v="64"/>
    <n v="71"/>
    <d v="2026-08-27T00:00:00"/>
  </r>
  <r>
    <s v="PR"/>
    <x v="7"/>
    <x v="6"/>
    <s v="15-25"/>
    <n v="63"/>
    <s v="139_49"/>
    <x v="7"/>
    <s v="(N1)"/>
    <n v="60000"/>
    <x v="3"/>
    <n v="27"/>
    <x v="0"/>
    <x v="0"/>
    <d v="2025-08-28T00:00:00"/>
    <s v="149-25"/>
    <s v="10_860"/>
    <s v="Canguçu 1 - PR"/>
    <s v="(N1)"/>
    <n v="29984"/>
    <d v="2026-06-17T00:00:00"/>
    <n v="63"/>
    <n v="71"/>
    <d v="2026-08-27T00:00:00"/>
  </r>
  <r>
    <s v="PR"/>
    <x v="7"/>
    <x v="6"/>
    <s v="15-25"/>
    <n v="65"/>
    <s v="139_49"/>
    <x v="7"/>
    <s v="(N1)"/>
    <m/>
    <x v="3"/>
    <n v="27"/>
    <x v="0"/>
    <x v="0"/>
    <d v="2025-08-28T00:00:00"/>
    <s v="150-25"/>
    <s v="11_150"/>
    <s v="São Roque - PR"/>
    <s v="(N1)"/>
    <n v="10566"/>
    <d v="2026-07-01T00:00:00"/>
    <n v="65"/>
    <n v="43"/>
    <d v="2026-08-13T00:00:00"/>
  </r>
  <r>
    <s v="PR"/>
    <x v="7"/>
    <x v="6"/>
    <s v="15-25"/>
    <n v="64"/>
    <s v="139_49"/>
    <x v="7"/>
    <s v="(N1)"/>
    <m/>
    <x v="3"/>
    <n v="27"/>
    <x v="0"/>
    <x v="0"/>
    <d v="2025-08-28T00:00:00"/>
    <s v="151-25"/>
    <s v="120_45"/>
    <s v="São Pedro - PR"/>
    <s v="(N1)"/>
    <n v="4246"/>
    <d v="2026-06-24T00:00:00"/>
    <n v="64"/>
    <n v="43"/>
    <d v="2026-08-06T00:00:00"/>
  </r>
  <r>
    <s v="PR"/>
    <x v="7"/>
    <x v="6"/>
    <s v="15-25"/>
    <n v="65"/>
    <s v="139_49"/>
    <x v="7"/>
    <s v="(N1)"/>
    <m/>
    <x v="3"/>
    <n v="27"/>
    <x v="0"/>
    <x v="0"/>
    <d v="2025-08-28T00:00:00"/>
    <s v="152-25"/>
    <s v="102_351"/>
    <s v="Ouro Verde - SC"/>
    <s v="(N1)"/>
    <n v="6648"/>
    <d v="2026-07-01T00:00:00"/>
    <n v="65"/>
    <s v="FIM"/>
    <s v="FIM"/>
  </r>
  <r>
    <s v="PR"/>
    <x v="7"/>
    <x v="6"/>
    <s v="15-25"/>
    <n v="66"/>
    <s v="139_49"/>
    <x v="7"/>
    <s v="(N1)"/>
    <m/>
    <x v="3"/>
    <n v="27"/>
    <x v="0"/>
    <x v="0"/>
    <d v="2025-08-28T00:00:00"/>
    <m/>
    <s v="130_451"/>
    <s v="Brodoski - SP"/>
    <s v="(N1)"/>
    <n v="5992"/>
    <d v="2026-07-08T00:00:00"/>
    <n v="66"/>
    <n v="43"/>
    <d v="2026-08-20T00:00:00"/>
  </r>
  <r>
    <s v="PR"/>
    <x v="7"/>
    <x v="6"/>
    <s v="16-25"/>
    <n v="64"/>
    <s v="139_49"/>
    <x v="7"/>
    <s v="(N1)"/>
    <n v="45000"/>
    <x v="3"/>
    <n v="27"/>
    <x v="0"/>
    <x v="0"/>
    <d v="2025-08-28T00:00:00"/>
    <s v="151-25"/>
    <s v="120_45"/>
    <s v="São Pedro - PR"/>
    <s v="(N1)"/>
    <n v="23000"/>
    <d v="2026-06-24T00:00:00"/>
    <n v="64"/>
    <n v="43"/>
    <d v="2026-08-06T00:00:00"/>
  </r>
  <r>
    <s v="PR"/>
    <x v="7"/>
    <x v="6"/>
    <s v="16-25"/>
    <n v="66"/>
    <s v="139_49"/>
    <x v="7"/>
    <s v="(N1)"/>
    <m/>
    <x v="3"/>
    <n v="27"/>
    <x v="0"/>
    <x v="0"/>
    <d v="2025-08-28T00:00:00"/>
    <s v="152-25"/>
    <s v="102_351"/>
    <s v="Ouro Verde - SC"/>
    <s v="(N1)"/>
    <n v="18000"/>
    <d v="2026-07-08T00:00:00"/>
    <n v="66"/>
    <s v="FIM"/>
    <s v="FIM"/>
  </r>
  <r>
    <s v="PR"/>
    <x v="8"/>
    <x v="6"/>
    <s v="17-25"/>
    <n v="65"/>
    <s v="112_29"/>
    <x v="8"/>
    <s v="(N1)"/>
    <n v="16000"/>
    <x v="3"/>
    <n v="22"/>
    <x v="0"/>
    <x v="0"/>
    <d v="2025-08-28T00:00:00"/>
    <s v="150-25"/>
    <s v="11_150"/>
    <s v="São Roque - PR"/>
    <s v="(N1)"/>
    <n v="14900"/>
    <d v="2026-07-01T00:00:00"/>
    <n v="65"/>
    <n v="43"/>
    <d v="2026-08-13T00:00:00"/>
  </r>
  <r>
    <s v="PR"/>
    <x v="9"/>
    <x v="7"/>
    <s v="18-25"/>
    <n v="64"/>
    <s v="112_29"/>
    <x v="8"/>
    <s v="(N1)"/>
    <n v="107000"/>
    <x v="3"/>
    <n v="22"/>
    <x v="1"/>
    <x v="1"/>
    <d v="2025-09-04T00:00:00"/>
    <s v="153-25"/>
    <s v="10_1027"/>
    <s v="Bragapolis - PR"/>
    <s v="(N1)"/>
    <n v="69984"/>
    <d v="2026-07-01T00:00:00"/>
    <n v="64"/>
    <n v="64"/>
    <d v="2026-09-03T00:00:00"/>
  </r>
  <r>
    <s v="PR"/>
    <x v="9"/>
    <x v="7"/>
    <s v="18-25"/>
    <n v="61"/>
    <s v="112_29"/>
    <x v="8"/>
    <s v="(N1)"/>
    <m/>
    <x v="3"/>
    <n v="22"/>
    <x v="1"/>
    <x v="1"/>
    <d v="2025-09-04T00:00:00"/>
    <s v="154-25"/>
    <s v="84_159"/>
    <s v="Faxinal 1 - SC"/>
    <s v="(N1)"/>
    <n v="29848"/>
    <d v="2026-06-10T00:00:00"/>
    <n v="61"/>
    <n v="78"/>
    <d v="2026-08-27T00:00:00"/>
  </r>
  <r>
    <s v="PR"/>
    <x v="10"/>
    <x v="8"/>
    <s v="26-25"/>
    <n v="67"/>
    <s v="10_1938"/>
    <x v="9"/>
    <s v="(N1)"/>
    <n v="28000"/>
    <x v="0"/>
    <n v="26"/>
    <x v="0"/>
    <x v="0"/>
    <d v="2025-09-29T00:00:00"/>
    <s v="156-25"/>
    <s v="25_53"/>
    <s v="Mariott - PR"/>
    <s v="(N1)"/>
    <n v="21763"/>
    <d v="2026-07-29T00:00:00"/>
    <n v="67"/>
    <n v="64"/>
    <d v="2026-10-01T00:00:00"/>
  </r>
  <r>
    <s v="PR"/>
    <x v="11"/>
    <x v="9"/>
    <s v="20-25"/>
    <n v="66"/>
    <s v="112_16"/>
    <x v="10"/>
    <s v="(N3)"/>
    <n v="60000"/>
    <x v="3"/>
    <n v="16"/>
    <x v="0"/>
    <x v="3"/>
    <d v="2025-09-18T00:00:00"/>
    <s v="157-25"/>
    <s v="10_1296"/>
    <s v="Canguçu 2 - PR"/>
    <s v="(N2)"/>
    <n v="60600"/>
    <d v="2026-07-29T00:00:00"/>
    <n v="66"/>
    <n v="50"/>
    <d v="2026-09-17T00:00:00"/>
  </r>
  <r>
    <s v="PR"/>
    <x v="12"/>
    <x v="9"/>
    <s v="22-25"/>
    <n v="66"/>
    <s v="112_1939"/>
    <x v="11"/>
    <s v="(N4)"/>
    <n v="44000"/>
    <x v="3"/>
    <n v="35"/>
    <x v="0"/>
    <x v="0"/>
    <d v="2025-09-18T00:00:00"/>
    <s v="158-25"/>
    <s v="17_105"/>
    <s v="Bela Vista 2 - PR"/>
    <s v="(N2)"/>
    <n v="42933"/>
    <d v="2026-07-29T00:00:00"/>
    <n v="66"/>
    <n v="36"/>
    <d v="2026-09-03T00:00:00"/>
  </r>
  <r>
    <s v="PR"/>
    <x v="13"/>
    <x v="10"/>
    <s v="22-25"/>
    <n v="67"/>
    <s v="112_1939"/>
    <x v="11"/>
    <s v="(N4)"/>
    <n v="40000"/>
    <x v="3"/>
    <n v="35"/>
    <x v="0"/>
    <x v="0"/>
    <d v="2025-09-25T00:00:00"/>
    <s v="161-25"/>
    <s v="118_832"/>
    <s v="Renascença 1 - PR"/>
    <s v="(N1)"/>
    <n v="38624"/>
    <d v="2026-08-12T00:00:00"/>
    <n v="67"/>
    <n v="78"/>
    <d v="2026-10-29T00:00:00"/>
  </r>
  <r>
    <s v="PR"/>
    <x v="14"/>
    <x v="10"/>
    <s v="23-25"/>
    <n v="65"/>
    <s v="10_776"/>
    <x v="12"/>
    <s v="(N3)"/>
    <n v="28000"/>
    <x v="3"/>
    <n v="16"/>
    <x v="0"/>
    <x v="0"/>
    <d v="2025-06-19T00:00:00"/>
    <s v="156-25"/>
    <s v="25_53"/>
    <s v="Mariott - PR"/>
    <s v="(N1)"/>
    <n v="21661"/>
    <d v="2026-07-29T00:00:00"/>
    <n v="65"/>
    <n v="64"/>
    <d v="2026-10-01T00:00:00"/>
  </r>
  <r>
    <s v="PR"/>
    <x v="15"/>
    <x v="10"/>
    <s v="24-25"/>
    <n v="66"/>
    <s v="10_776"/>
    <x v="12"/>
    <s v="(N3)"/>
    <n v="67392"/>
    <x v="3"/>
    <n v="15"/>
    <x v="1"/>
    <x v="1"/>
    <d v="2025-09-25T00:00:00"/>
    <s v="160-25"/>
    <s v="10_1460"/>
    <s v="Iguaçu 2 - PR"/>
    <s v="(N3)"/>
    <n v="63000"/>
    <d v="2026-08-05T00:00:00"/>
    <n v="66"/>
    <n v="43"/>
    <d v="2026-09-17T00:00:00"/>
  </r>
  <r>
    <s v="PR"/>
    <x v="15"/>
    <x v="10"/>
    <s v="24-25"/>
    <n v="65"/>
    <s v="10_776"/>
    <x v="12"/>
    <s v="(N3)"/>
    <n v="0"/>
    <x v="3"/>
    <n v="15"/>
    <x v="0"/>
    <x v="0"/>
    <d v="2025-09-25T00:00:00"/>
    <n v="130025"/>
    <s v="84_162"/>
    <s v="Faxinal 2 - SC"/>
    <s v="(N2)"/>
    <n v="6000"/>
    <d v="2026-07-29T00:00:00"/>
    <n v="65"/>
    <n v="57"/>
    <d v="2026-09-24T00:00:00"/>
  </r>
  <r>
    <s v="PR"/>
    <x v="13"/>
    <x v="11"/>
    <s v="25-25"/>
    <n v="68"/>
    <s v="10_169"/>
    <x v="13"/>
    <s v="(N1)"/>
    <n v="16000"/>
    <x v="2"/>
    <n v="33"/>
    <x v="0"/>
    <x v="0"/>
    <d v="2025-10-02T00:00:00"/>
    <s v="159-25"/>
    <s v="10_734"/>
    <s v="Nuernberg - PR"/>
    <s v="(N1)"/>
    <n v="13000"/>
    <d v="2026-08-26T00:00:00"/>
    <n v="68"/>
    <s v="FIM"/>
    <s v=" "/>
  </r>
  <r>
    <s v="PR"/>
    <x v="16"/>
    <x v="11"/>
    <s v="21-25"/>
    <n v="66"/>
    <s v="10_169"/>
    <x v="13"/>
    <s v="(N1)"/>
    <n v="42000"/>
    <x v="2"/>
    <n v="33"/>
    <x v="0"/>
    <x v="0"/>
    <d v="2025-10-02T00:00:00"/>
    <s v="161-25"/>
    <s v="118_832"/>
    <s v="Renascença 1 - PR"/>
    <s v="(N1)"/>
    <n v="22000"/>
    <d v="2026-08-12T00:00:00"/>
    <n v="66"/>
    <n v="78"/>
    <d v="2026-10-29T00:00:00"/>
  </r>
  <r>
    <s v="PR"/>
    <x v="16"/>
    <x v="11"/>
    <s v="21-25"/>
    <n v="64"/>
    <s v="10_169"/>
    <x v="13"/>
    <s v="(N1)"/>
    <m/>
    <x v="2"/>
    <n v="33"/>
    <x v="0"/>
    <x v="0"/>
    <d v="2025-10-02T00:00:00"/>
    <n v="130025"/>
    <s v="84_162"/>
    <s v="Faxinal 2 - SC"/>
    <s v="(N2)"/>
    <n v="9000"/>
    <d v="2026-07-29T00:00:00"/>
    <n v="64"/>
    <n v="57"/>
    <d v="2026-09-24T00:00:00"/>
  </r>
  <r>
    <s v="PR"/>
    <x v="16"/>
    <x v="11"/>
    <s v="21-25"/>
    <n v="67"/>
    <s v="10_169"/>
    <x v="13"/>
    <s v="(N1)"/>
    <m/>
    <x v="2"/>
    <n v="33"/>
    <x v="0"/>
    <x v="0"/>
    <d v="2025-10-02T00:00:00"/>
    <n v="130125"/>
    <s v="10_397"/>
    <s v="Nona Tere - PR"/>
    <s v="(N1)"/>
    <n v="12600"/>
    <d v="2026-08-19T00:00:00"/>
    <n v="67"/>
    <n v="71"/>
    <d v="2026-10-29T00:00:00"/>
  </r>
  <r>
    <s v="PR"/>
    <x v="17"/>
    <x v="12"/>
    <s v="31-25"/>
    <n v="65"/>
    <s v="10_1250"/>
    <x v="14"/>
    <s v="(N2)"/>
    <n v="60000"/>
    <x v="1"/>
    <n v="49"/>
    <x v="0"/>
    <x v="0"/>
    <d v="2025-10-16T00:00:00"/>
    <n v="130125"/>
    <s v="10_397"/>
    <s v="Nona Tere - PR"/>
    <s v="(N1)"/>
    <n v="47400"/>
    <d v="2026-08-19T00:00:00"/>
    <n v="65"/>
    <n v="71"/>
    <d v="2026-10-29T00:00:00"/>
  </r>
  <r>
    <s v="PR"/>
    <x v="17"/>
    <x v="12"/>
    <s v="31-25"/>
    <n v="66"/>
    <s v="10_1250"/>
    <x v="14"/>
    <s v="(N2)"/>
    <n v="0"/>
    <x v="1"/>
    <n v="49"/>
    <x v="1"/>
    <x v="1"/>
    <d v="2025-10-16T00:00:00"/>
    <n v="130225"/>
    <s v="10_179"/>
    <s v="Miotto - PR"/>
    <s v="(N1)"/>
    <n v="9600"/>
    <d v="2026-08-26T00:00:00"/>
    <n v="66"/>
    <s v="FIM"/>
    <s v="FIM"/>
  </r>
  <r>
    <s v="PR"/>
    <x v="18"/>
    <x v="13"/>
    <s v="28-25"/>
    <n v="67"/>
    <s v="10_369"/>
    <x v="15"/>
    <s v="(N2)"/>
    <n v="72000"/>
    <x v="3"/>
    <n v="12"/>
    <x v="1"/>
    <x v="1"/>
    <d v="2025-10-23T00:00:00"/>
    <n v="130325"/>
    <s v="10_48"/>
    <s v="São Miguel - PR"/>
    <s v="(N1)"/>
    <n v="42000"/>
    <d v="2026-09-09T00:00:00"/>
    <n v="67"/>
    <n v="29"/>
    <d v="2026-10-08T00:00:00"/>
  </r>
  <r>
    <s v="PR"/>
    <x v="18"/>
    <x v="13"/>
    <s v="28-25"/>
    <n v="66"/>
    <s v="10_369"/>
    <x v="15"/>
    <s v="(N2)"/>
    <m/>
    <x v="3"/>
    <n v="12"/>
    <x v="1"/>
    <x v="1"/>
    <d v="2025-10-23T00:00:00"/>
    <n v="130225"/>
    <s v="10_179"/>
    <s v="Miotto - PR"/>
    <s v="(N1)"/>
    <n v="27000"/>
    <d v="2026-09-02T00:00:00"/>
    <n v="66"/>
    <s v="FIM"/>
    <s v="FIM"/>
  </r>
  <r>
    <s v="PR"/>
    <x v="19"/>
    <x v="13"/>
    <s v="32-25"/>
    <n v="66"/>
    <s v="10_140"/>
    <x v="16"/>
    <s v="(N1)"/>
    <n v="42000"/>
    <x v="1"/>
    <n v="44"/>
    <x v="0"/>
    <x v="0"/>
    <d v="2025-10-23T00:00:00"/>
    <n v="130425"/>
    <s v="13_1458"/>
    <s v="Fiorin - SC"/>
    <s v="(N1)"/>
    <n v="23000"/>
    <d v="2026-09-02T00:00:00"/>
    <n v="66"/>
    <n v="36"/>
    <d v="2026-10-08T00:00:00"/>
  </r>
  <r>
    <s v="PR"/>
    <x v="19"/>
    <x v="13"/>
    <s v="32-25"/>
    <n v="62"/>
    <s v="10_140"/>
    <x v="16"/>
    <s v="(N1)"/>
    <m/>
    <x v="1"/>
    <n v="44"/>
    <x v="0"/>
    <x v="0"/>
    <d v="2025-10-23T00:00:00"/>
    <n v="130525"/>
    <s v="85_158"/>
    <s v="Tortato - SC"/>
    <s v="(N1)"/>
    <n v="17000"/>
    <d v="2026-08-05T00:00:00"/>
    <n v="62"/>
    <n v="64"/>
    <d v="2026-10-08T00:00:00"/>
  </r>
  <r>
    <s v="PR"/>
    <x v="20"/>
    <x v="13"/>
    <s v="33-25"/>
    <n v="60"/>
    <s v="27_181"/>
    <x v="17"/>
    <s v="(N2)"/>
    <n v="42000"/>
    <x v="3"/>
    <n v="20"/>
    <x v="0"/>
    <x v="4"/>
    <d v="2025-10-23T00:00:00"/>
    <n v="130625"/>
    <s v="117_202"/>
    <s v="Bom sucesso 4 - PR"/>
    <s v="(N5)"/>
    <n v="40000"/>
    <d v="2026-07-22T00:00:00"/>
    <n v="60"/>
    <n v="134"/>
    <d v="2026-12-03T00:00:00"/>
  </r>
  <r>
    <s v="PR"/>
    <x v="21"/>
    <x v="14"/>
    <s v="34-25"/>
    <n v="66"/>
    <s v="10_267"/>
    <x v="18"/>
    <s v="(N1)"/>
    <n v="63000"/>
    <x v="0"/>
    <n v="28"/>
    <x v="0"/>
    <x v="0"/>
    <d v="2025-10-30T00:00:00"/>
    <n v="130725"/>
    <s v="84_170"/>
    <s v="Faxinal 3 - SC"/>
    <s v="(N3)"/>
    <n v="54000"/>
    <d v="2026-09-09T00:00:00"/>
    <n v="66"/>
    <n v="57"/>
    <d v="2026-11-05T00:00:00"/>
  </r>
  <r>
    <s v="PR"/>
    <x v="22"/>
    <x v="15"/>
    <s v="34-25"/>
    <n v="64"/>
    <s v="10_267"/>
    <x v="18"/>
    <s v="(N1)"/>
    <n v="63000"/>
    <x v="0"/>
    <n v="29"/>
    <x v="0"/>
    <x v="0"/>
    <d v="2025-11-06T00:00:00"/>
    <n v="130825"/>
    <s v="13_1080"/>
    <s v="Ponte serrada 2 - SC"/>
    <s v="(N1)"/>
    <n v="45000"/>
    <d v="2026-09-02T00:00:00"/>
    <n v="64"/>
    <n v="36"/>
    <d v="2026-10-08T00:00:00"/>
  </r>
  <r>
    <s v="PR"/>
    <x v="22"/>
    <x v="15"/>
    <s v="34-25"/>
    <n v="65"/>
    <s v="10_267"/>
    <x v="18"/>
    <s v="(N1)"/>
    <m/>
    <x v="0"/>
    <n v="29"/>
    <x v="0"/>
    <x v="0"/>
    <d v="2025-11-06T00:00:00"/>
    <n v="130925"/>
    <s v="10_69"/>
    <s v="Flor da serra - PR"/>
    <s v="(N1)"/>
    <n v="22000"/>
    <d v="2026-09-09T00:00:00"/>
    <n v="65"/>
    <n v="29"/>
    <d v="2026-10-08T00:00:00"/>
  </r>
  <r>
    <s v="PR"/>
    <x v="23"/>
    <x v="15"/>
    <s v="29-25"/>
    <n v="64"/>
    <s v="10_775"/>
    <x v="19"/>
    <s v="(N1)"/>
    <n v="50000"/>
    <x v="0"/>
    <n v="22"/>
    <x v="1"/>
    <x v="1"/>
    <d v="2025-11-06T00:00:00"/>
    <n v="131025"/>
    <s v="10_858"/>
    <s v="Salto Caxias Prod. 2 - PR"/>
    <s v="(N3)"/>
    <n v="48000"/>
    <d v="2026-09-02T00:00:00"/>
    <n v="64"/>
    <n v="64"/>
    <d v="2026-11-05T00:00:00"/>
  </r>
  <r>
    <s v="PR"/>
    <x v="24"/>
    <x v="16"/>
    <s v="37-25"/>
    <n v="60"/>
    <s v="10_130"/>
    <x v="20"/>
    <s v="(N1)"/>
    <n v="42000"/>
    <x v="1"/>
    <n v="57"/>
    <x v="0"/>
    <x v="3"/>
    <d v="2025-07-31T00:00:00"/>
    <n v="131625"/>
    <s v="117_157"/>
    <s v="Bom sucesso 3 - PR"/>
    <s v="(N3)"/>
    <n v="41160"/>
    <d v="2026-08-12T00:00:00"/>
    <n v="60"/>
    <n v="78"/>
    <d v="2026-10-29T00:00:00"/>
  </r>
  <r>
    <s v="PR"/>
    <x v="25"/>
    <x v="16"/>
    <s v="36-25"/>
    <n v="60"/>
    <s v="10_130"/>
    <x v="20"/>
    <s v="(N1)"/>
    <n v="42000"/>
    <x v="1"/>
    <n v="57"/>
    <x v="0"/>
    <x v="3"/>
    <d v="2025-11-13T00:00:00"/>
    <n v="131125"/>
    <s v="101_1079"/>
    <s v="Ponte serrada 1 - SC"/>
    <s v="(N1)"/>
    <n v="30000"/>
    <d v="2026-08-12T00:00:00"/>
    <n v="60"/>
    <n v="43"/>
    <d v="2026-09-24T00:00:00"/>
  </r>
  <r>
    <s v="PR"/>
    <x v="25"/>
    <x v="16"/>
    <s v="36-25"/>
    <n v="61"/>
    <s v="10_130"/>
    <x v="20"/>
    <s v="(N1)"/>
    <m/>
    <x v="1"/>
    <n v="57"/>
    <x v="0"/>
    <x v="3"/>
    <d v="2025-11-13T00:00:00"/>
    <n v="131225"/>
    <s v="10_44"/>
    <s v="São José - PR"/>
    <s v="(N1)"/>
    <n v="10000"/>
    <d v="2026-08-19T00:00:00"/>
    <n v="61"/>
    <n v="50"/>
    <d v="2026-10-08T00:00:00"/>
  </r>
  <r>
    <s v="PR"/>
    <x v="24"/>
    <x v="16"/>
    <s v="35-25"/>
    <n v="62"/>
    <s v="10_326"/>
    <x v="21"/>
    <s v="(N1)"/>
    <n v="38000"/>
    <x v="0"/>
    <n v="8"/>
    <x v="1"/>
    <x v="1"/>
    <d v="2025-11-13T00:00:00"/>
    <n v="131425"/>
    <s v="117_219"/>
    <s v="Bom sucesso 5 - PR"/>
    <s v="(N6)"/>
    <n v="36000"/>
    <d v="2026-08-26T00:00:00"/>
    <n v="62"/>
    <n v="120"/>
    <d v="2026-12-24T00:00:00"/>
  </r>
  <r>
    <s v="PR"/>
    <x v="25"/>
    <x v="16"/>
    <s v="27-25"/>
    <n v="66.714285714285708"/>
    <s v="112_67"/>
    <x v="22"/>
    <s v="(N2)"/>
    <n v="72000"/>
    <x v="0"/>
    <n v="27"/>
    <x v="1"/>
    <x v="1"/>
    <d v="2025-11-13T00:00:00"/>
    <n v="131525"/>
    <s v="116_2297"/>
    <s v="Vora 1 - PR"/>
    <s v="(N1)"/>
    <n v="64100"/>
    <d v="2026-10-14T00:00:00"/>
    <n v="69"/>
    <n v="50"/>
    <d v="2026-12-03T00:00:00"/>
  </r>
  <r>
    <s v="PR"/>
    <x v="26"/>
    <x v="17"/>
    <s v="38-25"/>
    <n v="65.714285714285708"/>
    <s v="10_180"/>
    <x v="23"/>
    <s v="(N1)"/>
    <n v="46000"/>
    <x v="3"/>
    <n v="29"/>
    <x v="1"/>
    <x v="1"/>
    <d v="2025-11-20T00:00:00"/>
    <n v="131525"/>
    <s v="116_2297"/>
    <s v="Vora 1 - PR"/>
    <s v="(N1)"/>
    <n v="16000"/>
    <d v="2026-10-14T00:00:00"/>
    <n v="68"/>
    <n v="50"/>
    <d v="2026-12-03T00:00:00"/>
  </r>
  <r>
    <s v="PR"/>
    <x v="26"/>
    <x v="17"/>
    <s v="38-25"/>
    <n v="60"/>
    <s v="10_180"/>
    <x v="23"/>
    <s v="(N1)"/>
    <m/>
    <x v="3"/>
    <n v="29"/>
    <x v="1"/>
    <x v="1"/>
    <d v="2025-11-20T00:00:00"/>
    <n v="131325"/>
    <s v="10_44"/>
    <s v="São José - PR"/>
    <s v="(N1)"/>
    <n v="20000"/>
    <d v="2026-08-19T00:00:00"/>
    <n v="60"/>
    <n v="50"/>
    <d v="2026-10-08T00:00:00"/>
  </r>
  <r>
    <s v="PR"/>
    <x v="26"/>
    <x v="17"/>
    <s v="38-25"/>
    <n v="65.714285714285708"/>
    <s v="10_180"/>
    <x v="23"/>
    <s v="(N1)"/>
    <m/>
    <x v="3"/>
    <n v="29"/>
    <x v="1"/>
    <x v="1"/>
    <d v="2025-11-20T00:00:00"/>
    <n v="131425"/>
    <s v="117_219"/>
    <s v="Bom sucesso 5 - PR"/>
    <s v="(N6)"/>
    <n v="3744"/>
    <d v="2026-09-30T00:00:00"/>
    <n v="66"/>
    <n v="120"/>
    <d v="2027-01-28T00:00:00"/>
  </r>
  <r>
    <s v="PR"/>
    <x v="26"/>
    <x v="17"/>
    <s v="38-25"/>
    <n v="65.714285714285708"/>
    <s v="10_180"/>
    <x v="23"/>
    <s v="(N1)"/>
    <m/>
    <x v="3"/>
    <n v="29"/>
    <x v="1"/>
    <x v="1"/>
    <d v="2025-11-20T00:00:00"/>
    <n v="131725"/>
    <s v="26_167"/>
    <s v="Salto 2 - PR"/>
    <s v="(N2)"/>
    <n v="3744"/>
    <d v="2026-09-30T00:00:00"/>
    <n v="66"/>
    <n v="57"/>
    <d v="2026-11-26T00:00:00"/>
  </r>
  <r>
    <s v="PR"/>
    <x v="27"/>
    <x v="18"/>
    <s v="39-25"/>
    <n v="64.714285714285708"/>
    <s v="10_180"/>
    <x v="23"/>
    <s v="(N1)"/>
    <n v="34000"/>
    <x v="3"/>
    <n v="29"/>
    <x v="1"/>
    <x v="1"/>
    <d v="2025-11-27T00:00:00"/>
    <n v="131725"/>
    <s v="26_167"/>
    <s v="Salto 2 - PR"/>
    <s v="(N2)"/>
    <n v="33320"/>
    <d v="2026-09-30T00:00:00"/>
    <n v="65"/>
    <n v="57"/>
    <d v="2026-11-26T00:00:00"/>
  </r>
  <r>
    <s v="PR"/>
    <x v="28"/>
    <x v="18"/>
    <s v="40-25"/>
    <n v="64.714285714285708"/>
    <s v="139_149"/>
    <x v="24"/>
    <s v="(N2)"/>
    <n v="60000"/>
    <x v="2"/>
    <n v="14"/>
    <x v="0"/>
    <x v="0"/>
    <d v="2025-11-27T00:00:00"/>
    <n v="131825"/>
    <s v="123_1537"/>
    <s v="Fronteira 2 - PR"/>
    <s v="(N2)"/>
    <n v="57000"/>
    <d v="2026-10-14T00:00:00"/>
    <n v="67"/>
    <n v="64"/>
    <d v="2026-12-17T00:00:00"/>
  </r>
  <r>
    <s v="PR"/>
    <x v="28"/>
    <x v="18"/>
    <s v="41-25"/>
    <n v="63"/>
    <s v="139_149"/>
    <x v="24"/>
    <s v="(N2)"/>
    <n v="28000"/>
    <x v="2"/>
    <n v="14"/>
    <x v="0"/>
    <x v="0"/>
    <d v="2025-11-27T00:00:00"/>
    <n v="131925"/>
    <s v="10_856"/>
    <s v="JS - PR"/>
    <s v="(N1)"/>
    <n v="27440"/>
    <d v="2026-09-16T00:00:00"/>
    <n v="63"/>
    <n v="57"/>
    <d v="2026-11-12T00:00:00"/>
  </r>
  <r>
    <s v="PR"/>
    <x v="29"/>
    <x v="19"/>
    <s v="42-25"/>
    <n v="63"/>
    <s v="10_116"/>
    <x v="25"/>
    <s v="(N1)"/>
    <n v="60000"/>
    <x v="1"/>
    <n v="62"/>
    <x v="0"/>
    <x v="0"/>
    <d v="2025-12-04T00:00:00"/>
    <n v="131925"/>
    <s v="10_856"/>
    <s v="JS - PR"/>
    <s v="(N1)"/>
    <n v="6000"/>
    <d v="2026-09-23T00:00:00"/>
    <n v="63"/>
    <n v="57"/>
    <d v="2026-11-19T00:00:00"/>
  </r>
  <r>
    <s v="PR"/>
    <x v="29"/>
    <x v="19"/>
    <s v="42-25"/>
    <n v="63"/>
    <s v="10_116"/>
    <x v="25"/>
    <s v="(N1)"/>
    <m/>
    <x v="1"/>
    <n v="62"/>
    <x v="0"/>
    <x v="0"/>
    <d v="2025-12-04T00:00:00"/>
    <n v="132025"/>
    <s v="90_861"/>
    <s v="Marafon - PR"/>
    <s v="(N1)"/>
    <n v="33000"/>
    <d v="2026-09-23T00:00:00"/>
    <n v="63"/>
    <n v="99"/>
    <d v="2026-12-31T00:00:00"/>
  </r>
  <r>
    <s v="PR"/>
    <x v="29"/>
    <x v="19"/>
    <s v="42-25"/>
    <n v="61"/>
    <s v="10_116"/>
    <x v="25"/>
    <s v="(N1)"/>
    <m/>
    <x v="1"/>
    <n v="62"/>
    <x v="0"/>
    <x v="0"/>
    <d v="2025-12-04T00:00:00"/>
    <n v="132425"/>
    <s v="10_367"/>
    <s v="Ilha Bella 1 - PR"/>
    <s v="(N1)"/>
    <n v="19000"/>
    <d v="2026-09-09T00:00:00"/>
    <n v="61"/>
    <n v="64"/>
    <d v="2026-11-12T00:00:00"/>
  </r>
  <r>
    <s v="PR"/>
    <x v="30"/>
    <x v="20"/>
    <s v="44-25"/>
    <n v="59"/>
    <s v="10_1405"/>
    <x v="26"/>
    <s v="(N1)"/>
    <n v="60000"/>
    <x v="0"/>
    <n v="23"/>
    <x v="0"/>
    <x v="5"/>
    <d v="2025-12-18T00:00:00"/>
    <n v="132125"/>
    <s v="10_367"/>
    <s v="Ilha Bella 1 - PR"/>
    <s v="(N1)"/>
    <n v="57000"/>
    <d v="2026-09-09T00:00:00"/>
    <n v="59"/>
    <n v="64"/>
    <d v="2026-11-12T00:00:00"/>
  </r>
  <r>
    <s v="PR"/>
    <x v="31"/>
    <x v="21"/>
    <s v="45-25"/>
    <n v="60.714285714285715"/>
    <s v="27_165"/>
    <x v="27"/>
    <s v="(N1)"/>
    <n v="42000"/>
    <x v="0"/>
    <n v="14"/>
    <x v="0"/>
    <x v="0"/>
    <d v="2025-12-25T00:00:00"/>
    <n v="132225"/>
    <s v="17_107"/>
    <s v="Bela Vista 4 - PR"/>
    <s v="(N4)"/>
    <n v="40000"/>
    <d v="2026-09-30T00:00:00"/>
    <n v="61"/>
    <n v="43"/>
    <d v="2026-11-12T00:00:00"/>
  </r>
  <r>
    <s v="PR"/>
    <x v="32"/>
    <x v="21"/>
    <s v="48-25"/>
    <n v="60.714285714285715"/>
    <s v="10_1182"/>
    <x v="28"/>
    <s v="(N2)"/>
    <n v="60000"/>
    <x v="1"/>
    <n v="49"/>
    <x v="1"/>
    <x v="2"/>
    <d v="2025-12-25T00:00:00"/>
    <n v="132325"/>
    <s v="10_55"/>
    <s v="Celso Hoffelder - PR"/>
    <s v="(N1)"/>
    <n v="57000"/>
    <d v="2026-11-11T00:00:00"/>
    <n v="67"/>
    <n v="43"/>
    <d v="2026-12-24T00:00:00"/>
  </r>
  <r>
    <s v="PR"/>
    <x v="32"/>
    <x v="21"/>
    <s v="43-25"/>
    <n v="60.714285714285715"/>
    <s v="10_327"/>
    <x v="29"/>
    <s v="(N2)"/>
    <n v="38000"/>
    <x v="3"/>
    <n v="22"/>
    <x v="1"/>
    <x v="1"/>
    <d v="2025-12-25T00:00:00"/>
    <n v="130126"/>
    <s v="118_863"/>
    <s v="Renascença 2 - PR"/>
    <s v="(N2)"/>
    <n v="36000"/>
    <d v="2026-11-18T00:00:00"/>
    <n v="68"/>
    <n v="50"/>
    <d v="2027-01-07T00:00:00"/>
  </r>
  <r>
    <s v="PR"/>
    <x v="33"/>
    <x v="22"/>
    <s v="47-25"/>
    <n v="58.714285714285715"/>
    <s v="117_1531"/>
    <x v="30"/>
    <s v="(N7)"/>
    <n v="84000"/>
    <x v="3"/>
    <n v="13"/>
    <x v="1"/>
    <x v="1"/>
    <d v="2026-01-08T00:00:00"/>
    <n v="130126"/>
    <s v="118_863"/>
    <s v="Renascença 2 - PR"/>
    <s v="(N2)"/>
    <n v="22500"/>
    <d v="2026-12-02T00:00:00"/>
    <n v="68"/>
    <n v="50"/>
    <d v="2027-01-21T00:00:00"/>
  </r>
  <r>
    <s v="PR"/>
    <x v="33"/>
    <x v="22"/>
    <s v="47-25"/>
    <n v="58.714285714285715"/>
    <s v="117_1531"/>
    <x v="30"/>
    <s v="(N7)"/>
    <m/>
    <x v="3"/>
    <n v="13"/>
    <x v="1"/>
    <x v="1"/>
    <d v="2026-01-08T00:00:00"/>
    <n v="130226"/>
    <s v="10_368"/>
    <s v="Rossi 2 - PR"/>
    <s v="(N2)"/>
    <n v="57500"/>
    <d v="2026-11-25T00:00:00"/>
    <n v="67"/>
    <n v="43"/>
    <d v="2027-01-07T00:00:00"/>
  </r>
  <r>
    <s v="PR"/>
    <x v="34"/>
    <x v="22"/>
    <s v="49-25"/>
    <n v="58.714285714285715"/>
    <s v="10_203"/>
    <x v="1"/>
    <s v="(N1)"/>
    <n v="60000"/>
    <x v="1"/>
    <n v="48"/>
    <x v="0"/>
    <x v="0"/>
    <d v="2026-01-08T00:00:00"/>
    <n v="130326"/>
    <s v="10_1535"/>
    <s v="Ilha Bella 2 - PR"/>
    <s v="(N2)"/>
    <n v="57000"/>
    <d v="2026-12-02T00:00:00"/>
    <n v="68"/>
    <n v="50"/>
    <d v="2027-01-21T00:00:00"/>
  </r>
  <r>
    <s v="PR"/>
    <x v="35"/>
    <x v="23"/>
    <s v="46-25"/>
    <n v="57.714285714285715"/>
    <s v="10_1295"/>
    <x v="0"/>
    <s v="(N3)"/>
    <n v="84000"/>
    <x v="1"/>
    <n v="47"/>
    <x v="0"/>
    <x v="5"/>
    <d v="2026-01-15T00:00:00"/>
    <m/>
    <s v="87_854"/>
    <s v="Samambaia 2 - SP"/>
    <s v="(N2)"/>
    <n v="20000"/>
    <d v="2026-11-25T00:00:00"/>
    <n v="66"/>
    <m/>
    <d v="2026-11-25T00:00:00"/>
  </r>
  <r>
    <s v="PR"/>
    <x v="35"/>
    <x v="23"/>
    <s v="46-25"/>
    <n v="57.714285714285715"/>
    <s v="10_1295"/>
    <x v="0"/>
    <s v="(N3)"/>
    <m/>
    <x v="1"/>
    <n v="47"/>
    <x v="0"/>
    <x v="5"/>
    <d v="2026-01-15T00:00:00"/>
    <n v="130426"/>
    <s v="108_1387"/>
    <s v="Saade - SC"/>
    <s v="(N1)"/>
    <n v="22000"/>
    <d v="2026-12-02T00:00:00"/>
    <n v="67"/>
    <n v="50"/>
    <d v="2027-01-21T00:00:00"/>
  </r>
  <r>
    <s v="PR"/>
    <x v="35"/>
    <x v="23"/>
    <s v="46-25"/>
    <n v="57.714285714285715"/>
    <s v="10_1295"/>
    <x v="0"/>
    <s v="(N3)"/>
    <m/>
    <x v="1"/>
    <n v="47"/>
    <x v="0"/>
    <x v="5"/>
    <d v="2026-01-15T00:00:00"/>
    <n v="130526"/>
    <s v="10_20"/>
    <s v="Biava - PR"/>
    <s v="(N1)"/>
    <n v="26500"/>
    <d v="2026-12-23T00:00:00"/>
    <n v="70"/>
    <n v="71"/>
    <d v="2027-03-04T00:00:00"/>
  </r>
  <r>
    <s v="PR"/>
    <x v="36"/>
    <x v="24"/>
    <s v="50-25"/>
    <n v="56.714285714285715"/>
    <s v="117_139"/>
    <x v="2"/>
    <s v="(N4)"/>
    <n v="42000"/>
    <x v="1"/>
    <n v="72"/>
    <x v="0"/>
    <x v="6"/>
    <d v="2026-01-22T00:00:00"/>
    <n v="130626"/>
    <s v="26_166"/>
    <s v="Salto 1 - PR"/>
    <s v="(N1)"/>
    <n v="39000"/>
    <d v="2026-12-16T00:00:00"/>
    <n v="68"/>
    <n v="57"/>
    <d v="2027-02-11T00:00:00"/>
  </r>
  <r>
    <s v="PR"/>
    <x v="37"/>
    <x v="24"/>
    <s v="51-25"/>
    <n v="56.714285714285715"/>
    <s v="128_1367"/>
    <x v="3"/>
    <s v="(N1)"/>
    <n v="62500"/>
    <x v="1"/>
    <n v="55"/>
    <x v="0"/>
    <x v="5"/>
    <d v="2026-01-22T00:00:00"/>
    <n v="130726"/>
    <s v="123_1538"/>
    <s v="Fronteira 3 - PR"/>
    <s v="(N3)"/>
    <n v="60000"/>
    <d v="2026-12-09T00:00:00"/>
    <n v="67"/>
    <n v="64"/>
    <d v="2027-02-11T00:00:00"/>
  </r>
  <r>
    <s v="PR"/>
    <x v="38"/>
    <x v="25"/>
    <s v="55-25"/>
    <n v="55.714285714285715"/>
    <s v="124_47"/>
    <x v="6"/>
    <s v="(N1)"/>
    <n v="30000"/>
    <x v="2"/>
    <n v="23"/>
    <x v="1"/>
    <x v="1"/>
    <d v="2026-01-29T00:00:00"/>
    <n v="130926"/>
    <s v="138_26"/>
    <s v="Erveira - PR"/>
    <s v="(N1)"/>
    <n v="28000"/>
    <d v="2027-01-06T00:00:00"/>
    <n v="70"/>
    <n v="46"/>
    <d v="2027-02-21T00:00:00"/>
  </r>
  <r>
    <s v="PR"/>
    <x v="39"/>
    <x v="25"/>
    <s v="54-24"/>
    <n v="55.714285714285715"/>
    <s v="10_857"/>
    <x v="5"/>
    <s v="(N2)"/>
    <n v="60000"/>
    <x v="1"/>
    <n v="64"/>
    <x v="1"/>
    <x v="1"/>
    <d v="2026-01-29T00:00:00"/>
    <n v="130826"/>
    <s v="123_1539"/>
    <s v="Fronteira 4 - PR"/>
    <s v="(N4)"/>
    <n v="60000"/>
    <d v="2026-12-23T00:00:00"/>
    <n v="68"/>
    <n v="57"/>
    <d v="2027-02-18T00:00:00"/>
  </r>
  <r>
    <s v="JBS"/>
    <x v="40"/>
    <x v="26"/>
    <m/>
    <n v="54.714285714285715"/>
    <s v="39_464"/>
    <x v="31"/>
    <s v="(N2)"/>
    <m/>
    <x v="3"/>
    <n v="25"/>
    <x v="0"/>
    <x v="3"/>
    <d v="2026-02-05T00:00:00"/>
    <n v="131026"/>
    <s v="10_18"/>
    <s v="Alto Verê - PR"/>
    <s v="(N1)"/>
    <n v="25000"/>
    <d v="2026-12-30T00:00:00"/>
    <n v="68"/>
    <n v="64"/>
    <d v="2027-03-04T00:00:00"/>
  </r>
  <r>
    <s v="JBS"/>
    <x v="40"/>
    <x v="26"/>
    <m/>
    <n v="54.714285714285715"/>
    <s v="39_464"/>
    <x v="31"/>
    <s v="(N2)"/>
    <m/>
    <x v="3"/>
    <n v="25"/>
    <x v="0"/>
    <x v="3"/>
    <d v="2026-02-05T00:00:00"/>
    <n v="131126"/>
    <s v="17_106"/>
    <s v="Bela Vista 3 - PR"/>
    <s v="(N3)"/>
    <n v="12500"/>
    <d v="2026-12-23T00:00:00"/>
    <n v="67"/>
    <n v="31"/>
    <d v="2027-01-23T00:00:00"/>
  </r>
  <r>
    <s v="PR"/>
    <x v="41"/>
    <x v="27"/>
    <s v="53-25"/>
    <n v="52.714285714285715"/>
    <s v="139_49"/>
    <x v="7"/>
    <s v="(N1)"/>
    <n v="60000"/>
    <x v="1"/>
    <n v="47"/>
    <x v="0"/>
    <x v="4"/>
    <d v="2026-02-19T00:00:00"/>
    <n v="131326"/>
    <s v="10_52"/>
    <s v="Km 45 nucleo 2 - PR"/>
    <s v="(N2)"/>
    <n v="50000"/>
    <d v="2026-12-30T00:00:00"/>
    <n v="66"/>
    <n v="64"/>
    <d v="2027-03-04T00:00:00"/>
  </r>
  <r>
    <s v="PR"/>
    <x v="41"/>
    <x v="27"/>
    <s v="53-25"/>
    <n v="52.714285714285715"/>
    <s v="139_49"/>
    <x v="7"/>
    <s v="(N1)"/>
    <m/>
    <x v="1"/>
    <n v="47"/>
    <x v="0"/>
    <x v="4"/>
    <d v="2026-02-19T00:00:00"/>
    <n v="131126"/>
    <s v="17_106"/>
    <s v="Bela Vista 3 - PR"/>
    <s v="(N3)"/>
    <n v="7000"/>
    <d v="2026-12-23T00:00:00"/>
    <n v="65"/>
    <n v="31"/>
    <d v="2027-01-23T00:00:00"/>
  </r>
  <r>
    <s v="PR"/>
    <x v="42"/>
    <x v="27"/>
    <s v="56-25"/>
    <n v="52.714285714285715"/>
    <s v="112_29"/>
    <x v="8"/>
    <s v="(N1)"/>
    <n v="107000"/>
    <x v="0"/>
    <n v="22"/>
    <x v="1"/>
    <x v="1"/>
    <d v="2026-02-19T00:00:00"/>
    <n v="131226"/>
    <s v="17_106"/>
    <s v="Bela Vista 3 - PR"/>
    <s v="(N3)"/>
    <n v="20000"/>
    <d v="2026-12-23T00:00:00"/>
    <n v="65"/>
    <n v="31"/>
    <d v="2027-01-23T00:00:00"/>
  </r>
  <r>
    <s v="PR"/>
    <x v="42"/>
    <x v="27"/>
    <s v="56-25"/>
    <n v="52.714285714285715"/>
    <s v="112_29"/>
    <x v="8"/>
    <s v="(N1)"/>
    <m/>
    <x v="0"/>
    <n v="22"/>
    <x v="1"/>
    <x v="1"/>
    <d v="2026-02-19T00:00:00"/>
    <n v="131426"/>
    <s v="118_1081"/>
    <s v="Renascença 3 - PR"/>
    <s v="(N3)"/>
    <n v="57000"/>
    <d v="2027-01-06T00:00:00"/>
    <n v="67"/>
    <n v="57"/>
    <d v="2027-03-04T00:00:00"/>
  </r>
  <r>
    <s v="PR"/>
    <x v="42"/>
    <x v="27"/>
    <s v="56-25"/>
    <n v="52.714285714285715"/>
    <s v="112_29"/>
    <x v="8"/>
    <s v="(N1)"/>
    <m/>
    <x v="0"/>
    <n v="22"/>
    <x v="1"/>
    <x v="1"/>
    <d v="2026-02-19T00:00:00"/>
    <n v="131526"/>
    <s v="89_864"/>
    <s v="Asa branca - PR"/>
    <s v="(N1)"/>
    <n v="24000"/>
    <d v="2027-01-13T00:00:00"/>
    <n v="68"/>
    <n v="57"/>
    <d v="2027-03-11T00:00:00"/>
  </r>
  <r>
    <s v="PR"/>
    <x v="43"/>
    <x v="28"/>
    <s v="52-25"/>
    <n v="51.714285714285715"/>
    <s v="10_1940"/>
    <x v="32"/>
    <s v="(N1)"/>
    <n v="60000"/>
    <x v="3"/>
    <n v="33"/>
    <x v="0"/>
    <x v="0"/>
    <d v="2026-02-26T00:00:00"/>
    <n v="131626"/>
    <s v="10_2382"/>
    <s v="Aliança Prod. 1 - PR"/>
    <s v="(N2)"/>
    <n v="57600"/>
    <d v="2027-01-06T00:00:00"/>
    <n v="66"/>
    <n v="63"/>
    <d v="2027-03-10T00:00:00"/>
  </r>
  <r>
    <s v="PR"/>
    <x v="43"/>
    <x v="28"/>
    <s v="58-25"/>
    <n v="51.714285714285715"/>
    <s v="10_328"/>
    <x v="4"/>
    <s v="(N3)"/>
    <n v="38000"/>
    <x v="3"/>
    <n v="22"/>
    <x v="1"/>
    <x v="1"/>
    <d v="2026-02-26T00:00:00"/>
    <n v="131526"/>
    <s v="89_864"/>
    <s v="Asa branca - PR"/>
    <s v="(N1)"/>
    <n v="10000"/>
    <d v="2027-01-13T00:00:00"/>
    <n v="67"/>
    <n v="57"/>
    <d v="2027-03-11T00:00:00"/>
  </r>
  <r>
    <s v="PR"/>
    <x v="43"/>
    <x v="28"/>
    <s v="58-25"/>
    <n v="51.714285714285715"/>
    <s v="10_328"/>
    <x v="4"/>
    <s v="(N3)"/>
    <m/>
    <x v="3"/>
    <n v="22"/>
    <x v="1"/>
    <x v="1"/>
    <d v="2026-02-26T00:00:00"/>
    <n v="131726"/>
    <s v="117_124"/>
    <s v="Bom sucesso 2 - PR"/>
    <s v="(N2)"/>
    <n v="26000"/>
    <d v="2027-01-20T00:00:00"/>
    <n v="68"/>
    <n v="63"/>
    <d v="2027-03-24T00:00:00"/>
  </r>
  <r>
    <s v="PR"/>
    <x v="44"/>
    <x v="28"/>
    <s v="59-25"/>
    <n v="51.714285714285715"/>
    <s v="112_16"/>
    <x v="10"/>
    <s v="(N3)"/>
    <n v="60000"/>
    <x v="1"/>
    <n v="55"/>
    <x v="1"/>
    <x v="2"/>
    <d v="2026-02-26T00:00:00"/>
    <n v="131726"/>
    <s v="117_124"/>
    <s v="Bom sucesso 2 - PR"/>
    <s v="(N2)"/>
    <n v="15500"/>
    <d v="2027-01-20T00:00:00"/>
    <n v="68"/>
    <n v="63"/>
    <d v="2027-03-24T00:00:00"/>
  </r>
  <r>
    <s v="PR"/>
    <x v="44"/>
    <x v="28"/>
    <s v="59-25"/>
    <n v="51.714285714285715"/>
    <s v="112_16"/>
    <x v="10"/>
    <s v="(N3)"/>
    <m/>
    <x v="1"/>
    <n v="55"/>
    <x v="1"/>
    <x v="2"/>
    <d v="2026-02-26T00:00:00"/>
    <n v="131826"/>
    <s v="117_88"/>
    <s v="Bom sucesso 1 - PR"/>
    <s v="(N1)"/>
    <n v="41500"/>
    <d v="2027-01-27T00:00:00"/>
    <n v="69"/>
    <n v="56"/>
    <d v="2027-03-24T00:00:00"/>
  </r>
  <r>
    <s v="PR"/>
    <x v="45"/>
    <x v="29"/>
    <s v="60-25"/>
    <n v="50.714285714285715"/>
    <s v="10_776"/>
    <x v="12"/>
    <s v="(N3)"/>
    <n v="35000"/>
    <x v="0"/>
    <n v="25"/>
    <x v="0"/>
    <x v="0"/>
    <d v="2026-03-05T00:00:00"/>
    <n v="131926"/>
    <s v="122_22"/>
    <s v="Butiá - PR"/>
    <s v="(N1)"/>
    <n v="33600"/>
    <d v="2027-01-27T00:00:00"/>
    <n v="68"/>
    <n v="51"/>
    <d v="2027-03-19T00:00:00"/>
  </r>
  <r>
    <s v="PR"/>
    <x v="46"/>
    <x v="29"/>
    <n v="100025"/>
    <n v="50.714285714285715"/>
    <s v="10_776"/>
    <x v="12"/>
    <s v="(N3)"/>
    <n v="74000"/>
    <x v="0"/>
    <n v="36"/>
    <x v="0"/>
    <x v="0"/>
    <d v="2026-03-05T00:00:00"/>
    <n v="131926"/>
    <s v="122_22"/>
    <s v="Butiá - PR"/>
    <s v="(N1)"/>
    <n v="6000"/>
    <d v="2027-01-27T00:00:00"/>
    <n v="68"/>
    <n v="51"/>
    <d v="2027-03-19T00:00:00"/>
  </r>
  <r>
    <s v="PR"/>
    <x v="46"/>
    <x v="29"/>
    <n v="100025"/>
    <n v="50.714285714285715"/>
    <s v="10_776"/>
    <x v="12"/>
    <s v="(N3)"/>
    <m/>
    <x v="0"/>
    <n v="36"/>
    <x v="0"/>
    <x v="0"/>
    <d v="2026-03-05T00:00:00"/>
    <n v="132026"/>
    <s v="93_261"/>
    <s v="Rossignol - SC"/>
    <s v="(N1)"/>
    <n v="30000"/>
    <d v="2027-02-10T00:00:00"/>
    <n v="70"/>
    <n v="51"/>
    <d v="2027-04-02T00:00:00"/>
  </r>
  <r>
    <s v="PR"/>
    <x v="46"/>
    <x v="29"/>
    <n v="100025"/>
    <n v="50.714285714285715"/>
    <s v="10_776"/>
    <x v="12"/>
    <s v="(N3)"/>
    <m/>
    <x v="0"/>
    <n v="36"/>
    <x v="0"/>
    <x v="0"/>
    <d v="2026-03-05T00:00:00"/>
    <n v="132126"/>
    <s v="119_153"/>
    <s v="São Bernardo - PR"/>
    <s v="(N1)"/>
    <n v="34000"/>
    <d v="2027-01-20T00:00:00"/>
    <n v="67"/>
    <n v="43"/>
    <d v="2027-03-04T00:00:00"/>
  </r>
  <r>
    <s v="PR"/>
    <x v="47"/>
    <x v="30"/>
    <s v="61-25"/>
    <n v="49.714285714285715"/>
    <s v="10_1938"/>
    <x v="9"/>
    <s v="(N1)"/>
    <n v="25000"/>
    <x v="1"/>
    <n v="50"/>
    <x v="0"/>
    <x v="0"/>
    <d v="2026-03-12T00:00:00"/>
    <n v="132226"/>
    <s v="95_102"/>
    <s v="Casarin - SC"/>
    <s v="(N1)"/>
    <n v="24000"/>
    <d v="2027-01-20T00:00:00"/>
    <n v="66"/>
    <n v="43"/>
    <d v="2027-03-04T00:00:00"/>
  </r>
  <r>
    <s v="PR"/>
    <x v="47"/>
    <x v="30"/>
    <n v="100125"/>
    <n v="49.714285714285715"/>
    <s v="10_1938"/>
    <x v="9"/>
    <s v="(N1)"/>
    <n v="45000"/>
    <x v="1"/>
    <n v="44"/>
    <x v="1"/>
    <x v="1"/>
    <d v="2026-03-12T00:00:00"/>
    <n v="132326"/>
    <s v="16_85"/>
    <s v="Saudade - PR"/>
    <s v="(N1)"/>
    <n v="43000"/>
    <d v="2027-01-27T00:00:00"/>
    <n v="67"/>
    <n v="61"/>
    <d v="2027-03-29T00:00:00"/>
  </r>
  <r>
    <s v="PR"/>
    <x v="48"/>
    <x v="31"/>
    <n v="100225"/>
    <n v="48.714285714285715"/>
    <s v="112_1939"/>
    <x v="11"/>
    <s v="(N4)"/>
    <n v="84000"/>
    <x v="0"/>
    <n v="37"/>
    <x v="0"/>
    <x v="0"/>
    <d v="2026-03-19T00:00:00"/>
    <n v="132426"/>
    <s v="16_85"/>
    <s v="Saudade - PR"/>
    <s v="(N1)"/>
    <n v="44000"/>
    <d v="2027-01-27T00:00:00"/>
    <n v="66"/>
    <n v="61"/>
    <d v="2027-03-29T00:00:00"/>
  </r>
  <r>
    <s v="PR"/>
    <x v="48"/>
    <x v="31"/>
    <n v="100225"/>
    <n v="48.714285714285715"/>
    <s v="112_1939"/>
    <x v="11"/>
    <s v="(N4)"/>
    <m/>
    <x v="0"/>
    <n v="37"/>
    <x v="0"/>
    <x v="0"/>
    <d v="2026-03-19T00:00:00"/>
    <n v="132526"/>
    <s v="10_233"/>
    <s v="Cappellesso - PR"/>
    <s v="(N1)"/>
    <n v="36000"/>
    <d v="2027-02-03T00:00:00"/>
    <n v="67"/>
    <n v="44"/>
    <d v="2027-03-19T00:00:00"/>
  </r>
  <r>
    <s v="PR"/>
    <x v="48"/>
    <x v="31"/>
    <n v="100325"/>
    <n v="48.714285714285715"/>
    <s v="112_67"/>
    <x v="22"/>
    <s v="(N2)"/>
    <n v="60000"/>
    <x v="1"/>
    <n v="56"/>
    <x v="0"/>
    <x v="0"/>
    <d v="2026-03-19T00:00:00"/>
    <n v="132626"/>
    <s v="13_2295"/>
    <s v="Trevisan - SC"/>
    <s v="(N1)"/>
    <n v="24000"/>
    <d v="2027-01-27T00:00:00"/>
    <n v="66"/>
    <n v="65"/>
    <d v="2027-04-02T00:00:00"/>
  </r>
  <r>
    <s v="PR"/>
    <x v="49"/>
    <x v="31"/>
    <n v="100325"/>
    <n v="48.714285714285715"/>
    <s v="112_67"/>
    <x v="22"/>
    <s v="(N2)"/>
    <m/>
    <x v="1"/>
    <n v="56"/>
    <x v="0"/>
    <x v="0"/>
    <d v="2026-03-19T00:00:00"/>
    <n v="132726"/>
    <s v="111_1534"/>
    <s v="Pandolfi - PR"/>
    <s v="(N1)"/>
    <n v="33000"/>
    <d v="2027-02-17T00:00:00"/>
    <n v="69"/>
    <n v="48"/>
    <d v="2027-04-06T00:00:00"/>
  </r>
  <r>
    <s v="PR"/>
    <x v="50"/>
    <x v="32"/>
    <n v="100425"/>
    <n v="46.714285714285715"/>
    <s v="10_169"/>
    <x v="13"/>
    <s v="(N1)"/>
    <n v="48000"/>
    <x v="1"/>
    <n v="43"/>
    <x v="0"/>
    <x v="0"/>
    <d v="2026-04-02T00:00:00"/>
    <m/>
    <s v="92_961"/>
    <s v="Morro agudo - SP"/>
    <s v="(N1)"/>
    <n v="34000"/>
    <d v="2027-02-10T00:00:00"/>
    <n v="66"/>
    <m/>
    <d v="2027-02-10T00:00:00"/>
  </r>
  <r>
    <s v="PR"/>
    <x v="50"/>
    <x v="32"/>
    <n v="100425"/>
    <n v="46.714285714285715"/>
    <s v="10_169"/>
    <x v="13"/>
    <s v="(N1)"/>
    <m/>
    <x v="1"/>
    <n v="43"/>
    <x v="0"/>
    <x v="0"/>
    <d v="2026-04-02T00:00:00"/>
    <m/>
    <s v="14_496"/>
    <s v="Carolina - SP"/>
    <s v="(N1)"/>
    <n v="12000"/>
    <d v="2027-02-10T00:00:00"/>
    <n v="66"/>
    <m/>
    <d v="2027-02-10T00:00:00"/>
  </r>
  <r>
    <s v="PR"/>
    <x v="50"/>
    <x v="32"/>
    <n v="100525"/>
    <n v="46.714285714285715"/>
    <s v="10_369"/>
    <x v="15"/>
    <s v="(N2)"/>
    <n v="66000"/>
    <x v="0"/>
    <n v="28"/>
    <x v="0"/>
    <x v="0"/>
    <d v="2026-04-02T00:00:00"/>
    <n v="132826"/>
    <s v="10_17"/>
    <s v="Agua do Sabia - PR"/>
    <s v="(N1)"/>
    <n v="60000"/>
    <d v="2027-02-10T00:00:00"/>
    <n v="66"/>
    <n v="58"/>
    <d v="2027-04-09T00:00:00"/>
  </r>
  <r>
    <s v="PR"/>
    <x v="50"/>
    <x v="32"/>
    <n v="100525"/>
    <n v="46.714285714285715"/>
    <s v="10_369"/>
    <x v="15"/>
    <s v="(N2)"/>
    <m/>
    <x v="0"/>
    <n v="28"/>
    <x v="0"/>
    <x v="0"/>
    <d v="2026-04-02T00:00:00"/>
    <n v="132926"/>
    <s v="10_41"/>
    <s v="Santolin - PR"/>
    <s v="(N1)"/>
    <n v="3000"/>
    <d v="2027-02-24T00:00:00"/>
    <n v="68"/>
    <n v="54"/>
    <d v="2027-04-19T00:00:00"/>
  </r>
  <r>
    <s v="PR"/>
    <x v="51"/>
    <x v="33"/>
    <n v="100725"/>
    <n v="45.714285714285715"/>
    <s v="27_181"/>
    <x v="17"/>
    <s v="(N2)"/>
    <n v="42000"/>
    <x v="0"/>
    <n v="30"/>
    <x v="0"/>
    <x v="5"/>
    <d v="2026-04-09T00:00:00"/>
    <n v="132926"/>
    <s v="10_41"/>
    <s v="Santolin - PR"/>
    <s v="(N1)"/>
    <n v="40000"/>
    <d v="2027-02-24T00:00:00"/>
    <n v="67"/>
    <n v="54"/>
    <d v="2027-04-19T00:00:00"/>
  </r>
  <r>
    <s v="PR"/>
    <x v="52"/>
    <x v="34"/>
    <n v="100825"/>
    <n v="44.714285714285715"/>
    <s v="10_326"/>
    <x v="21"/>
    <s v="(N1)"/>
    <n v="38000"/>
    <x v="1"/>
    <n v="58"/>
    <x v="0"/>
    <x v="5"/>
    <d v="2026-04-16T00:00:00"/>
    <n v="133726"/>
    <s v="10_177"/>
    <s v="Entre Rios 1 - PR"/>
    <s v="(N1)"/>
    <n v="36500"/>
    <d v="2027-03-03T00:00:00"/>
    <n v="67"/>
    <s v="FIM"/>
    <s v=" "/>
  </r>
  <r>
    <s v="PR"/>
    <x v="53"/>
    <x v="35"/>
    <n v="100925"/>
    <n v="43.714285714285715"/>
    <s v="10_267"/>
    <x v="18"/>
    <s v="(N1)"/>
    <n v="63000"/>
    <x v="1"/>
    <n v="57"/>
    <x v="0"/>
    <x v="0"/>
    <d v="2026-04-23T00:00:00"/>
    <n v="133226"/>
    <s v="10_274"/>
    <s v="Planalto - PR"/>
    <s v="(N1)"/>
    <n v="61000"/>
    <d v="2027-03-03T00:00:00"/>
    <n v="66"/>
    <s v="FIM"/>
    <s v=" "/>
  </r>
  <r>
    <s v="PR"/>
    <x v="54"/>
    <x v="36"/>
    <n v="100925"/>
    <n v="42.714285714285715"/>
    <s v="10_267"/>
    <x v="18"/>
    <s v="(N1)"/>
    <n v="63000"/>
    <x v="1"/>
    <n v="50"/>
    <x v="0"/>
    <x v="0"/>
    <d v="2026-04-30T00:00:00"/>
    <n v="133226"/>
    <s v="10_274"/>
    <s v="Planalto - PR"/>
    <s v="(N1)"/>
    <n v="32000"/>
    <d v="2027-03-10T00:00:00"/>
    <n v="66"/>
    <s v="FIM"/>
    <s v=" "/>
  </r>
  <r>
    <s v="PR"/>
    <x v="54"/>
    <x v="36"/>
    <n v="100925"/>
    <n v="42.714285714285715"/>
    <s v="10_267"/>
    <x v="18"/>
    <s v="(N1)"/>
    <m/>
    <x v="1"/>
    <n v="50"/>
    <x v="0"/>
    <x v="0"/>
    <d v="2026-04-30T00:00:00"/>
    <n v="133026"/>
    <s v="10_43"/>
    <s v="São Braz 2 - PR"/>
    <s v="(N1)"/>
    <n v="29000"/>
    <d v="2027-02-24T00:00:00"/>
    <n v="64"/>
    <n v="37"/>
    <d v="2027-04-02T00:00:00"/>
  </r>
  <r>
    <s v="PR"/>
    <x v="55"/>
    <x v="35"/>
    <n v="101025"/>
    <n v="43.714285714285715"/>
    <s v="10_775"/>
    <x v="19"/>
    <s v="(N1)"/>
    <n v="50000"/>
    <x v="1"/>
    <n v="51"/>
    <x v="1"/>
    <x v="1"/>
    <d v="2026-04-23T00:00:00"/>
    <n v="133126"/>
    <s v="10_46"/>
    <s v="Salto Caxias Prod. 1 - PR"/>
    <s v="(N2)"/>
    <n v="48000"/>
    <d v="2027-03-10T00:00:00"/>
    <n v="67"/>
    <n v="52"/>
    <d v="2027-05-01T00:00:00"/>
  </r>
  <r>
    <s v="PR"/>
    <x v="56"/>
    <x v="36"/>
    <n v="101225"/>
    <n v="42.714285714285715"/>
    <s v="10_140"/>
    <x v="16"/>
    <s v="(N1)"/>
    <n v="42000"/>
    <x v="3"/>
    <n v="33"/>
    <x v="0"/>
    <x v="7"/>
    <d v="2026-04-30T00:00:00"/>
    <n v="133326"/>
    <s v="17_104"/>
    <s v="Bela Vista 1 - PR"/>
    <s v="(N1)"/>
    <n v="40000"/>
    <d v="2027-03-10T00:00:00"/>
    <n v="66"/>
    <n v="46"/>
    <d v="2027-04-25T00:00:00"/>
  </r>
  <r>
    <s v="PR"/>
    <x v="57"/>
    <x v="36"/>
    <n v="101125"/>
    <n v="42.714285714285715"/>
    <s v="10_1250"/>
    <x v="14"/>
    <s v="(N2)"/>
    <n v="60000"/>
    <x v="3"/>
    <n v="19"/>
    <x v="1"/>
    <x v="1"/>
    <d v="2026-04-30T00:00:00"/>
    <n v="133026"/>
    <s v="10_43"/>
    <s v="São Braz 2 - PR"/>
    <s v="(N1)"/>
    <n v="3744"/>
    <d v="2027-02-24T00:00:00"/>
    <n v="64"/>
    <n v="37"/>
    <d v="2027-04-02T00:00:00"/>
  </r>
  <r>
    <s v="PR"/>
    <x v="57"/>
    <x v="36"/>
    <n v="101125"/>
    <n v="42.714285714285715"/>
    <s v="10_1250"/>
    <x v="14"/>
    <s v="(N2)"/>
    <m/>
    <x v="3"/>
    <n v="19"/>
    <x v="1"/>
    <x v="1"/>
    <d v="2026-04-30T00:00:00"/>
    <n v="133426"/>
    <s v="10_178"/>
    <s v="Entre Rios 2 - PR"/>
    <s v="(N2)"/>
    <n v="37000"/>
    <d v="2027-03-10T00:00:00"/>
    <n v="66"/>
    <s v="FIM"/>
    <s v=" "/>
  </r>
  <r>
    <s v="PR"/>
    <x v="57"/>
    <x v="36"/>
    <n v="101125"/>
    <n v="42.714285714285715"/>
    <s v="10_1250"/>
    <x v="14"/>
    <s v="(N2)"/>
    <m/>
    <x v="3"/>
    <n v="19"/>
    <x v="1"/>
    <x v="1"/>
    <d v="2026-04-30T00:00:00"/>
    <n v="133526"/>
    <s v="105_30"/>
    <s v="Itapejara - PR"/>
    <s v="(N1)"/>
    <n v="16000"/>
    <d v="2027-03-31T00:00:00"/>
    <n v="69"/>
    <n v="49"/>
    <d v="2027-05-19T00:00:00"/>
  </r>
  <r>
    <s v="PR"/>
    <x v="58"/>
    <x v="37"/>
    <n v="101425"/>
    <n v="41.714285714285715"/>
    <s v="139_149"/>
    <x v="24"/>
    <s v="(N2)"/>
    <n v="60000"/>
    <x v="1"/>
    <n v="26"/>
    <x v="1"/>
    <x v="1"/>
    <d v="2026-05-07T00:00:00"/>
    <n v="133526"/>
    <s v="105_30"/>
    <s v="Itapejara - PR"/>
    <s v="(N1)"/>
    <n v="16000"/>
    <d v="2027-03-31T00:00:00"/>
    <n v="68"/>
    <n v="49"/>
    <d v="2027-05-19T00:00:00"/>
  </r>
  <r>
    <s v="PR"/>
    <x v="58"/>
    <x v="37"/>
    <n v="101425"/>
    <n v="41.714285714285715"/>
    <s v="139_149"/>
    <x v="24"/>
    <s v="(N2)"/>
    <m/>
    <x v="1"/>
    <n v="26"/>
    <x v="1"/>
    <x v="1"/>
    <d v="2026-05-07T00:00:00"/>
    <n v="133626"/>
    <s v="119_154"/>
    <s v="São Caetano - PR"/>
    <s v="(N1)"/>
    <n v="36000"/>
    <d v="2027-03-17T00:00:00"/>
    <n v="66"/>
    <n v="45"/>
    <d v="2027-05-01T00:00:00"/>
  </r>
  <r>
    <s v="PR"/>
    <x v="59"/>
    <x v="38"/>
    <n v="101325"/>
    <n v="40.714285714285715"/>
    <s v="112_2399"/>
    <x v="33"/>
    <s v="(N5)"/>
    <n v="61000"/>
    <x v="3"/>
    <n v="19"/>
    <x v="1"/>
    <x v="1"/>
    <d v="2026-05-14T00:00:00"/>
    <n v="133826"/>
    <s v="10_1184"/>
    <s v="Fundo da Grota - PR"/>
    <s v="(N1)"/>
    <n v="58000"/>
    <d v="2027-03-10T00:00:00"/>
    <n v="64"/>
    <n v="43"/>
    <d v="2027-04-22T00:00:00"/>
  </r>
  <r>
    <s v="PR"/>
    <x v="60"/>
    <x v="38"/>
    <n v="101525"/>
    <n v="40.714285714285715"/>
    <s v="10_180"/>
    <x v="23"/>
    <s v="(N1)"/>
    <n v="46000"/>
    <x v="1"/>
    <n v="54"/>
    <x v="0"/>
    <x v="0"/>
    <d v="2026-05-14T00:00:00"/>
    <s v="1341 26"/>
    <s v="13_258"/>
    <s v="Prezotto - SC"/>
    <s v="(N1)"/>
    <n v="44160"/>
    <d v="2027-03-24T00:00:00"/>
    <n v="66"/>
    <n v="40"/>
    <d v="2027-05-03T00:00:00"/>
  </r>
  <r>
    <s v="Plusval"/>
    <x v="61"/>
    <x v="39"/>
    <n v="500225"/>
    <n v="39.714285714285715"/>
    <s v="12_99"/>
    <x v="34"/>
    <s v="(N3)"/>
    <m/>
    <x v="1"/>
    <n v="36"/>
    <x v="0"/>
    <x v="0"/>
    <d v="2026-05-21T00:00:00"/>
    <s v="LEVO"/>
    <s v="10_34"/>
    <s v="Pinzon - PR"/>
    <s v="(N1)"/>
    <n v="26000"/>
    <d v="2027-04-14T00:00:00"/>
    <n v="68"/>
    <n v="44"/>
    <d v="2027-05-16T00:00:00"/>
  </r>
  <r>
    <s v="PR"/>
    <x v="62"/>
    <x v="40"/>
    <n v="100126"/>
    <n v="37.714285714285715"/>
    <s v="10_130"/>
    <x v="20"/>
    <s v="(N1)"/>
    <n v="42000"/>
    <x v="3"/>
    <n v="14"/>
    <x v="0"/>
    <x v="0"/>
    <d v="2026-06-04T00:00:00"/>
    <m/>
    <s v="121_2237"/>
    <s v="Santelmo - SP"/>
    <s v="(N1)"/>
    <n v="37000"/>
    <d v="2027-04-21T00:00:00"/>
    <n v="67"/>
    <n v="49"/>
    <d v="2027-06-09T00:00:00"/>
  </r>
  <r>
    <s v="PR"/>
    <x v="62"/>
    <x v="40"/>
    <n v="100126"/>
    <n v="37.714285714285715"/>
    <s v="10_130"/>
    <x v="20"/>
    <s v="(N1)"/>
    <m/>
    <x v="3"/>
    <n v="14"/>
    <x v="0"/>
    <x v="0"/>
    <d v="2026-06-04T00:00:00"/>
    <n v="134226"/>
    <s v="10_1183"/>
    <s v="Linha Nova - PR"/>
    <s v="(N1)"/>
    <n v="2800"/>
    <d v="2027-04-21T00:00:00"/>
    <n v="67"/>
    <n v="49"/>
    <d v="2027-06-09T00:00:00"/>
  </r>
  <r>
    <s v="PR"/>
    <x v="63"/>
    <x v="40"/>
    <n v="100226"/>
    <n v="37.714285714285715"/>
    <s v="27_165"/>
    <x v="27"/>
    <s v="(N1)"/>
    <n v="42000"/>
    <x v="1"/>
    <n v="55"/>
    <x v="0"/>
    <x v="0"/>
    <d v="2026-06-04T00:00:00"/>
    <n v="134226"/>
    <s v="10_1183"/>
    <s v="Linha Nova - PR"/>
    <s v="(N1)"/>
    <n v="40320"/>
    <d v="2027-04-21T00:00:00"/>
    <n v="67"/>
    <n v="49"/>
    <d v="2027-06-09T00:00:00"/>
  </r>
  <r>
    <s v="PR"/>
    <x v="64"/>
    <x v="41"/>
    <n v="100426"/>
    <n v="36.714285714285715"/>
    <s v="10_327"/>
    <x v="29"/>
    <s v="(N2)"/>
    <n v="38000"/>
    <x v="1"/>
    <n v="55"/>
    <x v="0"/>
    <x v="0"/>
    <d v="2026-06-11T00:00:00"/>
    <n v="134226"/>
    <s v="10_1183"/>
    <s v="Linha Nova - PR"/>
    <s v="(N1)"/>
    <n v="36480"/>
    <d v="2027-04-21T00:00:00"/>
    <n v="66"/>
    <n v="49"/>
    <d v="2027-06-09T00:00:00"/>
  </r>
  <r>
    <s v="PR"/>
    <x v="65"/>
    <x v="41"/>
    <n v="100326"/>
    <n v="36.714285714285715"/>
    <s v="10_1405"/>
    <x v="26"/>
    <s v="(N1)"/>
    <n v="60000"/>
    <x v="1"/>
    <n v="51"/>
    <x v="0"/>
    <x v="3"/>
    <d v="2026-06-11T00:00:00"/>
    <n v="134326"/>
    <s v="10_1459"/>
    <s v="Canguçu 3 - PR"/>
    <s v="(N3)"/>
    <n v="57600"/>
    <d v="2027-04-21T00:00:00"/>
    <n v="66"/>
    <n v="49"/>
    <d v="2027-06-09T00:00:00"/>
  </r>
  <r>
    <s v="PR"/>
    <x v="66"/>
    <x v="42"/>
    <n v="100526"/>
    <n v="35.714285714285715"/>
    <s v="117_1531"/>
    <x v="30"/>
    <s v="(N7)"/>
    <n v="84000"/>
    <x v="0"/>
    <n v="23"/>
    <x v="0"/>
    <x v="0"/>
    <d v="2026-06-18T00:00:00"/>
    <n v="134426"/>
    <s v="107_248"/>
    <s v="Trindade - SC"/>
    <s v="(N1)"/>
    <n v="40000"/>
    <d v="2027-05-05T00:00:00"/>
    <n v="67"/>
    <n v="49"/>
    <d v="2027-06-23T00:00:00"/>
  </r>
  <r>
    <s v="PR"/>
    <x v="66"/>
    <x v="42"/>
    <n v="100526"/>
    <n v="35.714285714285715"/>
    <s v="117_1531"/>
    <x v="30"/>
    <s v="(N7)"/>
    <m/>
    <x v="0"/>
    <n v="23"/>
    <x v="0"/>
    <x v="0"/>
    <d v="2026-06-18T00:00:00"/>
    <n v="134526"/>
    <s v="10_204"/>
    <s v="Km 45 nucleo 1 - PR"/>
    <s v="(N1)"/>
    <n v="40000"/>
    <d v="2027-05-05T00:00:00"/>
    <n v="67"/>
    <n v="49"/>
    <d v="2027-06-23T00:00:00"/>
  </r>
  <r>
    <s v="PR"/>
    <x v="67"/>
    <x v="43"/>
    <n v="100626"/>
    <n v="33.714285714285715"/>
    <s v="10_116"/>
    <x v="25"/>
    <s v="(N1)"/>
    <n v="60000"/>
    <x v="3"/>
    <n v="20"/>
    <x v="1"/>
    <x v="8"/>
    <d v="2026-07-02T00:00:00"/>
    <n v="134626"/>
    <s v="123_1536"/>
    <s v="Fronteira 1 - PR"/>
    <s v="(N1)"/>
    <n v="57000"/>
    <d v="2027-05-12T00:00:00"/>
    <n v="66"/>
    <n v="54"/>
    <d v="2027-07-05T00:00:00"/>
  </r>
  <r>
    <s v="PR"/>
    <x v="68"/>
    <x v="44"/>
    <n v="100726"/>
    <n v="32.714285714285715"/>
    <s v="10_1182"/>
    <x v="28"/>
    <s v="(N2)"/>
    <n v="60000"/>
    <x v="3"/>
    <n v="30"/>
    <x v="0"/>
    <x v="0"/>
    <d v="2026-07-09T00:00:00"/>
    <n v="134726"/>
    <s v="10_358"/>
    <s v="Scolari - PR"/>
    <s v="(N1)"/>
    <n v="57000"/>
    <d v="2027-05-26T00:00:00"/>
    <n v="67"/>
    <n v="72"/>
    <d v="2027-08-06T00:00:00"/>
  </r>
  <r>
    <s v="PR"/>
    <x v="69"/>
    <x v="45"/>
    <n v="101026"/>
    <n v="31.714285714285715"/>
    <s v="124_47"/>
    <x v="6"/>
    <s v="(N1)"/>
    <n v="30000"/>
    <x v="1"/>
    <n v="61"/>
    <x v="0"/>
    <x v="0"/>
    <d v="2026-07-16T00:00:00"/>
    <n v="134726"/>
    <s v="10_358"/>
    <s v="Scolari - PR"/>
    <s v="(N1)"/>
    <n v="19000"/>
    <d v="2027-05-26T00:00:00"/>
    <n v="66"/>
    <n v="72"/>
    <d v="2027-08-06T00:00:00"/>
  </r>
  <r>
    <s v="PR"/>
    <x v="69"/>
    <x v="45"/>
    <n v="101026"/>
    <n v="31.714285714285715"/>
    <s v="124_47"/>
    <x v="6"/>
    <s v="(N1)"/>
    <m/>
    <x v="1"/>
    <n v="65"/>
    <x v="0"/>
    <x v="0"/>
    <d v="2026-07-16T00:00:00"/>
    <m/>
    <s v="126_2244"/>
    <s v="Beltrame - SP"/>
    <s v="(N1)"/>
    <n v="9000"/>
    <d v="2027-05-26T00:00:00"/>
    <n v="66"/>
    <m/>
    <d v="2027-05-26T00:00:00"/>
  </r>
  <r>
    <s v="PR"/>
    <x v="70"/>
    <x v="46"/>
    <n v="100826"/>
    <n v="30.714285714285715"/>
    <s v="10_203"/>
    <x v="1"/>
    <s v="(N1)"/>
    <n v="60000"/>
    <x v="3"/>
    <n v="26"/>
    <x v="0"/>
    <x v="9"/>
    <d v="2026-07-23T00:00:00"/>
    <m/>
    <s v="126_2244"/>
    <s v="Beltrame - SP"/>
    <s v="(N1)"/>
    <n v="15000"/>
    <d v="2027-06-02T00:00:00"/>
    <n v="66"/>
    <m/>
    <d v="2027-06-02T00:00:00"/>
  </r>
  <r>
    <s v="PR"/>
    <x v="70"/>
    <x v="46"/>
    <n v="100826"/>
    <n v="30.714285714285715"/>
    <s v="10_203"/>
    <x v="1"/>
    <s v="(N1)"/>
    <m/>
    <x v="3"/>
    <n v="26"/>
    <x v="0"/>
    <x v="9"/>
    <d v="2026-07-23T00:00:00"/>
    <n v="134826"/>
    <s v="96_1029"/>
    <s v="Bem-te-vi - SC"/>
    <s v="(N1)"/>
    <n v="29680"/>
    <d v="2027-05-26T00:00:00"/>
    <n v="65"/>
    <n v="40"/>
    <d v="2027-07-05T00:00:00"/>
  </r>
  <r>
    <s v="PR"/>
    <x v="70"/>
    <x v="46"/>
    <n v="100826"/>
    <n v="30.714285714285715"/>
    <s v="10_203"/>
    <x v="1"/>
    <s v="(N1)"/>
    <m/>
    <x v="3"/>
    <n v="26"/>
    <x v="0"/>
    <x v="9"/>
    <d v="2026-07-23T00:00:00"/>
    <n v="135126"/>
    <s v="119_156"/>
    <s v="São Francisco - PR"/>
    <s v="(N1)"/>
    <n v="12000"/>
    <d v="2027-05-26T00:00:00"/>
    <n v="65"/>
    <n v="40"/>
    <d v="2027-07-05T00:00:00"/>
  </r>
  <r>
    <s v="PR"/>
    <x v="71"/>
    <x v="47"/>
    <n v="100926"/>
    <n v="29.714285714285715"/>
    <s v="10_1295"/>
    <x v="0"/>
    <s v="(N3)"/>
    <n v="84000"/>
    <x v="3"/>
    <n v="26"/>
    <x v="0"/>
    <x v="9"/>
    <d v="2026-07-30T00:00:00"/>
    <n v="135126"/>
    <s v="119_156"/>
    <s v="São Francisco - PR"/>
    <s v="(N1)"/>
    <n v="22000"/>
    <d v="2027-05-26T00:00:00"/>
    <n v="64"/>
    <n v="40"/>
    <d v="2027-07-05T00:00:00"/>
  </r>
  <r>
    <s v="PR"/>
    <x v="71"/>
    <x v="47"/>
    <n v="100926"/>
    <n v="29.714285714285715"/>
    <s v="10_1295"/>
    <x v="0"/>
    <s v="(N3)"/>
    <m/>
    <x v="3"/>
    <n v="26"/>
    <x v="0"/>
    <x v="9"/>
    <d v="2026-07-30T00:00:00"/>
    <n v="135026"/>
    <s v="10_330"/>
    <s v="Darlan - PR"/>
    <s v="(N1)"/>
    <n v="58000"/>
    <d v="2027-06-09T00:00:00"/>
    <n v="66"/>
    <n v="44"/>
    <d v="2027-07-23T00:00:00"/>
  </r>
  <r>
    <s v="PR"/>
    <x v="72"/>
    <x v="48"/>
    <n v="101126"/>
    <n v="28.714285714285715"/>
    <s v="112_29"/>
    <x v="8"/>
    <s v="(N1)"/>
    <n v="107000"/>
    <x v="1"/>
    <n v="61"/>
    <x v="0"/>
    <x v="4"/>
    <d v="2026-08-06T00:00:00"/>
    <m/>
    <s v="18_473"/>
    <s v="Pardinho 2 - SP"/>
    <s v="(N2)"/>
    <n v="18000"/>
    <d v="2027-06-16T00:00:00"/>
    <n v="66"/>
    <m/>
    <d v="2027-06-16T00:00:00"/>
  </r>
  <r>
    <s v="PR"/>
    <x v="72"/>
    <x v="48"/>
    <n v="101126"/>
    <n v="28.714285714285715"/>
    <s v="112_29"/>
    <x v="8"/>
    <s v="(N1)"/>
    <m/>
    <x v="1"/>
    <n v="61"/>
    <x v="0"/>
    <x v="4"/>
    <d v="2026-08-06T00:00:00"/>
    <n v="135226"/>
    <s v="10_859"/>
    <s v="Iguaçu 1 - PR"/>
    <s v="(N1)"/>
    <n v="57000"/>
    <d v="2027-06-16T00:00:00"/>
    <n v="66"/>
    <n v="52"/>
    <d v="2027-08-07T00:00:00"/>
  </r>
  <r>
    <s v="PR"/>
    <x v="72"/>
    <x v="48"/>
    <n v="101126"/>
    <n v="28.714285714285715"/>
    <s v="112_29"/>
    <x v="8"/>
    <s v="(N1)"/>
    <m/>
    <x v="1"/>
    <n v="61"/>
    <x v="0"/>
    <x v="4"/>
    <d v="2026-08-06T00:00:00"/>
    <n v="135726"/>
    <s v="120_45"/>
    <s v="São Pedro - PR"/>
    <s v="(N1)"/>
    <n v="26000"/>
    <d v="2027-06-09T00:00:00"/>
    <n v="65"/>
    <n v="49"/>
    <d v="2027-07-28T00:00:00"/>
  </r>
  <r>
    <s v="PR"/>
    <x v="73"/>
    <x v="49"/>
    <n v="101326"/>
    <n v="27.714285714285715"/>
    <s v="128_1367"/>
    <x v="3"/>
    <s v="(N1)"/>
    <n v="60000"/>
    <x v="3"/>
    <n v="36"/>
    <x v="0"/>
    <x v="0"/>
    <d v="2026-08-13T00:00:00"/>
    <n v="135526"/>
    <s v="10_329"/>
    <s v="Rossi 1 - PR"/>
    <s v="(N1)"/>
    <n v="57000"/>
    <d v="2027-06-30T00:00:00"/>
    <n v="67"/>
    <n v="49"/>
    <d v="2027-08-18T00:00:00"/>
  </r>
  <r>
    <s v="PR"/>
    <x v="74"/>
    <x v="49"/>
    <n v="101426"/>
    <n v="27.714285714285715"/>
    <s v="10_328"/>
    <x v="4"/>
    <s v="(N3)"/>
    <n v="38000"/>
    <x v="1"/>
    <n v="63"/>
    <x v="0"/>
    <x v="10"/>
    <d v="2026-08-13T00:00:00"/>
    <n v="135326"/>
    <s v="11_150"/>
    <s v="São Roque - PR"/>
    <s v="(N1)"/>
    <n v="38744"/>
    <d v="2027-06-23T00:00:00"/>
    <n v="66"/>
    <n v="56"/>
    <d v="2027-08-18T00:00:00"/>
  </r>
  <r>
    <s v="PR"/>
    <x v="75"/>
    <x v="50"/>
    <n v="101526"/>
    <n v="26.714285714285715"/>
    <s v="10_1940"/>
    <x v="32"/>
    <s v="(N1)"/>
    <n v="60000"/>
    <x v="1"/>
    <n v="55"/>
    <x v="1"/>
    <x v="1"/>
    <d v="2026-08-20T00:00:00"/>
    <n v="135426"/>
    <s v="10_2383"/>
    <s v="Aliança Prod. 2 - PR"/>
    <s v="(N3)"/>
    <n v="57000"/>
    <d v="2027-06-30T00:00:00"/>
    <n v="66"/>
    <n v="61"/>
    <d v="2027-08-30T00:00:00"/>
  </r>
  <r>
    <s v="PR"/>
    <x v="76"/>
    <x v="51"/>
    <n v="101626"/>
    <n v="25.714285714285715"/>
    <s v="10_857"/>
    <x v="5"/>
    <s v="(N2)"/>
    <n v="61000"/>
    <x v="3"/>
    <n v="29"/>
    <x v="0"/>
    <x v="3"/>
    <d v="2026-08-27T00:00:00"/>
    <n v="135826"/>
    <s v="10_860"/>
    <s v="Canguçu 1 - PR"/>
    <s v="(N1)"/>
    <n v="58000"/>
    <d v="2027-07-07T00:00:00"/>
    <n v="66"/>
    <n v="42"/>
    <d v="2027-08-18T00:00:00"/>
  </r>
  <r>
    <s v="PR"/>
    <x v="77"/>
    <x v="51"/>
    <n v="101226"/>
    <n v="25.714285714285715"/>
    <s v="117_139"/>
    <x v="2"/>
    <s v="(N4)"/>
    <n v="42000"/>
    <x v="3"/>
    <n v="19"/>
    <x v="0"/>
    <x v="3"/>
    <d v="2026-08-27T00:00:00"/>
    <n v="136226"/>
    <s v="84_159"/>
    <s v="Faxinal 1 - SC"/>
    <s v="(N1)"/>
    <n v="28000"/>
    <d v="2027-07-28T00:00:00"/>
    <n v="69"/>
    <n v="48"/>
    <d v="2027-09-14T00:00:00"/>
  </r>
  <r>
    <s v="PR"/>
    <x v="77"/>
    <x v="51"/>
    <n v="101226"/>
    <n v="25.714285714285715"/>
    <s v="117_139"/>
    <x v="2"/>
    <s v="(N4)"/>
    <m/>
    <x v="3"/>
    <n v="19"/>
    <x v="0"/>
    <x v="3"/>
    <d v="2026-08-27T00:00:00"/>
    <m/>
    <s v="130_451"/>
    <s v="Brodoski - SP"/>
    <s v="(N1)"/>
    <n v="8000"/>
    <d v="2027-07-14T00:00:00"/>
    <n v="67"/>
    <m/>
    <d v="2027-07-14T00:00:00"/>
  </r>
  <r>
    <s v="PR"/>
    <x v="78"/>
    <x v="52"/>
    <n v="101926"/>
    <n v="24.714285714285715"/>
    <s v="139_49"/>
    <x v="7"/>
    <s v="(N1)"/>
    <n v="60000"/>
    <x v="3"/>
    <n v="35"/>
    <x v="0"/>
    <x v="0"/>
    <d v="2026-09-03T00:00:00"/>
    <n v="135626"/>
    <s v="10_31"/>
    <s v="Jairo Guzzo - PR"/>
    <s v="(N1)"/>
    <n v="15000"/>
    <d v="2027-07-14T00:00:00"/>
    <n v="66"/>
    <n v="42"/>
    <d v="2027-08-25T00:00:00"/>
  </r>
  <r>
    <s v="PR"/>
    <x v="78"/>
    <x v="52"/>
    <n v="101926"/>
    <n v="24.714285714285715"/>
    <s v="139_49"/>
    <x v="7"/>
    <s v="(N1)"/>
    <m/>
    <x v="3"/>
    <n v="35"/>
    <x v="0"/>
    <x v="0"/>
    <d v="2026-09-03T00:00:00"/>
    <n v="136126"/>
    <s v="17_105"/>
    <s v="Bela Vista 2 - PR"/>
    <s v="(N2)"/>
    <n v="42000"/>
    <d v="2027-07-14T00:00:00"/>
    <n v="66"/>
    <n v="14"/>
    <d v="2027-07-28T00:00:00"/>
  </r>
  <r>
    <s v="PR"/>
    <x v="79"/>
    <x v="52"/>
    <n v="101726"/>
    <n v="24.714285714285715"/>
    <s v="10_776"/>
    <x v="12"/>
    <s v="(N3)"/>
    <n v="75000"/>
    <x v="1"/>
    <n v="50"/>
    <x v="1"/>
    <x v="1"/>
    <d v="2026-09-03T00:00:00"/>
    <n v="135926"/>
    <s v="10_1027"/>
    <s v="Bragapolis - PR"/>
    <s v="(N1)"/>
    <n v="71625"/>
    <d v="2027-07-14T00:00:00"/>
    <n v="66"/>
    <n v="55"/>
    <d v="2027-09-07T00:00:00"/>
  </r>
  <r>
    <s v="PR"/>
    <x v="80"/>
    <x v="53"/>
    <n v="102026"/>
    <n v="22.714285714285715"/>
    <s v="112_16"/>
    <x v="10"/>
    <s v="(N3)"/>
    <n v="60000"/>
    <x v="3"/>
    <n v="22"/>
    <x v="0"/>
    <x v="9"/>
    <d v="2026-09-17T00:00:00"/>
    <n v="136326"/>
    <s v="10_1296"/>
    <s v="Canguçu 2 - PR"/>
    <s v="(N2)"/>
    <n v="57000"/>
    <d v="2027-07-14T00:00:00"/>
    <n v="64"/>
    <n v="44"/>
    <d v="2027-08-27T00:00:00"/>
  </r>
  <r>
    <s v="PR"/>
    <x v="81"/>
    <x v="53"/>
    <n v="101826"/>
    <n v="22.714285714285715"/>
    <s v="112_1939"/>
    <x v="11"/>
    <s v="(N4)"/>
    <n v="42000"/>
    <x v="1"/>
    <n v="50"/>
    <x v="1"/>
    <x v="1"/>
    <d v="2026-09-17T00:00:00"/>
    <n v="134926"/>
    <s v="116_2296"/>
    <s v="Vora 2 - PR"/>
    <s v="(N2)"/>
    <n v="40000"/>
    <d v="2027-08-04T00:00:00"/>
    <n v="67"/>
    <n v="44"/>
    <d v="2027-09-17T00:00:00"/>
  </r>
  <r>
    <s v="PR"/>
    <x v="81"/>
    <x v="54"/>
    <n v="101826"/>
    <n v="21.714285714285715"/>
    <s v="112_1939"/>
    <x v="11"/>
    <s v="(N4)"/>
    <n v="42000"/>
    <x v="1"/>
    <n v="50"/>
    <x v="1"/>
    <x v="1"/>
    <d v="2026-09-24T00:00:00"/>
    <n v="134926"/>
    <s v="116_2296"/>
    <s v="Vora 2 - PR"/>
    <s v="(N2)"/>
    <n v="40000"/>
    <d v="2027-08-11T00:00:00"/>
    <n v="67"/>
    <n v="44"/>
    <d v="2027-09-24T00:00:00"/>
  </r>
  <r>
    <s v="PR"/>
    <x v="81"/>
    <x v="53"/>
    <n v="102226"/>
    <n v="22.714285714285715"/>
    <s v="10_1938"/>
    <x v="9"/>
    <s v="(N1)"/>
    <n v="45000"/>
    <x v="3"/>
    <n v="41"/>
    <x v="0"/>
    <x v="3"/>
    <d v="2026-09-17T00:00:00"/>
    <n v="136426"/>
    <s v="10_1460"/>
    <s v="Iguaçu 2 - PR"/>
    <s v="(N3)"/>
    <n v="42000"/>
    <d v="2027-08-11T00:00:00"/>
    <n v="68"/>
    <n v="43"/>
    <d v="2027-09-23T00:00:00"/>
  </r>
  <r>
    <s v="PR"/>
    <x v="82"/>
    <x v="54"/>
    <n v="102126"/>
    <n v="21.714285714285715"/>
    <s v="10_369"/>
    <x v="15"/>
    <s v="(N2)"/>
    <n v="66000"/>
    <x v="1"/>
    <n v="50"/>
    <x v="0"/>
    <x v="4"/>
    <d v="2026-09-24T00:00:00"/>
    <n v="136426"/>
    <s v="10_1460"/>
    <s v="Iguaçu 2 - PR"/>
    <s v="(N3)"/>
    <n v="17000"/>
    <d v="2027-08-11T00:00:00"/>
    <n v="67"/>
    <n v="37"/>
    <d v="2027-09-17T00:00:00"/>
  </r>
  <r>
    <s v="PR"/>
    <x v="82"/>
    <x v="54"/>
    <n v="102126"/>
    <n v="21.714285714285715"/>
    <s v="10_369"/>
    <x v="15"/>
    <s v="(N2)"/>
    <m/>
    <x v="1"/>
    <n v="50"/>
    <x v="0"/>
    <x v="4"/>
    <d v="2026-09-24T00:00:00"/>
    <n v="136626"/>
    <s v="84_162"/>
    <s v="Faxinal 2 - SC"/>
    <s v="(N2)"/>
    <n v="15000"/>
    <d v="2027-08-04T00:00:00"/>
    <n v="66"/>
    <n v="41"/>
    <d v="2027-09-14T00:00:00"/>
  </r>
  <r>
    <s v="PR"/>
    <x v="82"/>
    <x v="54"/>
    <n v="102126"/>
    <n v="21.714285714285715"/>
    <s v="10_369"/>
    <x v="15"/>
    <s v="(N2)"/>
    <m/>
    <x v="1"/>
    <n v="50"/>
    <x v="0"/>
    <x v="4"/>
    <d v="2026-09-24T00:00:00"/>
    <n v="137326"/>
    <s v="101_1079"/>
    <s v="Ponte serrada 1 - SC"/>
    <s v="(N1)"/>
    <n v="30000"/>
    <d v="2027-08-25T00:00:00"/>
    <n v="69"/>
    <n v="53"/>
    <d v="2027-10-17T00:00:00"/>
  </r>
  <r>
    <s v="PR"/>
    <x v="83"/>
    <x v="55"/>
    <n v="102326"/>
    <n v="20.714285714285715"/>
    <s v="27_181"/>
    <x v="17"/>
    <s v="(N2)"/>
    <n v="42000"/>
    <x v="1"/>
    <n v="59"/>
    <x v="1"/>
    <x v="1"/>
    <d v="2026-10-01T00:00:00"/>
    <n v="136026"/>
    <s v="25_53"/>
    <s v="Mariott - PR"/>
    <s v="(N1)"/>
    <n v="40000"/>
    <d v="2027-08-11T00:00:00"/>
    <n v="66"/>
    <n v="55"/>
    <d v="2027-10-05T00:00:00"/>
  </r>
  <r>
    <s v="PR"/>
    <x v="84"/>
    <x v="56"/>
    <n v="102426"/>
    <n v="19.714285714285715"/>
    <s v="10_169"/>
    <x v="13"/>
    <s v="(N1)"/>
    <n v="43000"/>
    <x v="3"/>
    <n v="20"/>
    <x v="0"/>
    <x v="3"/>
    <d v="2026-10-08T00:00:00"/>
    <n v="136726"/>
    <s v="85_158"/>
    <s v="Tortato - SC"/>
    <s v="(N1)"/>
    <n v="18000"/>
    <d v="2027-08-25T00:00:00"/>
    <n v="67"/>
    <n v="58"/>
    <d v="2027-10-22T00:00:00"/>
  </r>
  <r>
    <s v="PR"/>
    <x v="84"/>
    <x v="56"/>
    <n v="102426"/>
    <n v="19.714285714285715"/>
    <s v="10_169"/>
    <x v="13"/>
    <s v="(N1)"/>
    <m/>
    <x v="3"/>
    <n v="20"/>
    <x v="0"/>
    <x v="3"/>
    <d v="2026-10-08T00:00:00"/>
    <n v="134026"/>
    <s v="13_1458"/>
    <s v="Fiorin - SC"/>
    <s v="(N1)"/>
    <n v="23000"/>
    <d v="2027-08-25T00:00:00"/>
    <n v="67"/>
    <n v="69"/>
    <d v="2027-11-02T00:00:00"/>
  </r>
  <r>
    <s v="PR"/>
    <x v="85"/>
    <x v="56"/>
    <n v="102526"/>
    <n v="19.714285714285715"/>
    <s v="112_67"/>
    <x v="22"/>
    <s v="(N2)"/>
    <n v="72000"/>
    <x v="3"/>
    <n v="25"/>
    <x v="0"/>
    <x v="4"/>
    <d v="2026-10-08T00:00:00"/>
    <n v="138026"/>
    <s v="10_44"/>
    <s v="São José - PR"/>
    <s v="(N1)"/>
    <n v="29000"/>
    <d v="2027-08-25T00:00:00"/>
    <n v="67"/>
    <n v="58"/>
    <d v="2027-10-22T00:00:00"/>
  </r>
  <r>
    <s v="PR"/>
    <x v="85"/>
    <x v="56"/>
    <n v="102526"/>
    <n v="19.714285714285715"/>
    <s v="112_67"/>
    <x v="22"/>
    <s v="(N2)"/>
    <m/>
    <x v="3"/>
    <n v="25"/>
    <x v="0"/>
    <x v="4"/>
    <d v="2026-10-08T00:00:00"/>
    <n v="137126"/>
    <s v="10_48"/>
    <s v="São Miguel - PR"/>
    <s v="(N1)"/>
    <n v="40000"/>
    <d v="2027-09-01T00:00:00"/>
    <n v="68"/>
    <n v="46"/>
    <d v="2027-10-17T00:00:00"/>
  </r>
  <r>
    <s v="PR"/>
    <x v="86"/>
    <x v="57"/>
    <n v="102826"/>
    <n v="18.714285714285715"/>
    <s v="10_1250"/>
    <x v="14"/>
    <s v="(N2)"/>
    <n v="60000"/>
    <x v="0"/>
    <n v="26"/>
    <x v="0"/>
    <x v="3"/>
    <d v="2026-10-15T00:00:00"/>
    <n v="137226"/>
    <s v="13_1080"/>
    <s v="Ponte serrada 2 - SC"/>
    <s v="(N1)"/>
    <n v="57000"/>
    <d v="2027-09-01T00:00:00"/>
    <n v="67"/>
    <e v="#REF!"/>
    <s v=" "/>
  </r>
  <r>
    <s v="PR"/>
    <x v="87"/>
    <x v="58"/>
    <n v="102926"/>
    <n v="16.714285714285715"/>
    <s v="139_149"/>
    <x v="24"/>
    <s v="(N2)"/>
    <n v="60000"/>
    <x v="3"/>
    <n v="28"/>
    <x v="0"/>
    <x v="4"/>
    <d v="2026-10-29T00:00:00"/>
    <n v="136526"/>
    <s v="118_832"/>
    <s v="Renascença 1 - PR"/>
    <s v="(N1)"/>
    <n v="57000"/>
    <d v="2027-09-15T00:00:00"/>
    <n v="67"/>
    <n v="56"/>
    <d v="2027-11-10T00:00:00"/>
  </r>
  <r>
    <s v="PR"/>
    <x v="87"/>
    <x v="58"/>
    <n v="103026"/>
    <n v="16.714285714285715"/>
    <s v="112_2399"/>
    <x v="33"/>
    <s v="(N5)"/>
    <n v="60000"/>
    <x v="1"/>
    <n v="55"/>
    <x v="0"/>
    <x v="0"/>
    <d v="2026-10-29T00:00:00"/>
    <n v="136826"/>
    <s v="10_397"/>
    <s v="Nona Tere - PR"/>
    <s v="(N1)"/>
    <n v="57000"/>
    <d v="2027-09-08T00:00:00"/>
    <n v="66"/>
    <n v="61"/>
    <d v="2027-11-08T00:00:00"/>
  </r>
  <r>
    <s v="PR"/>
    <x v="87"/>
    <x v="58"/>
    <n v="102726"/>
    <n v="16.714285714285715"/>
    <s v="10_140"/>
    <x v="16"/>
    <s v="(N1)"/>
    <n v="42000"/>
    <x v="0"/>
    <n v="25"/>
    <x v="1"/>
    <x v="1"/>
    <d v="2026-10-29T00:00:00"/>
    <n v="137826"/>
    <s v="117_157"/>
    <s v="Bom sucesso 3 - PR"/>
    <s v="(N3)"/>
    <n v="40320"/>
    <d v="2027-09-15T00:00:00"/>
    <n v="67"/>
    <n v="48"/>
    <d v="2027-11-02T00:00:00"/>
  </r>
  <r>
    <s v="PR"/>
    <x v="88"/>
    <x v="59"/>
    <n v="103326"/>
    <n v="15.714285714285714"/>
    <s v="10_775"/>
    <x v="19"/>
    <s v="(N1)"/>
    <n v="50000"/>
    <x v="3"/>
    <n v="30"/>
    <x v="0"/>
    <x v="4"/>
    <d v="2026-11-05T00:00:00"/>
    <n v="137526"/>
    <s v="10_858"/>
    <s v="Salto Caxias Prod. 2 - PR"/>
    <s v="(N3)"/>
    <n v="48000"/>
    <d v="2027-09-29T00:00:00"/>
    <n v="68"/>
    <n v="51"/>
    <d v="2027-11-19T00:00:00"/>
  </r>
  <r>
    <s v="PR"/>
    <x v="88"/>
    <x v="59"/>
    <n v="103126"/>
    <n v="15.714285714285714"/>
    <s v="10_326"/>
    <x v="21"/>
    <s v="(N1)"/>
    <n v="38000"/>
    <x v="3"/>
    <n v="30"/>
    <x v="0"/>
    <x v="4"/>
    <d v="2026-11-05T00:00:00"/>
    <n v="137026"/>
    <s v="84_170"/>
    <s v="Faxinal 3 - SC"/>
    <s v="(N3)"/>
    <n v="36000"/>
    <d v="2027-09-29T00:00:00"/>
    <n v="68"/>
    <e v="#REF!"/>
    <s v=" "/>
  </r>
  <r>
    <s v="PR"/>
    <x v="89"/>
    <x v="60"/>
    <n v="103426"/>
    <n v="14.714285714285714"/>
    <s v="10_130"/>
    <x v="20"/>
    <s v="(N1)"/>
    <n v="46000"/>
    <x v="1"/>
    <n v="50"/>
    <x v="0"/>
    <x v="0"/>
    <d v="2026-11-12T00:00:00"/>
    <n v="137026"/>
    <s v="84_170"/>
    <s v="Faxinal 3 - SC"/>
    <s v="(N3)"/>
    <n v="20000"/>
    <d v="2027-09-22T00:00:00"/>
    <n v="66"/>
    <m/>
    <d v="2027-09-22T00:00:00"/>
  </r>
  <r>
    <s v="PR"/>
    <x v="89"/>
    <x v="60"/>
    <n v="103426"/>
    <n v="14.714285714285714"/>
    <s v="10_130"/>
    <x v="20"/>
    <s v="(N1)"/>
    <m/>
    <x v="1"/>
    <n v="50"/>
    <x v="0"/>
    <x v="0"/>
    <d v="2026-11-12T00:00:00"/>
    <n v="137426"/>
    <s v="10_69"/>
    <s v="Flor da serra - PR"/>
    <s v="(N1)"/>
    <n v="23000"/>
    <d v="2027-10-13T00:00:00"/>
    <n v="69"/>
    <n v="60"/>
    <d v="2027-12-12T00:00:00"/>
  </r>
  <r>
    <s v="PR"/>
    <x v="89"/>
    <x v="60"/>
    <n v="103626"/>
    <n v="14.714285714285714"/>
    <s v="10_180"/>
    <x v="23"/>
    <s v="(N1)"/>
    <n v="46000"/>
    <x v="3"/>
    <n v="25"/>
    <x v="0"/>
    <x v="0"/>
    <d v="2026-11-12T00:00:00"/>
    <m/>
    <s v=""/>
    <s v="Plusval"/>
    <s v=""/>
    <n v="7000"/>
    <d v="2027-09-22T00:00:00"/>
    <n v="66"/>
    <n v="47"/>
    <d v="2027-11-08T00:00:00"/>
  </r>
  <r>
    <s v="PR"/>
    <x v="89"/>
    <x v="60"/>
    <n v="103626"/>
    <n v="14.714285714285714"/>
    <s v="10_180"/>
    <x v="23"/>
    <s v="(N1)"/>
    <m/>
    <x v="3"/>
    <n v="25"/>
    <x v="0"/>
    <x v="0"/>
    <d v="2026-11-12T00:00:00"/>
    <n v="138126"/>
    <s v="10_856"/>
    <s v="JS - PR"/>
    <s v="(N1)"/>
    <n v="36000"/>
    <d v="2027-10-13T00:00:00"/>
    <n v="69"/>
    <n v="60"/>
    <d v="2027-12-12T00:00:00"/>
  </r>
  <r>
    <s v="PR"/>
    <x v="90"/>
    <x v="60"/>
    <n v="103226"/>
    <n v="14.714285714285714"/>
    <s v="10_267"/>
    <x v="18"/>
    <s v="(N1)"/>
    <n v="63000"/>
    <x v="3"/>
    <n v="25"/>
    <x v="1"/>
    <x v="1"/>
    <d v="2026-11-12T00:00:00"/>
    <n v="138226"/>
    <s v="10_367"/>
    <s v="Ilha Bella 1 - PR"/>
    <s v="(N1)"/>
    <n v="60000"/>
    <d v="2027-10-06T00:00:00"/>
    <n v="68"/>
    <n v="60"/>
    <d v="2027-12-05T00:00:00"/>
  </r>
  <r>
    <s v="PR"/>
    <x v="90"/>
    <x v="60"/>
    <n v="103226"/>
    <n v="14.714285714285714"/>
    <s v="10_267"/>
    <x v="18"/>
    <s v="(N1)"/>
    <n v="63000"/>
    <x v="3"/>
    <n v="25"/>
    <x v="1"/>
    <x v="1"/>
    <d v="2026-11-12T00:00:00"/>
    <n v="138226"/>
    <s v="10_367"/>
    <s v="Ilha Bella 1 - PR"/>
    <s v="(N1)"/>
    <n v="18000"/>
    <d v="2027-10-06T00:00:00"/>
    <n v="68"/>
    <n v="60"/>
    <d v="2027-12-05T00:00:00"/>
  </r>
  <r>
    <s v="PR"/>
    <x v="90"/>
    <x v="60"/>
    <n v="103226"/>
    <n v="14.714285714285714"/>
    <s v="10_267"/>
    <x v="18"/>
    <s v="(N1)"/>
    <m/>
    <x v="3"/>
    <n v="25"/>
    <x v="1"/>
    <x v="1"/>
    <d v="2026-11-12T00:00:00"/>
    <n v="138426"/>
    <s v="17_107"/>
    <s v="Bela Vista 4 - PR"/>
    <s v="(N4)"/>
    <n v="44000"/>
    <d v="2027-10-13T00:00:00"/>
    <n v="69"/>
    <n v="60"/>
    <d v="2027-12-12T00:00:00"/>
  </r>
  <r>
    <s v="PR"/>
    <x v="91"/>
    <x v="61"/>
    <n v="103726"/>
    <n v="13.714285714285714"/>
    <s v="10_2384"/>
    <x v="35"/>
    <s v="(N1)"/>
    <n v="60000"/>
    <x v="3"/>
    <n v="30"/>
    <x v="0"/>
    <x v="0"/>
    <d v="2026-11-19T00:00:00"/>
    <n v="138326"/>
    <s v="10_2385"/>
    <s v="N. Sª. Ap. Prod. 1 - PR"/>
    <s v="(N2)"/>
    <n v="57600"/>
    <d v="2027-09-29T00:00:00"/>
    <n v="66"/>
    <n v="60"/>
    <d v="2027-11-28T00:00:00"/>
  </r>
  <r>
    <s v="PR"/>
    <x v="92"/>
    <x v="62"/>
    <n v="102626"/>
    <n v="12.714285714285714"/>
    <s v="112_2401"/>
    <x v="36"/>
    <s v="(N6)"/>
    <n v="42000"/>
    <x v="3"/>
    <n v="25"/>
    <x v="0"/>
    <x v="0"/>
    <d v="2026-11-26T00:00:00"/>
    <n v="137926"/>
    <s v="26_167"/>
    <s v="Salto 2 - PR"/>
    <s v="(N2)"/>
    <n v="38000"/>
    <d v="2027-10-13T00:00:00"/>
    <n v="67"/>
    <n v="60"/>
    <d v="2027-12-12T00:00:00"/>
  </r>
  <r>
    <s v="PR"/>
    <x v="93"/>
    <x v="63"/>
    <n v="102626"/>
    <n v="11.714285714285714"/>
    <s v="112_2401"/>
    <x v="36"/>
    <s v="(N6)"/>
    <n v="46000"/>
    <x v="3"/>
    <n v="25"/>
    <x v="0"/>
    <x v="0"/>
    <d v="2026-12-03T00:00:00"/>
    <n v="136926"/>
    <s v="117_202"/>
    <s v="Bom sucesso 4 - PR"/>
    <s v="(N5)"/>
    <n v="44000"/>
    <d v="2027-10-13T00:00:00"/>
    <n v="66"/>
    <m/>
    <d v="2027-10-13T00:00:00"/>
  </r>
  <r>
    <s v="PR"/>
    <x v="94"/>
    <x v="63"/>
    <n v="103826"/>
    <n v="11.714285714285714"/>
    <s v="117_1531"/>
    <x v="30"/>
    <s v="(N7)"/>
    <n v="84000"/>
    <x v="1"/>
    <n v="55"/>
    <x v="1"/>
    <x v="1"/>
    <d v="2026-12-03T00:00:00"/>
    <n v="137626"/>
    <s v="116_2297"/>
    <s v="Vora 1 - PR"/>
    <s v="(N1)"/>
    <n v="80000"/>
    <d v="2027-10-13T00:00:00"/>
    <n v="66"/>
    <n v="60"/>
    <d v="2027-12-12T00:00:00"/>
  </r>
  <r>
    <s v="PR"/>
    <x v="95"/>
    <x v="64"/>
    <n v="103926"/>
    <n v="9.7142857142857135"/>
    <s v="10_116"/>
    <x v="25"/>
    <s v="(N1)"/>
    <n v="61200"/>
    <x v="1"/>
    <n v="53"/>
    <x v="0"/>
    <x v="3"/>
    <d v="2026-12-17T00:00:00"/>
    <m/>
    <s v="123_1537"/>
    <s v="Fronteira 2 - PR"/>
    <s v="(N2)"/>
    <n v="57000"/>
    <d v="2027-11-03T00:00:00"/>
    <n v="67"/>
    <n v="54"/>
    <d v="2027-12-27T00:00:00"/>
  </r>
  <r>
    <s v="PR"/>
    <x v="96"/>
    <x v="65"/>
    <n v="104126"/>
    <n v="8.7142857142857135"/>
    <s v="27_165"/>
    <x v="27"/>
    <s v="(N1)"/>
    <n v="42000"/>
    <x v="3"/>
    <n v="20"/>
    <x v="2"/>
    <x v="11"/>
    <d v="2026-12-24T00:00:00"/>
    <n v="138426"/>
    <s v="117_219"/>
    <s v="Bom sucesso 5 - PR"/>
    <s v="(N6)"/>
    <n v="40320"/>
    <d v="2027-11-03T00:00:00"/>
    <n v="66"/>
    <n v="50"/>
    <d v="2027-12-23T00:00:00"/>
  </r>
  <r>
    <s v="PR"/>
    <x v="97"/>
    <x v="65"/>
    <n v="104226"/>
    <n v="8.7142857142857135"/>
    <s v="10_1405"/>
    <x v="26"/>
    <s v="(N1)"/>
    <n v="60000"/>
    <x v="3"/>
    <n v="20"/>
    <x v="1"/>
    <x v="1"/>
    <d v="2026-12-24T00:00:00"/>
    <m/>
    <s v="10_55"/>
    <s v="Celso Hoffelder - PR"/>
    <s v="(N1)"/>
    <n v="57000"/>
    <d v="2027-11-17T00:00:00"/>
    <n v="68"/>
    <n v="48"/>
    <d v="2028-01-04T00:00:00"/>
  </r>
  <r>
    <s v="PR"/>
    <x v="98"/>
    <x v="66"/>
    <n v="104326"/>
    <n v="7.7142857142857144"/>
    <s v="10_327"/>
    <x v="29"/>
    <s v="(N2)"/>
    <n v="38000"/>
    <x v="3"/>
    <n v="20"/>
    <x v="0"/>
    <x v="0"/>
    <d v="2026-12-31T00:00:00"/>
    <m/>
    <s v="90_861"/>
    <s v="Marafon - PR"/>
    <s v="(N1)"/>
    <n v="36000"/>
    <d v="2027-11-10T00:00:00"/>
    <n v="66"/>
    <m/>
    <d v="2027-11-10T00:00:00"/>
  </r>
  <r>
    <s v="PR"/>
    <x v="99"/>
    <x v="66"/>
    <n v="104426"/>
    <n v="7.7142857142857144"/>
    <s v="10_1182"/>
    <x v="28"/>
    <s v="(N2)"/>
    <n v="60000"/>
    <x v="1"/>
    <n v="50"/>
    <x v="0"/>
    <x v="0"/>
    <d v="2026-12-31T00:00:00"/>
    <m/>
    <s v="87_854"/>
    <s v="Samambaia 2 - SP"/>
    <s v="(N2)"/>
    <n v="22000"/>
    <d v="2027-11-10T00:00:00"/>
    <n v="66"/>
    <m/>
    <d v="2027-11-10T00:00:00"/>
  </r>
  <r>
    <s v="PR"/>
    <x v="99"/>
    <x v="66"/>
    <n v="104426"/>
    <n v="7.7142857142857144"/>
    <s v="10_1182"/>
    <x v="28"/>
    <s v="(N2)"/>
    <m/>
    <x v="1"/>
    <n v="50"/>
    <x v="0"/>
    <x v="0"/>
    <d v="2026-12-31T00:00:00"/>
    <m/>
    <s v="118_863"/>
    <s v="Renascença 2 - PR"/>
    <s v="(N2)"/>
    <n v="36000"/>
    <d v="2027-11-10T00:00:00"/>
    <n v="66"/>
    <m/>
    <d v="2027-11-10T00:00:00"/>
  </r>
  <r>
    <s v="PR"/>
    <x v="100"/>
    <x v="67"/>
    <n v="104526"/>
    <n v="6.7142857142857144"/>
    <s v="10_203"/>
    <x v="1"/>
    <s v="(N1)"/>
    <n v="60000"/>
    <x v="1"/>
    <n v="50"/>
    <x v="1"/>
    <x v="1"/>
    <d v="2027-01-07T00:00:00"/>
    <m/>
    <s v="10_368"/>
    <s v="Rossi 2 - PR"/>
    <s v="(N2)"/>
    <n v="57600"/>
    <d v="2027-11-17T00:00:00"/>
    <n v="66"/>
    <m/>
    <d v="2027-11-17T00:00:00"/>
  </r>
  <r>
    <s v="PR"/>
    <x v="101"/>
    <x v="68"/>
    <n v="104726"/>
    <n v="4.7142857142857144"/>
    <s v="10_1295"/>
    <x v="0"/>
    <s v="(N3)"/>
    <n v="84000"/>
    <x v="1"/>
    <n v="50"/>
    <x v="1"/>
    <x v="1"/>
    <d v="2027-01-21T00:00:00"/>
    <m/>
    <s v="108_1387"/>
    <s v="Saade - SC"/>
    <s v="(N1)"/>
    <n v="22000"/>
    <d v="2027-11-17T00:00:00"/>
    <n v="64"/>
    <m/>
    <d v="2027-11-17T00:00:00"/>
  </r>
  <r>
    <s v="PR"/>
    <x v="101"/>
    <x v="68"/>
    <n v="104726"/>
    <n v="4.7142857142857144"/>
    <s v="10_1295"/>
    <x v="0"/>
    <s v="(N3)"/>
    <n v="0"/>
    <x v="1"/>
    <n v="50"/>
    <x v="1"/>
    <x v="1"/>
    <d v="2027-01-21T00:00:00"/>
    <m/>
    <s v="10_1535"/>
    <s v="Ilha Bella 2 - PR"/>
    <s v="(N2)"/>
    <n v="58000"/>
    <d v="2027-12-01T00:00:00"/>
    <n v="66"/>
    <m/>
    <d v="2027-12-01T00:00:00"/>
  </r>
  <r>
    <s v="PR"/>
    <x v="102"/>
    <x v="69"/>
    <n v="104826"/>
    <n v="1.7142857142857142"/>
    <s v="128_1367"/>
    <x v="3"/>
    <s v="(N1)"/>
    <n v="60000"/>
    <x v="1"/>
    <n v="50"/>
    <x v="0"/>
    <x v="4"/>
    <d v="2027-02-11T00:00:00"/>
    <m/>
    <s v="123_1538"/>
    <s v="Fronteira 3 - PR"/>
    <s v="(N3)"/>
    <n v="57000"/>
    <d v="2027-12-22T00:00:00"/>
    <n v="66"/>
    <m/>
    <d v="2027-12-22T00:00:00"/>
  </r>
  <r>
    <s v="JBS"/>
    <x v="103"/>
    <x v="70"/>
    <n v="200626"/>
    <n v="4.4285714285714288"/>
    <s v="29_2238"/>
    <x v="37"/>
    <s v="(N1)"/>
    <m/>
    <x v="3"/>
    <n v="25"/>
    <x v="0"/>
    <x v="3"/>
    <d v="2027-01-23T00:00:00"/>
    <m/>
    <s v="17_106"/>
    <s v="Bela Vista 3 - PR"/>
    <s v="(N3)"/>
    <n v="11000"/>
    <d v="2027-12-31T00:00:00"/>
    <n v="70"/>
    <m/>
    <d v="2027-12-31T00:00:00"/>
  </r>
  <r>
    <s v="PR"/>
    <x v="104"/>
    <x v="69"/>
    <n v="104926"/>
    <n v="1.7142857142857142"/>
    <s v="124_47"/>
    <x v="6"/>
    <s v="(N1)"/>
    <n v="30000"/>
    <x v="3"/>
    <n v="20"/>
    <x v="1"/>
    <x v="1"/>
    <d v="2027-02-11T00:00:00"/>
    <m/>
    <s v="17_106"/>
    <s v="Bela Vista 3 - PR"/>
    <s v="(N3)"/>
    <n v="28800"/>
    <d v="2027-12-22T00:00:00"/>
    <n v="66"/>
    <m/>
    <d v="2027-12-22T00:00:00"/>
  </r>
  <r>
    <m/>
    <x v="105"/>
    <x v="71"/>
    <m/>
    <n v="-4.8571428571428568"/>
    <s v=""/>
    <x v="38"/>
    <s v=""/>
    <n v="80000"/>
    <x v="4"/>
    <s v="-"/>
    <x v="0"/>
    <x v="0"/>
    <d v="2027-03-29T00:00:00"/>
    <m/>
    <s v=""/>
    <m/>
    <s v=""/>
    <n v="76800"/>
    <d v="2028-02-06T00:00:00"/>
    <n v="66"/>
    <m/>
    <d v="2028-02-06T00:00:00"/>
  </r>
  <r>
    <s v="SP"/>
    <x v="106"/>
    <x v="72"/>
    <n v="200826"/>
    <n v="0.2857142857142857"/>
    <s v="22_494"/>
    <x v="39"/>
    <s v="(N1)"/>
    <m/>
    <x v="1"/>
    <n v="60"/>
    <x v="1"/>
    <x v="1"/>
    <d v="2027-02-21T00:00:00"/>
    <m/>
    <s v="138_26"/>
    <s v="Erveira - PR"/>
    <s v="(N1)"/>
    <n v="28000"/>
    <d v="2028-01-01T00:00:00"/>
    <n v="66"/>
    <m/>
    <d v="2028-01-01T00:00:00"/>
  </r>
  <r>
    <s v="PR"/>
    <x v="104"/>
    <x v="69"/>
    <n v="105026"/>
    <n v="1.7142857142857142"/>
    <s v="117_139"/>
    <x v="2"/>
    <s v="(N4)"/>
    <n v="43000"/>
    <x v="0"/>
    <n v="20"/>
    <x v="0"/>
    <x v="3"/>
    <d v="2027-02-11T00:00:00"/>
    <m/>
    <s v="26_166"/>
    <s v="Salto 1 - PR"/>
    <s v="(N1)"/>
    <n v="41280"/>
    <d v="2027-12-22T00:00:00"/>
    <n v="66"/>
    <m/>
    <d v="2027-12-22T00:00:00"/>
  </r>
  <r>
    <s v="PR"/>
    <x v="107"/>
    <x v="73"/>
    <n v="105126"/>
    <n v="0.7142857142857143"/>
    <s v="10_857"/>
    <x v="5"/>
    <s v="(N2)"/>
    <n v="60000"/>
    <x v="0"/>
    <n v="23"/>
    <x v="1"/>
    <x v="1"/>
    <d v="2027-02-18T00:00:00"/>
    <m/>
    <s v="123_1539"/>
    <s v="Fronteira 4 - PR"/>
    <s v="(N4)"/>
    <n v="57600"/>
    <d v="2027-12-29T00:00:00"/>
    <n v="66"/>
    <m/>
    <d v="2027-12-29T00:00:00"/>
  </r>
  <r>
    <s v="PR"/>
    <x v="108"/>
    <x v="74"/>
    <n v="105226"/>
    <n v="-1.2857142857142858"/>
    <s v="112_29"/>
    <x v="8"/>
    <s v="(N1)"/>
    <n v="107000"/>
    <x v="3"/>
    <n v="20"/>
    <x v="0"/>
    <x v="4"/>
    <d v="2027-03-04T00:00:00"/>
    <m/>
    <s v="10_20"/>
    <s v="Biava - PR"/>
    <s v="(N1)"/>
    <n v="26000"/>
    <d v="2028-01-12T00:00:00"/>
    <n v="66"/>
    <m/>
    <d v="2028-01-12T00:00:00"/>
  </r>
  <r>
    <s v="PR"/>
    <x v="108"/>
    <x v="74"/>
    <n v="105226"/>
    <n v="-1.2857142857142858"/>
    <s v="112_29"/>
    <x v="8"/>
    <s v="(N1)"/>
    <m/>
    <x v="3"/>
    <n v="20"/>
    <x v="0"/>
    <x v="4"/>
    <d v="2027-03-04T00:00:00"/>
    <m/>
    <s v="10_18"/>
    <s v="Alto Verê - PR"/>
    <s v="(N1)"/>
    <n v="25000"/>
    <d v="2028-01-12T00:00:00"/>
    <n v="66"/>
    <m/>
    <d v="2028-01-12T00:00:00"/>
  </r>
  <r>
    <s v="PR"/>
    <x v="108"/>
    <x v="74"/>
    <n v="105226"/>
    <n v="-1.2857142857142858"/>
    <s v="112_29"/>
    <x v="8"/>
    <s v="(N1)"/>
    <m/>
    <x v="3"/>
    <n v="20"/>
    <x v="0"/>
    <x v="4"/>
    <d v="2027-03-04T00:00:00"/>
    <m/>
    <s v="10_52"/>
    <s v="Km 45 nucleo 2 - PR"/>
    <s v="(N2)"/>
    <n v="50000"/>
    <d v="2028-01-12T00:00:00"/>
    <n v="66"/>
    <m/>
    <d v="2028-01-12T00:00:00"/>
  </r>
  <r>
    <s v="PR"/>
    <x v="109"/>
    <x v="74"/>
    <n v="105826"/>
    <m/>
    <s v="139_49"/>
    <x v="7"/>
    <s v="(N1)"/>
    <n v="60000"/>
    <x v="0"/>
    <n v="20"/>
    <x v="1"/>
    <x v="1"/>
    <d v="2027-03-04T00:00:00"/>
    <m/>
    <s v="118_1081"/>
    <s v="Renascença 3 - PR"/>
    <s v="(N3)"/>
    <n v="57600"/>
    <d v="2028-01-12T00:00:00"/>
    <n v="66"/>
    <m/>
    <d v="2028-01-12T00:00:00"/>
  </r>
  <r>
    <s v="PR"/>
    <x v="110"/>
    <x v="74"/>
    <n v="105526"/>
    <n v="123"/>
    <s v="112_16"/>
    <x v="10"/>
    <s v="(N3)"/>
    <n v="60000"/>
    <x v="1"/>
    <n v="50"/>
    <x v="1"/>
    <x v="1"/>
    <d v="2027-03-04T00:00:00"/>
    <m/>
    <s v="119_153"/>
    <s v="São Bernardo - PR"/>
    <s v="(N1)"/>
    <n v="34000"/>
    <d v="2028-01-12T00:00:00"/>
    <n v="66"/>
    <m/>
    <d v="2028-01-12T00:00:00"/>
  </r>
  <r>
    <s v="PR"/>
    <x v="110"/>
    <x v="74"/>
    <n v="105526"/>
    <n v="123"/>
    <s v="112_16"/>
    <x v="10"/>
    <s v="(N3)"/>
    <m/>
    <x v="1"/>
    <n v="50"/>
    <x v="1"/>
    <x v="1"/>
    <d v="2027-03-04T00:00:00"/>
    <m/>
    <s v="95_102"/>
    <s v="Casarin - SC"/>
    <s v="(N1)"/>
    <n v="24000"/>
    <d v="2028-01-12T00:00:00"/>
    <n v="66"/>
    <m/>
    <d v="2028-01-12T00:00:00"/>
  </r>
  <r>
    <s v="PR"/>
    <x v="111"/>
    <x v="75"/>
    <n v="105326"/>
    <n v="153565"/>
    <s v="10_328"/>
    <x v="4"/>
    <s v="(N3)"/>
    <n v="38000"/>
    <x v="3"/>
    <n v="20"/>
    <x v="0"/>
    <x v="4"/>
    <d v="2027-03-11T00:00:00"/>
    <m/>
    <s v="89_864"/>
    <s v="Asa branca - PR"/>
    <s v="(N1)"/>
    <n v="36480"/>
    <d v="2028-01-19T00:00:00"/>
    <n v="66"/>
    <m/>
    <d v="2028-01-19T00:00:00"/>
  </r>
  <r>
    <s v="PR"/>
    <x v="112"/>
    <x v="76"/>
    <n v="105426"/>
    <n v="123"/>
    <s v="10_1940"/>
    <x v="32"/>
    <s v="(N1)"/>
    <n v="61000"/>
    <x v="3"/>
    <n v="26"/>
    <x v="0"/>
    <x v="3"/>
    <d v="2027-03-10T00:00:00"/>
    <m/>
    <s v="10_2382"/>
    <s v="Aliança Prod. 1 - PR"/>
    <s v="(N2)"/>
    <n v="58560"/>
    <d v="2028-01-18T00:00:00"/>
    <n v="66"/>
    <m/>
    <d v="2028-01-18T00:00:00"/>
  </r>
  <r>
    <s v="PR"/>
    <x v="113"/>
    <x v="77"/>
    <n v="105626"/>
    <n v="153541"/>
    <s v="10_1938"/>
    <x v="9"/>
    <s v="(N1)"/>
    <n v="45000"/>
    <x v="1"/>
    <n v="48"/>
    <x v="0"/>
    <x v="12"/>
    <d v="2027-03-24T00:00:00"/>
    <m/>
    <s v="117_124"/>
    <s v="Bom sucesso 2 - PR"/>
    <s v="(N2)"/>
    <n v="43200"/>
    <d v="2028-02-01T00:00:00"/>
    <n v="66"/>
    <m/>
    <d v="2028-02-01T00:00:00"/>
  </r>
  <r>
    <s v="PR"/>
    <x v="114"/>
    <x v="78"/>
    <n v="105726"/>
    <m/>
    <s v="10_776"/>
    <x v="12"/>
    <s v="(N3)"/>
    <n v="74000"/>
    <x v="3"/>
    <n v="25"/>
    <x v="1"/>
    <x v="1"/>
    <d v="2027-03-19T00:00:00"/>
    <m/>
    <s v="122_22"/>
    <s v="Butiá - PR"/>
    <s v="(N1)"/>
    <n v="36000"/>
    <d v="2028-01-27T00:00:00"/>
    <n v="66"/>
    <m/>
    <d v="2028-01-27T00:00:00"/>
  </r>
  <r>
    <s v="PR"/>
    <x v="114"/>
    <x v="78"/>
    <n v="105726"/>
    <m/>
    <s v="10_776"/>
    <x v="12"/>
    <s v="(N3)"/>
    <m/>
    <x v="3"/>
    <n v="25"/>
    <x v="1"/>
    <x v="1"/>
    <d v="2027-03-19T00:00:00"/>
    <m/>
    <s v="10_233"/>
    <s v="Cappellesso - PR"/>
    <s v="(N1)"/>
    <n v="36000"/>
    <d v="2028-01-27T00:00:00"/>
    <n v="66"/>
    <m/>
    <d v="2028-01-27T00:00:00"/>
  </r>
  <r>
    <s v="PR"/>
    <x v="115"/>
    <x v="79"/>
    <n v="103526"/>
    <n v="153538"/>
    <s v="135_2389"/>
    <x v="40"/>
    <s v="(N1)"/>
    <n v="60000"/>
    <x v="3"/>
    <n v="25"/>
    <x v="0"/>
    <x v="0"/>
    <d v="2027-04-01T00:00:00"/>
    <m/>
    <s v="135_2390"/>
    <s v="Cafezal Prod. 1 - PR"/>
    <s v="(N3)"/>
    <n v="57600"/>
    <d v="2028-02-09T00:00:00"/>
    <n v="66"/>
    <n v="57"/>
    <d v="2028-04-06T00:00:00"/>
  </r>
  <r>
    <s v="PR"/>
    <x v="113"/>
    <x v="77"/>
    <n v="105926"/>
    <m/>
    <s v="10_169"/>
    <x v="13"/>
    <s v="(N1)"/>
    <n v="42000"/>
    <x v="0"/>
    <n v="27"/>
    <x v="1"/>
    <x v="1"/>
    <d v="2027-03-24T00:00:00"/>
    <m/>
    <s v="117_88"/>
    <s v="Bom sucesso 1 - PR"/>
    <s v="(N1)"/>
    <n v="40320"/>
    <d v="2028-02-01T00:00:00"/>
    <n v="66"/>
    <m/>
    <d v="2028-02-01T00:00:00"/>
  </r>
  <r>
    <s v="PR"/>
    <x v="116"/>
    <x v="71"/>
    <n v="106126"/>
    <m/>
    <s v="112_67"/>
    <x v="22"/>
    <s v="(N2)"/>
    <n v="72000"/>
    <x v="1"/>
    <n v="55"/>
    <x v="1"/>
    <x v="1"/>
    <d v="2027-03-29T00:00:00"/>
    <m/>
    <s v="16_85"/>
    <s v="Saudade - PR"/>
    <s v="(N1)"/>
    <n v="69120"/>
    <d v="2028-02-06T00:00:00"/>
    <n v="66"/>
    <m/>
    <d v="2028-02-06T00:00:00"/>
  </r>
  <r>
    <s v="PR"/>
    <x v="117"/>
    <x v="80"/>
    <n v="106326"/>
    <n v="153544"/>
    <s v="112_1939"/>
    <x v="11"/>
    <s v="(N4)"/>
    <n v="84000"/>
    <x v="3"/>
    <n v="25"/>
    <x v="0"/>
    <x v="0"/>
    <d v="2027-04-02T00:00:00"/>
    <m/>
    <s v="93_261"/>
    <s v="Rossignol - SC"/>
    <s v="(N1)"/>
    <n v="30000"/>
    <d v="2028-02-10T00:00:00"/>
    <n v="66"/>
    <m/>
    <d v="2028-02-10T00:00:00"/>
  </r>
  <r>
    <s v="PR"/>
    <x v="117"/>
    <x v="80"/>
    <n v="106326"/>
    <n v="153544"/>
    <s v="112_1939"/>
    <x v="11"/>
    <s v="(N4)"/>
    <m/>
    <x v="3"/>
    <n v="25"/>
    <x v="0"/>
    <x v="0"/>
    <d v="2027-04-02T00:00:00"/>
    <m/>
    <s v="13_2295"/>
    <s v="Trevisan - SC"/>
    <s v="(N1)"/>
    <n v="24000"/>
    <d v="2028-02-10T00:00:00"/>
    <n v="66"/>
    <m/>
    <d v="2028-02-10T00:00:00"/>
  </r>
  <r>
    <s v="PR"/>
    <x v="117"/>
    <x v="80"/>
    <n v="106326"/>
    <n v="153544"/>
    <s v="112_1939"/>
    <x v="11"/>
    <s v="(N4)"/>
    <m/>
    <x v="3"/>
    <n v="25"/>
    <x v="0"/>
    <x v="0"/>
    <d v="2027-04-02T00:00:00"/>
    <m/>
    <s v="10_43"/>
    <s v="São Braz 2 - PR"/>
    <s v="(N1)"/>
    <n v="26000"/>
    <d v="2028-02-10T00:00:00"/>
    <n v="66"/>
    <m/>
    <d v="2028-02-10T00:00:00"/>
  </r>
  <r>
    <s v="PR"/>
    <x v="118"/>
    <x v="81"/>
    <n v="106426"/>
    <n v="-6"/>
    <s v="10_1250"/>
    <x v="14"/>
    <s v="(N2)"/>
    <n v="60000"/>
    <x v="1"/>
    <n v="52"/>
    <x v="1"/>
    <x v="1"/>
    <d v="2027-04-06T00:00:00"/>
    <m/>
    <s v="16_85"/>
    <s v="Saudade - PR"/>
    <s v="(N1)"/>
    <n v="21000"/>
    <d v="2028-02-14T00:00:00"/>
    <n v="66"/>
    <m/>
    <d v="2028-02-14T00:00:00"/>
  </r>
  <r>
    <s v="PR"/>
    <x v="118"/>
    <x v="81"/>
    <n v="106426"/>
    <n v="-6"/>
    <s v="10_1250"/>
    <x v="14"/>
    <s v="(N2)"/>
    <m/>
    <x v="1"/>
    <n v="52"/>
    <x v="1"/>
    <x v="1"/>
    <d v="2027-04-06T00:00:00"/>
    <m/>
    <s v="111_1534"/>
    <s v="Pandolfi - PR"/>
    <s v="(N1)"/>
    <n v="36000"/>
    <d v="2028-02-14T00:00:00"/>
    <n v="66"/>
    <m/>
    <d v="2028-02-14T00:00:00"/>
  </r>
  <r>
    <s v="PR"/>
    <x v="119"/>
    <x v="82"/>
    <n v="106626"/>
    <n v="151050"/>
    <s v="10_369"/>
    <x v="15"/>
    <s v="(N2)"/>
    <n v="66000"/>
    <x v="3"/>
    <n v="20"/>
    <x v="0"/>
    <x v="0"/>
    <d v="2027-04-09T00:00:00"/>
    <m/>
    <s v="10_43"/>
    <s v="São Braz 2 - PR"/>
    <s v="(N1)"/>
    <n v="8000"/>
    <d v="2028-02-17T00:00:00"/>
    <n v="66"/>
    <m/>
    <d v="2028-02-17T00:00:00"/>
  </r>
  <r>
    <s v="PR"/>
    <x v="119"/>
    <x v="82"/>
    <n v="106626"/>
    <n v="151050"/>
    <s v="10_369"/>
    <x v="15"/>
    <s v="(N2)"/>
    <m/>
    <x v="3"/>
    <n v="20"/>
    <x v="0"/>
    <x v="0"/>
    <d v="2027-04-09T00:00:00"/>
    <m/>
    <s v="10_17"/>
    <s v="Agua do Sabia - PR"/>
    <s v="(N1)"/>
    <n v="57000"/>
    <d v="2028-02-17T00:00:00"/>
    <n v="66"/>
    <m/>
    <d v="2028-02-17T00:00:00"/>
  </r>
  <r>
    <s v="PR"/>
    <x v="120"/>
    <x v="83"/>
    <n v="106726"/>
    <m/>
    <s v="10_140"/>
    <x v="16"/>
    <s v="(N1)"/>
    <n v="42000"/>
    <x v="1"/>
    <n v="50"/>
    <x v="1"/>
    <x v="1"/>
    <d v="2027-04-19T00:00:00"/>
    <m/>
    <s v="10_41"/>
    <s v="Santolin - PR"/>
    <s v="(N1)"/>
    <n v="40320"/>
    <d v="2028-02-27T00:00:00"/>
    <n v="66"/>
    <m/>
    <d v="2028-02-27T00:00:00"/>
  </r>
  <r>
    <s v="PR"/>
    <x v="120"/>
    <x v="83"/>
    <n v="104626"/>
    <n v="153532"/>
    <s v=""/>
    <x v="41"/>
    <s v=""/>
    <n v="84000"/>
    <x v="3"/>
    <n v="30"/>
    <x v="0"/>
    <x v="0"/>
    <d v="2027-04-19T00:00:00"/>
    <m/>
    <s v="10_2387"/>
    <s v="Uberaba Prod. 1 - PR"/>
    <s v="(N2)"/>
    <n v="80640"/>
    <d v="2028-02-27T00:00:00"/>
    <n v="66"/>
    <m/>
    <d v="2028-02-27T00:00:00"/>
  </r>
  <r>
    <s v="PR"/>
    <x v="121"/>
    <x v="84"/>
    <n v="107626"/>
    <m/>
    <s v="139_149"/>
    <x v="24"/>
    <s v="(N2)"/>
    <n v="60000"/>
    <x v="1"/>
    <n v="55"/>
    <x v="1"/>
    <x v="1"/>
    <d v="2027-04-22T00:00:00"/>
    <m/>
    <s v="10_1184"/>
    <s v="Fundo da Grota - PR"/>
    <s v="(N1)"/>
    <n v="57600"/>
    <d v="2028-03-01T00:00:00"/>
    <n v="66"/>
    <m/>
    <d v="2028-03-01T00:00:00"/>
  </r>
  <r>
    <s v="PR"/>
    <x v="122"/>
    <x v="85"/>
    <n v="106926"/>
    <m/>
    <s v="27_181"/>
    <x v="17"/>
    <s v="(N2)"/>
    <n v="42000"/>
    <x v="3"/>
    <n v="23"/>
    <x v="1"/>
    <x v="1"/>
    <d v="2027-04-25T00:00:00"/>
    <m/>
    <s v="17_104"/>
    <s v="Bela Vista 1 - PR"/>
    <s v="(N1)"/>
    <n v="40320"/>
    <d v="2028-03-04T00:00:00"/>
    <n v="66"/>
    <m/>
    <d v="2028-03-04T00:00:00"/>
  </r>
  <r>
    <s v="PR"/>
    <x v="123"/>
    <x v="86"/>
    <n v="107026"/>
    <m/>
    <s v="10_326"/>
    <x v="21"/>
    <s v="(N1)"/>
    <n v="38000"/>
    <x v="0"/>
    <n v="22"/>
    <x v="1"/>
    <x v="1"/>
    <d v="2027-05-01T00:00:00"/>
    <m/>
    <s v="119_154"/>
    <s v="São Caetano - PR"/>
    <s v="(N1)"/>
    <n v="36480"/>
    <d v="2028-03-10T00:00:00"/>
    <n v="66"/>
    <m/>
    <d v="2028-03-10T00:00:00"/>
  </r>
  <r>
    <s v="PR"/>
    <x v="124"/>
    <x v="87"/>
    <n v="107126"/>
    <n v="153552"/>
    <s v="10_267"/>
    <x v="18"/>
    <s v="(N1)"/>
    <s v="63000"/>
    <x v="1"/>
    <n v="50"/>
    <x v="0"/>
    <x v="0"/>
    <d v="2027-05-03T00:00:00"/>
    <m/>
    <s v=""/>
    <m/>
    <s v=""/>
    <n v="60480"/>
    <d v="2028-03-12T00:00:00"/>
    <n v="66"/>
    <m/>
    <d v="2028-03-12T00:00:00"/>
  </r>
  <r>
    <s v="PR"/>
    <x v="124"/>
    <x v="87"/>
    <n v="107126"/>
    <n v="153552"/>
    <s v="10_267"/>
    <x v="18"/>
    <s v="(N1)"/>
    <s v="63000"/>
    <x v="1"/>
    <n v="50"/>
    <x v="0"/>
    <x v="0"/>
    <d v="2027-05-03T00:00:00"/>
    <m/>
    <s v=""/>
    <m/>
    <s v=""/>
    <n v="60480"/>
    <d v="2028-03-12T00:00:00"/>
    <n v="66"/>
    <m/>
    <d v="2028-03-12T00:00:00"/>
  </r>
  <r>
    <s v="PR"/>
    <x v="123"/>
    <x v="86"/>
    <n v="107226"/>
    <m/>
    <s v="10_775"/>
    <x v="19"/>
    <s v="(N1)"/>
    <n v="50000"/>
    <x v="1"/>
    <n v="55"/>
    <x v="1"/>
    <x v="1"/>
    <d v="2027-05-01T00:00:00"/>
    <m/>
    <s v="10_46"/>
    <s v="Salto Caxias Prod. 1 - PR"/>
    <s v="(N2)"/>
    <n v="48000"/>
    <d v="2028-03-10T00:00:00"/>
    <n v="66"/>
    <m/>
    <d v="2028-03-10T00:00:00"/>
  </r>
  <r>
    <s v="PR"/>
    <x v="124"/>
    <x v="87"/>
    <n v="107526"/>
    <n v="153553"/>
    <s v="10_180"/>
    <x v="23"/>
    <s v="(N1)"/>
    <n v="46000"/>
    <x v="1"/>
    <n v="50"/>
    <x v="0"/>
    <x v="0"/>
    <d v="2027-05-03T00:00:00"/>
    <m/>
    <s v="13_258"/>
    <s v="Prezotto - SC"/>
    <s v="(N1)"/>
    <n v="44160"/>
    <d v="2028-03-12T00:00:00"/>
    <n v="66"/>
    <m/>
    <d v="2028-03-12T00:00:00"/>
  </r>
  <r>
    <s v="PR"/>
    <x v="125"/>
    <x v="88"/>
    <n v="107726"/>
    <n v="153550"/>
    <s v="10_2384"/>
    <x v="35"/>
    <s v="(N1)"/>
    <n v="60000"/>
    <x v="1"/>
    <n v="50"/>
    <x v="0"/>
    <x v="0"/>
    <d v="2027-05-15T00:00:00"/>
    <m/>
    <s v="10_2386"/>
    <s v="N. Sª. Ap. Prod. 2 - PR"/>
    <s v="(N3)"/>
    <n v="57000"/>
    <d v="2028-03-24T00:00:00"/>
    <n v="66"/>
    <m/>
    <d v="2028-03-24T00:00:00"/>
  </r>
  <r>
    <s v="PR"/>
    <x v="126"/>
    <x v="89"/>
    <n v="106026"/>
    <m/>
    <s v="135_2402"/>
    <x v="42"/>
    <s v="(N2)"/>
    <n v="60000"/>
    <x v="3"/>
    <n v="25"/>
    <x v="1"/>
    <x v="1"/>
    <d v="2027-05-16T00:00:00"/>
    <m/>
    <s v="135_2391"/>
    <s v="Cafezal Prod. 2 - PR"/>
    <s v="(N4)"/>
    <n v="57000"/>
    <d v="2028-03-25T00:00:00"/>
    <n v="66"/>
    <m/>
    <d v="2028-03-25T00:00:00"/>
  </r>
  <r>
    <s v="PR_CVL"/>
    <x v="127"/>
    <x v="90"/>
    <n v="106226"/>
    <n v="153526"/>
    <s v="112_2401"/>
    <x v="36"/>
    <s v="(N6)"/>
    <n v="84000"/>
    <x v="1"/>
    <n v="55"/>
    <x v="0"/>
    <x v="0"/>
    <d v="2027-05-17T00:00:00"/>
    <m/>
    <s v=""/>
    <s v="C.VALE"/>
    <s v=""/>
    <n v="80000"/>
    <d v="2028-03-26T00:00:00"/>
    <n v="66"/>
    <m/>
    <d v="2028-03-26T00:00:00"/>
  </r>
  <r>
    <s v="PR"/>
    <x v="128"/>
    <x v="91"/>
    <n v="107426"/>
    <n v="124"/>
    <s v="112_2399"/>
    <x v="33"/>
    <s v="(N5)"/>
    <n v="60000"/>
    <x v="3"/>
    <n v="26"/>
    <x v="1"/>
    <x v="2"/>
    <d v="2027-05-19T00:00:00"/>
    <m/>
    <s v="105_30"/>
    <s v="Itapejara - PR"/>
    <s v="(N1)"/>
    <n v="38000"/>
    <d v="2028-03-28T00:00:00"/>
    <n v="66"/>
    <m/>
    <d v="2028-03-28T00:00:00"/>
  </r>
  <r>
    <s v="PR"/>
    <x v="128"/>
    <x v="91"/>
    <n v="107426"/>
    <n v="124"/>
    <s v="112_2399"/>
    <x v="33"/>
    <s v="(N5)"/>
    <m/>
    <x v="3"/>
    <n v="26"/>
    <x v="1"/>
    <x v="2"/>
    <d v="2027-05-19T00:00:00"/>
    <m/>
    <s v="10_34"/>
    <s v="Pinzon - PR"/>
    <s v="(N1)"/>
    <n v="19000"/>
    <d v="2028-03-28T00:00:00"/>
    <n v="66"/>
    <m/>
    <d v="2028-03-28T00:00:00"/>
  </r>
  <r>
    <s v="PR"/>
    <x v="129"/>
    <x v="92"/>
    <n v="107826"/>
    <m/>
    <s v="10_130"/>
    <x v="20"/>
    <s v="(N1)"/>
    <n v="42000"/>
    <x v="3"/>
    <n v="25"/>
    <x v="1"/>
    <x v="1"/>
    <d v="2027-05-28T00:00:00"/>
    <m/>
    <s v="10_34"/>
    <s v="Pinzon - PR"/>
    <s v="(N1)"/>
    <n v="6000"/>
    <d v="2028-04-06T00:00:00"/>
    <n v="66"/>
    <m/>
    <d v="2028-04-06T00:00:00"/>
  </r>
  <r>
    <s v="PR"/>
    <x v="129"/>
    <x v="92"/>
    <n v="107826"/>
    <m/>
    <s v="10_130"/>
    <x v="20"/>
    <s v="(N1)"/>
    <m/>
    <x v="3"/>
    <n v="25"/>
    <x v="1"/>
    <x v="1"/>
    <d v="2027-05-28T00:00:00"/>
    <m/>
    <s v="121_2237"/>
    <s v="Santelmo - SP"/>
    <s v="(N1)"/>
    <n v="34000"/>
    <d v="2028-04-06T00:00:00"/>
    <n v="66"/>
    <m/>
    <d v="2028-04-06T00:00:00"/>
  </r>
  <r>
    <s v="PR"/>
    <x v="130"/>
    <x v="93"/>
    <n v="100127"/>
    <m/>
    <s v="27_165"/>
    <x v="27"/>
    <s v="(N1)"/>
    <n v="42000"/>
    <x v="1"/>
    <n v="50"/>
    <x v="0"/>
    <x v="0"/>
    <d v="2027-06-09T00:00:00"/>
    <m/>
    <s v="10_1183"/>
    <s v="Linha Nova - PR"/>
    <s v="(N1)"/>
    <n v="40000"/>
    <d v="2028-04-18T00:00:00"/>
    <n v="66"/>
    <m/>
    <d v="2028-04-18T00:00:00"/>
  </r>
  <r>
    <s v="PR"/>
    <x v="130"/>
    <x v="93"/>
    <n v="100227"/>
    <n v="125"/>
    <s v="10_1405"/>
    <x v="26"/>
    <s v="(N1)"/>
    <n v="60000"/>
    <x v="1"/>
    <n v="50"/>
    <x v="0"/>
    <x v="3"/>
    <d v="2027-06-09T00:00:00"/>
    <m/>
    <s v="10_1459"/>
    <s v="Canguçu 3 - PR"/>
    <s v="(N3)"/>
    <n v="57000"/>
    <d v="2028-04-18T00:00:00"/>
    <n v="66"/>
    <m/>
    <d v="2028-04-18T00:00:00"/>
  </r>
  <r>
    <s v="PR"/>
    <x v="131"/>
    <x v="94"/>
    <n v="100327"/>
    <m/>
    <s v="10_327"/>
    <x v="29"/>
    <s v="(N2)"/>
    <n v="38000"/>
    <x v="0"/>
    <n v="25"/>
    <x v="0"/>
    <x v="0"/>
    <d v="2027-06-16T00:00:00"/>
    <m/>
    <s v="10_1183"/>
    <s v="Linha Nova - PR"/>
    <s v="(N1)"/>
    <n v="36480"/>
    <d v="2028-04-25T00:00:00"/>
    <n v="66"/>
    <m/>
    <d v="2028-04-25T00:00:00"/>
  </r>
  <r>
    <s v="PR"/>
    <x v="132"/>
    <x v="95"/>
    <n v="100527"/>
    <m/>
    <s v="117_1531"/>
    <x v="30"/>
    <s v="(N7)"/>
    <n v="84000"/>
    <x v="3"/>
    <n v="25"/>
    <x v="1"/>
    <x v="1"/>
    <d v="2027-06-23T00:00:00"/>
    <m/>
    <s v="107_248"/>
    <s v="Trindade - SC"/>
    <s v="(N1)"/>
    <n v="40000"/>
    <d v="2028-05-02T00:00:00"/>
    <n v="66"/>
    <m/>
    <d v="2028-05-02T00:00:00"/>
  </r>
  <r>
    <s v="PR"/>
    <x v="132"/>
    <x v="95"/>
    <n v="100527"/>
    <m/>
    <s v="117_1531"/>
    <x v="30"/>
    <s v="(N7)"/>
    <m/>
    <x v="3"/>
    <n v="25"/>
    <x v="1"/>
    <x v="1"/>
    <d v="2027-06-23T00:00:00"/>
    <m/>
    <s v="10_204"/>
    <s v="Km 45 nucleo 1 - PR"/>
    <s v="(N1)"/>
    <n v="40000"/>
    <d v="2028-05-02T00:00:00"/>
    <n v="66"/>
    <m/>
    <d v="2028-05-02T00:00:00"/>
  </r>
  <r>
    <s v="PR"/>
    <x v="133"/>
    <x v="96"/>
    <n v="100627"/>
    <m/>
    <s v="10_116"/>
    <x v="25"/>
    <s v="(N1)"/>
    <n v="60000"/>
    <x v="3"/>
    <n v="28"/>
    <x v="0"/>
    <x v="0"/>
    <d v="2027-07-05T00:00:00"/>
    <m/>
    <s v="96_1029"/>
    <s v="Bem-te-vi - SC"/>
    <s v="(N1)"/>
    <n v="28000"/>
    <d v="2028-05-14T00:00:00"/>
    <n v="66"/>
    <s v="sdfgsd"/>
    <s v=" "/>
  </r>
  <r>
    <s v="PR"/>
    <x v="133"/>
    <x v="96"/>
    <n v="100627"/>
    <m/>
    <s v="10_116"/>
    <x v="25"/>
    <s v="(N1)"/>
    <m/>
    <x v="3"/>
    <n v="28"/>
    <x v="0"/>
    <x v="0"/>
    <d v="2027-07-05T00:00:00"/>
    <m/>
    <s v="119_156"/>
    <s v="São Francisco - PR"/>
    <s v="(N1)"/>
    <n v="33000"/>
    <d v="2028-05-14T00:00:00"/>
    <n v="66"/>
    <m/>
    <d v="2028-05-14T00:00:00"/>
  </r>
  <r>
    <s v="PR"/>
    <x v="134"/>
    <x v="97"/>
    <n v="100427"/>
    <m/>
    <s v="10_1182"/>
    <x v="28"/>
    <s v="(N2)"/>
    <n v="60000"/>
    <x v="3"/>
    <n v="25"/>
    <x v="3"/>
    <x v="1"/>
    <d v="2027-07-16T00:00:00"/>
    <m/>
    <s v="123_1536"/>
    <s v="Fronteira 1 - PR"/>
    <s v="(N1)"/>
    <n v="57000"/>
    <d v="2028-05-25T00:00:00"/>
    <n v="66"/>
    <m/>
    <d v="2028-05-25T00:00:00"/>
  </r>
  <r>
    <s v="PR"/>
    <x v="135"/>
    <x v="98"/>
    <n v="100927"/>
    <m/>
    <s v="124_47"/>
    <x v="6"/>
    <s v="(N1)"/>
    <n v="30000"/>
    <x v="0"/>
    <n v="27"/>
    <x v="0"/>
    <x v="0"/>
    <d v="2027-07-28T00:00:00"/>
    <m/>
    <s v="120_45"/>
    <s v="São Pedro - PR"/>
    <s v="(N1)"/>
    <n v="28650"/>
    <d v="2028-06-06T00:00:00"/>
    <n v="66"/>
    <m/>
    <d v="2028-06-06T00:00:00"/>
  </r>
  <r>
    <s v="PR"/>
    <x v="136"/>
    <x v="99"/>
    <n v="101027"/>
    <n v="127"/>
    <s v="10_203"/>
    <x v="1"/>
    <s v="(N1)"/>
    <n v="61000"/>
    <x v="3"/>
    <n v="25"/>
    <x v="1"/>
    <x v="2"/>
    <d v="2027-07-23T00:00:00"/>
    <m/>
    <s v="10_330"/>
    <s v="Darlan - PR"/>
    <s v="(N1)"/>
    <n v="58255"/>
    <d v="2028-06-01T00:00:00"/>
    <n v="66"/>
    <m/>
    <d v="2028-06-01T00:00:00"/>
  </r>
  <r>
    <s v="PR"/>
    <x v="135"/>
    <x v="98"/>
    <n v="101627"/>
    <m/>
    <s v="117_139"/>
    <x v="2"/>
    <s v="(N4)"/>
    <n v="43000"/>
    <x v="1"/>
    <n v="55"/>
    <x v="0"/>
    <x v="0"/>
    <d v="2027-07-28T00:00:00"/>
    <m/>
    <s v="17_105"/>
    <s v="Bela Vista 2 - PR"/>
    <s v="(N2)"/>
    <n v="41000"/>
    <d v="2028-06-06T00:00:00"/>
    <n v="66"/>
    <m/>
    <d v="2028-06-06T00:00:00"/>
  </r>
  <r>
    <s v="PR"/>
    <x v="137"/>
    <x v="100"/>
    <n v="107326"/>
    <n v="153549"/>
    <s v="135_2389"/>
    <x v="40"/>
    <s v="(N1)"/>
    <n v="60000"/>
    <x v="1"/>
    <n v="52"/>
    <x v="0"/>
    <x v="0"/>
    <d v="2027-09-20T00:00:00"/>
    <m/>
    <s v="10"/>
    <s v="Cafezal Prod. 3 - PR"/>
    <s v="(N5)"/>
    <n v="57600"/>
    <d v="2028-07-30T00:00:00"/>
    <n v="66"/>
    <m/>
    <d v="2028-07-30T00:00:00"/>
  </r>
  <r>
    <s v="PR"/>
    <x v="138"/>
    <x v="101"/>
    <n v="100727"/>
    <m/>
    <s v="10_1295"/>
    <x v="0"/>
    <s v="(N3)"/>
    <n v="84000"/>
    <x v="3"/>
    <n v="25"/>
    <x v="1"/>
    <x v="1"/>
    <d v="2027-08-06T00:00:00"/>
    <m/>
    <s v="10_358"/>
    <s v="Scolari - PR"/>
    <s v="(N1)"/>
    <n v="76000"/>
    <d v="2028-06-15T00:00:00"/>
    <n v="66"/>
    <m/>
    <d v="2028-06-15T00:00:00"/>
  </r>
  <r>
    <s v="PR"/>
    <x v="139"/>
    <x v="102"/>
    <n v="101127"/>
    <m/>
    <s v="10_857"/>
    <x v="5"/>
    <s v="(N2)"/>
    <n v="60000"/>
    <x v="1"/>
    <n v="49"/>
    <x v="1"/>
    <x v="1"/>
    <d v="2027-08-07T00:00:00"/>
    <m/>
    <s v="10_859"/>
    <s v="Iguaçu 1 - PR"/>
    <s v="(N1)"/>
    <n v="57000"/>
    <d v="2028-06-16T00:00:00"/>
    <n v="66"/>
    <m/>
    <d v="2028-06-16T00:00:00"/>
  </r>
  <r>
    <s v="PR"/>
    <x v="140"/>
    <x v="103"/>
    <n v="101827"/>
    <m/>
    <s v="139_49"/>
    <x v="7"/>
    <s v="(N1)"/>
    <n v="60000"/>
    <x v="1"/>
    <n v="48"/>
    <x v="0"/>
    <x v="0"/>
    <d v="2027-08-18T00:00:00"/>
    <m/>
    <s v="10_329"/>
    <s v="Rossi 1 - PR"/>
    <s v="(N1)"/>
    <n v="57300"/>
    <d v="2028-06-27T00:00:00"/>
    <n v="66"/>
    <m/>
    <d v="2028-06-27T00:00:00"/>
  </r>
  <r>
    <s v="PR"/>
    <x v="140"/>
    <x v="103"/>
    <n v="101227"/>
    <m/>
    <s v="112_29"/>
    <x v="8"/>
    <s v="(N1)"/>
    <n v="107000"/>
    <x v="0"/>
    <n v="25"/>
    <x v="0"/>
    <x v="0"/>
    <d v="2027-08-18T00:00:00"/>
    <m/>
    <s v="11_150"/>
    <s v="São Roque - PR"/>
    <s v="(N1)"/>
    <n v="40000"/>
    <d v="2028-06-27T00:00:00"/>
    <n v="66"/>
    <m/>
    <d v="2028-06-27T00:00:00"/>
  </r>
  <r>
    <s v="PR"/>
    <x v="140"/>
    <x v="103"/>
    <n v="101227"/>
    <m/>
    <s v="112_29"/>
    <x v="8"/>
    <s v="(N1)"/>
    <m/>
    <x v="0"/>
    <n v="25"/>
    <x v="0"/>
    <x v="0"/>
    <d v="2027-08-18T00:00:00"/>
    <m/>
    <s v="10_860"/>
    <s v="Canguçu 1 - PR"/>
    <s v="(N1)"/>
    <n v="61000"/>
    <d v="2028-06-27T00:00:00"/>
    <n v="66"/>
    <m/>
    <d v="2028-06-27T00:00:00"/>
  </r>
  <r>
    <s v="PR"/>
    <x v="141"/>
    <x v="104"/>
    <n v="101327"/>
    <m/>
    <s v="10_1940"/>
    <x v="32"/>
    <s v="(N1)"/>
    <n v="60000"/>
    <x v="1"/>
    <n v="55"/>
    <x v="1"/>
    <x v="1"/>
    <d v="2027-08-30T00:00:00"/>
    <m/>
    <s v="10_2383"/>
    <s v="Aliança Prod. 2 - PR"/>
    <s v="(N3)"/>
    <n v="57300"/>
    <d v="2028-07-09T00:00:00"/>
    <n v="66"/>
    <m/>
    <d v="2028-07-09T00:00:00"/>
  </r>
  <r>
    <s v="PR"/>
    <x v="142"/>
    <x v="105"/>
    <n v="101427"/>
    <m/>
    <s v="128_1367"/>
    <x v="3"/>
    <s v="(N1)"/>
    <n v="60000"/>
    <x v="3"/>
    <n v="25"/>
    <x v="3"/>
    <x v="1"/>
    <d v="2027-08-27T00:00:00"/>
    <m/>
    <s v="10_1296"/>
    <s v="Canguçu 2 - PR"/>
    <s v="(N2)"/>
    <n v="57300"/>
    <d v="2028-07-06T00:00:00"/>
    <n v="66"/>
    <m/>
    <d v="2028-07-06T00:00:00"/>
  </r>
  <r>
    <s v="PR"/>
    <x v="143"/>
    <x v="106"/>
    <n v="101527"/>
    <m/>
    <s v="10_328"/>
    <x v="4"/>
    <s v="(N3)"/>
    <n v="38000"/>
    <x v="1"/>
    <n v="49"/>
    <x v="0"/>
    <x v="0"/>
    <d v="2027-08-25T00:00:00"/>
    <m/>
    <s v="10_31"/>
    <s v="Jairo Guzzo - PR"/>
    <s v="(N1)"/>
    <n v="15000"/>
    <d v="2028-07-04T00:00:00"/>
    <n v="66"/>
    <m/>
    <d v="2028-07-04T00:00:00"/>
  </r>
  <r>
    <s v="PR"/>
    <x v="143"/>
    <x v="106"/>
    <n v="101527"/>
    <m/>
    <s v="10_328"/>
    <x v="4"/>
    <s v="(N3)"/>
    <m/>
    <x v="1"/>
    <n v="49"/>
    <x v="0"/>
    <x v="0"/>
    <d v="2027-08-25T00:00:00"/>
    <m/>
    <s v="81_826"/>
    <s v="Potreiro 4 - SP"/>
    <s v="(N4)"/>
    <n v="21000"/>
    <d v="2028-07-04T00:00:00"/>
    <n v="66"/>
    <m/>
    <d v="2028-07-04T00:00:00"/>
  </r>
  <r>
    <s v="PR"/>
    <x v="144"/>
    <x v="107"/>
    <n v="101727"/>
    <m/>
    <s v="10_776"/>
    <x v="12"/>
    <s v="(N3)"/>
    <n v="74000"/>
    <x v="1"/>
    <n v="49"/>
    <x v="1"/>
    <x v="1"/>
    <d v="2027-09-07T00:00:00"/>
    <m/>
    <s v="10_1027"/>
    <s v="Bragapolis - PR"/>
    <s v="(N1)"/>
    <n v="70670"/>
    <d v="2028-07-17T00:00:00"/>
    <n v="66"/>
    <m/>
    <d v="2028-07-17T00:00:00"/>
  </r>
  <r>
    <s v="PR"/>
    <x v="145"/>
    <x v="108"/>
    <n v="101927"/>
    <n v="130"/>
    <s v="10_169"/>
    <x v="13"/>
    <s v="(N1)"/>
    <n v="42000"/>
    <x v="3"/>
    <n v="25"/>
    <x v="0"/>
    <x v="3"/>
    <d v="2027-09-14T00:00:00"/>
    <m/>
    <s v="84_159"/>
    <s v="Faxinal 1 - SC"/>
    <s v="(N1)"/>
    <n v="27000"/>
    <d v="2028-07-24T00:00:00"/>
    <n v="66"/>
    <m/>
    <d v="2028-07-24T00:00:00"/>
  </r>
  <r>
    <s v="PR"/>
    <x v="145"/>
    <x v="108"/>
    <n v="101927"/>
    <n v="130"/>
    <s v="10_169"/>
    <x v="13"/>
    <s v="(N1)"/>
    <m/>
    <x v="3"/>
    <n v="25"/>
    <x v="0"/>
    <x v="3"/>
    <d v="2027-09-14T00:00:00"/>
    <m/>
    <s v="84_162"/>
    <s v="Faxinal 2 - SC"/>
    <s v="(N2)"/>
    <n v="13000"/>
    <d v="2028-07-24T00:00:00"/>
    <n v="66"/>
    <m/>
    <d v="2028-07-24T00:00:00"/>
  </r>
  <r>
    <s v="PR"/>
    <x v="146"/>
    <x v="109"/>
    <n v="102227"/>
    <m/>
    <s v="112_1939"/>
    <x v="11"/>
    <s v="(N4)"/>
    <n v="84000"/>
    <x v="0"/>
    <n v="25"/>
    <x v="0"/>
    <x v="0"/>
    <d v="2027-09-21T00:00:00"/>
    <m/>
    <s v=""/>
    <s v="C.VALE"/>
    <s v=""/>
    <n v="80000"/>
    <d v="2028-07-31T00:00:00"/>
    <n v="66"/>
    <m/>
    <d v="2028-07-31T00:00:00"/>
  </r>
  <r>
    <s v="PR"/>
    <x v="147"/>
    <x v="110"/>
    <n v="102327"/>
    <m/>
    <s v="112_16"/>
    <x v="10"/>
    <s v="(N3)"/>
    <n v="61000"/>
    <x v="3"/>
    <n v="25"/>
    <x v="1"/>
    <x v="1"/>
    <d v="2027-09-17T00:00:00"/>
    <m/>
    <s v="116_2296"/>
    <s v="Vora 2 - PR"/>
    <s v="(N2)"/>
    <n v="58255"/>
    <d v="2028-07-27T00:00:00"/>
    <n v="66"/>
    <m/>
    <d v="2028-07-27T00:00:00"/>
  </r>
  <r>
    <s v="PR"/>
    <x v="148"/>
    <x v="111"/>
    <n v="102427"/>
    <m/>
    <s v="10_369"/>
    <x v="15"/>
    <s v="(N2)"/>
    <n v="66000"/>
    <x v="1"/>
    <n v="50"/>
    <x v="1"/>
    <x v="1"/>
    <d v="2027-09-23T00:00:00"/>
    <m/>
    <s v="116_2296"/>
    <s v="Vora 2 - PR"/>
    <s v="(N2)"/>
    <n v="23000"/>
    <d v="2028-08-02T00:00:00"/>
    <n v="66"/>
    <m/>
    <d v="2028-08-02T00:00:00"/>
  </r>
  <r>
    <s v="PR"/>
    <x v="148"/>
    <x v="111"/>
    <n v="102427"/>
    <m/>
    <s v="10_369"/>
    <x v="15"/>
    <s v="(N2)"/>
    <m/>
    <x v="1"/>
    <n v="50"/>
    <x v="1"/>
    <x v="1"/>
    <d v="2027-09-23T00:00:00"/>
    <m/>
    <s v="10_1460"/>
    <s v="Iguaçu 2 - PR"/>
    <s v="(N3)"/>
    <n v="40000"/>
    <d v="2028-08-02T00:00:00"/>
    <n v="66"/>
    <m/>
    <d v="2028-08-02T00:00:00"/>
  </r>
  <r>
    <s v="PR"/>
    <x v="149"/>
    <x v="112"/>
    <n v="102127"/>
    <m/>
    <s v="10_1938"/>
    <x v="9"/>
    <s v="(N1)"/>
    <n v="45000"/>
    <x v="3"/>
    <n v="25"/>
    <x v="1"/>
    <x v="1"/>
    <d v="2027-10-05T00:00:00"/>
    <m/>
    <s v="25_53"/>
    <s v="Mariott - PR"/>
    <s v="(N1)"/>
    <n v="42975"/>
    <d v="2028-08-14T00:00:00"/>
    <n v="66"/>
    <m/>
    <d v="2028-08-14T00:00:00"/>
  </r>
  <r>
    <s v="PR"/>
    <x v="150"/>
    <x v="113"/>
    <n v="102527"/>
    <n v="131"/>
    <s v="27_181"/>
    <x v="17"/>
    <s v="(N2)"/>
    <n v="43000"/>
    <x v="1"/>
    <n v="49"/>
    <x v="1"/>
    <x v="2"/>
    <d v="2027-10-12T00:00:00"/>
    <m/>
    <s v="10_1460"/>
    <s v="Iguaçu 2 - PR"/>
    <s v="(N3)"/>
    <n v="17000"/>
    <d v="2028-08-21T00:00:00"/>
    <n v="66"/>
    <m/>
    <d v="2028-08-21T00:00:00"/>
  </r>
  <r>
    <s v="PR"/>
    <x v="150"/>
    <x v="113"/>
    <n v="102527"/>
    <n v="131"/>
    <s v="27_181"/>
    <x v="17"/>
    <s v="(N2)"/>
    <m/>
    <x v="1"/>
    <n v="49"/>
    <x v="1"/>
    <x v="2"/>
    <d v="2027-10-12T00:00:00"/>
    <m/>
    <s v="10_69"/>
    <s v="Flor da serra - PR"/>
    <s v="(N1)"/>
    <n v="24000"/>
    <d v="2028-08-21T00:00:00"/>
    <n v="66"/>
    <m/>
    <d v="2028-08-21T00:00:00"/>
  </r>
  <r>
    <s v="PR"/>
    <x v="151"/>
    <x v="114"/>
    <n v="100827"/>
    <s v="153551-153561"/>
    <s v=""/>
    <x v="41"/>
    <s v=""/>
    <n v="84000"/>
    <x v="1"/>
    <n v="49"/>
    <x v="0"/>
    <x v="0"/>
    <d v="2027-10-13T00:00:00"/>
    <m/>
    <s v="10_2388"/>
    <s v="Uberaba Prod. 2 - PR"/>
    <s v="(N3)"/>
    <n v="80220"/>
    <d v="2028-08-22T00:00:00"/>
    <n v="66"/>
    <m/>
    <d v="2028-08-22T00:00:00"/>
  </r>
  <r>
    <s v="PR"/>
    <x v="152"/>
    <x v="115"/>
    <n v="102627"/>
    <m/>
    <s v="10_326"/>
    <x v="21"/>
    <s v="(N1)"/>
    <n v="38000"/>
    <x v="1"/>
    <n v="55"/>
    <x v="1"/>
    <x v="1"/>
    <d v="2027-10-17T00:00:00"/>
    <m/>
    <s v="101_1079"/>
    <s v="Ponte serrada 1 - SC"/>
    <s v="(N1)"/>
    <n v="31000"/>
    <d v="2028-08-26T00:00:00"/>
    <n v="66"/>
    <m/>
    <d v="2028-08-26T00:00:00"/>
  </r>
  <r>
    <s v="PR"/>
    <x v="152"/>
    <x v="115"/>
    <n v="102627"/>
    <m/>
    <s v="10_326"/>
    <x v="21"/>
    <s v="(N1)"/>
    <m/>
    <x v="1"/>
    <n v="55"/>
    <x v="1"/>
    <x v="1"/>
    <d v="2027-10-17T00:00:00"/>
    <m/>
    <s v="13_1080"/>
    <s v="Ponte serrada 2 - SC"/>
    <s v="(N1)"/>
    <n v="5000"/>
    <d v="2028-08-26T00:00:00"/>
    <n v="66"/>
    <m/>
    <d v="2028-08-26T00:00:00"/>
  </r>
  <r>
    <s v="PR"/>
    <x v="152"/>
    <x v="115"/>
    <n v="102727"/>
    <m/>
    <s v="112_67"/>
    <x v="22"/>
    <s v="(N2)"/>
    <n v="72000"/>
    <x v="3"/>
    <n v="23"/>
    <x v="0"/>
    <x v="0"/>
    <d v="2027-10-17T00:00:00"/>
    <m/>
    <s v="13_1080"/>
    <s v="Ponte serrada 2 - SC"/>
    <s v="(N1)"/>
    <n v="41000"/>
    <d v="2028-08-26T00:00:00"/>
    <n v="66"/>
    <m/>
    <d v="2028-08-26T00:00:00"/>
  </r>
  <r>
    <s v="PR"/>
    <x v="152"/>
    <x v="115"/>
    <n v="102727"/>
    <m/>
    <s v="112_67"/>
    <x v="22"/>
    <s v="(N2)"/>
    <m/>
    <x v="3"/>
    <n v="23"/>
    <x v="0"/>
    <x v="0"/>
    <d v="2027-10-17T00:00:00"/>
    <m/>
    <s v="87_855"/>
    <s v="Samambaia 3 - SP"/>
    <s v="(N3)"/>
    <n v="28000"/>
    <d v="2028-08-26T00:00:00"/>
    <n v="66"/>
    <m/>
    <d v="2028-08-26T00:00:00"/>
  </r>
  <r>
    <s v="PR"/>
    <x v="153"/>
    <x v="116"/>
    <n v="102827"/>
    <m/>
    <s v="10_1250"/>
    <x v="14"/>
    <s v="(N2)"/>
    <n v="60000"/>
    <x v="3"/>
    <n v="28"/>
    <x v="1"/>
    <x v="1"/>
    <d v="2027-10-22T00:00:00"/>
    <m/>
    <s v="118_832"/>
    <s v="Renascença 1 - PR"/>
    <s v="(N1)"/>
    <n v="57300"/>
    <d v="2028-08-31T00:00:00"/>
    <n v="66"/>
    <m/>
    <d v="2028-08-31T00:00:00"/>
  </r>
  <r>
    <s v="PR"/>
    <x v="154"/>
    <x v="117"/>
    <n v="102927"/>
    <m/>
    <s v="10_140"/>
    <x v="16"/>
    <s v="(N1)"/>
    <n v="42000"/>
    <x v="3"/>
    <n v="20"/>
    <x v="1"/>
    <x v="1"/>
    <d v="2027-11-02T00:00:00"/>
    <m/>
    <s v="117_202"/>
    <s v="Bom sucesso 4 - PR"/>
    <s v="(N5)"/>
    <n v="40110"/>
    <d v="2028-09-11T00:00:00"/>
    <n v="66"/>
    <m/>
    <d v="2028-09-11T00:00:00"/>
  </r>
  <r>
    <s v="PR"/>
    <x v="155"/>
    <x v="118"/>
    <n v="102027"/>
    <m/>
    <s v="135_2402"/>
    <x v="42"/>
    <s v="(N2)"/>
    <n v="60000"/>
    <x v="1"/>
    <n v="50"/>
    <x v="0"/>
    <x v="0"/>
    <d v="2027-11-04T00:00:00"/>
    <m/>
    <s v="10"/>
    <s v="Cafezal Prod. 4 - PR"/>
    <s v="(N6)"/>
    <n v="57300"/>
    <d v="2028-09-13T00:00:00"/>
    <n v="66"/>
    <m/>
    <d v="2028-09-13T00:00:00"/>
  </r>
  <r>
    <s v="PR"/>
    <x v="156"/>
    <x v="119"/>
    <n v="103027"/>
    <m/>
    <s v="112_2399"/>
    <x v="33"/>
    <s v="(N5)"/>
    <n v="60000"/>
    <x v="0"/>
    <n v="20"/>
    <x v="3"/>
    <x v="0"/>
    <d v="2027-11-08T00:00:00"/>
    <m/>
    <s v="10_397"/>
    <s v="Nona Tere - PR"/>
    <s v="(N1)"/>
    <n v="57000"/>
    <d v="2028-09-17T00:00:00"/>
    <n v="66"/>
    <m/>
    <d v="2028-09-17T00:00:00"/>
  </r>
  <r>
    <s v="PR"/>
    <x v="157"/>
    <x v="120"/>
    <n v="103327"/>
    <n v="132"/>
    <s v="139_149"/>
    <x v="24"/>
    <s v="(N2)"/>
    <n v="60000"/>
    <x v="3"/>
    <n v="28"/>
    <x v="0"/>
    <x v="3"/>
    <d v="2027-11-10T00:00:00"/>
    <m/>
    <s v="84_170"/>
    <s v="Faxinal 3 - SC"/>
    <s v="(N3)"/>
    <n v="57000"/>
    <d v="2028-09-19T00:00:00"/>
    <n v="66"/>
    <m/>
    <d v="2028-09-19T00:00:00"/>
  </r>
  <r>
    <s v="PR"/>
    <x v="158"/>
    <x v="121"/>
    <n v="107327"/>
    <n v="153552"/>
    <s v="10_130"/>
    <x v="20"/>
    <s v="(N1)"/>
    <n v="42000"/>
    <x v="1"/>
    <n v="50"/>
    <x v="0"/>
    <x v="0"/>
    <d v="2027-11-16T00:00:00"/>
    <m/>
    <s v="10_48"/>
    <s v="São Miguel - PR"/>
    <s v="(N1)"/>
    <n v="40110"/>
    <d v="2028-09-25T00:00:00"/>
    <n v="66"/>
    <m/>
    <d v="2028-09-25T00:00:00"/>
  </r>
  <r>
    <s v="PR"/>
    <x v="158"/>
    <x v="121"/>
    <n v="103127"/>
    <m/>
    <s v="10_180"/>
    <x v="23"/>
    <s v="(N1)"/>
    <n v="46000"/>
    <x v="3"/>
    <n v="25"/>
    <x v="1"/>
    <x v="1"/>
    <d v="2027-11-16T00:00:00"/>
    <m/>
    <s v="85_158"/>
    <s v="Tortato - SC"/>
    <s v="(N1)"/>
    <n v="20000"/>
    <d v="2028-09-25T00:00:00"/>
    <n v="66"/>
    <m/>
    <d v="2028-09-25T00:00:00"/>
  </r>
  <r>
    <s v="PR"/>
    <x v="158"/>
    <x v="121"/>
    <n v="103127"/>
    <m/>
    <s v="10_180"/>
    <x v="23"/>
    <s v="(N1)"/>
    <m/>
    <x v="3"/>
    <n v="25"/>
    <x v="1"/>
    <x v="1"/>
    <d v="2027-11-16T00:00:00"/>
    <m/>
    <s v="13_1458"/>
    <s v="Fiorin - SC"/>
    <s v="(N1)"/>
    <n v="23000"/>
    <d v="2028-09-25T00:00:00"/>
    <n v="66"/>
    <m/>
    <d v="2028-09-25T00:00:00"/>
  </r>
  <r>
    <s v="PR"/>
    <x v="158"/>
    <x v="121"/>
    <n v="103527"/>
    <m/>
    <s v="10_267"/>
    <x v="18"/>
    <s v="(N1)"/>
    <s v="63000"/>
    <x v="3"/>
    <n v="25"/>
    <x v="1"/>
    <x v="1"/>
    <d v="2027-11-16T00:00:00"/>
    <m/>
    <s v=""/>
    <m/>
    <s v=""/>
    <n v="60165"/>
    <d v="2028-09-25T00:00:00"/>
    <n v="66"/>
    <m/>
    <d v="2028-09-25T00:00:00"/>
  </r>
  <r>
    <s v="PR"/>
    <x v="158"/>
    <x v="121"/>
    <n v="103527"/>
    <m/>
    <s v="10_267"/>
    <x v="18"/>
    <s v="(N1)"/>
    <s v="63000"/>
    <x v="3"/>
    <n v="27"/>
    <x v="1"/>
    <x v="1"/>
    <d v="2027-11-16T00:00:00"/>
    <m/>
    <s v=""/>
    <m/>
    <s v=""/>
    <n v="60165"/>
    <d v="2028-09-25T00:00:00"/>
    <n v="66"/>
    <m/>
    <d v="2028-09-25T00:00:00"/>
  </r>
  <r>
    <s v="PR"/>
    <x v="159"/>
    <x v="122"/>
    <n v="103627"/>
    <m/>
    <s v="10_775"/>
    <x v="19"/>
    <s v="(N1)"/>
    <n v="50000"/>
    <x v="3"/>
    <n v="25"/>
    <x v="0"/>
    <x v="0"/>
    <d v="2027-11-19T00:00:00"/>
    <m/>
    <s v="10_858"/>
    <s v="Salto Caxias Prod. 2 - PR"/>
    <s v="(N3)"/>
    <n v="47750"/>
    <d v="2028-09-28T00:00:00"/>
    <n v="66"/>
    <m/>
    <d v="2028-09-28T00:00:00"/>
  </r>
  <r>
    <s v="PR"/>
    <x v="160"/>
    <x v="123"/>
    <n v="103927"/>
    <m/>
    <s v="10_2384"/>
    <x v="35"/>
    <s v="(N1)"/>
    <n v="60000"/>
    <x v="3"/>
    <n v="27"/>
    <x v="0"/>
    <x v="0"/>
    <d v="2027-11-28T00:00:00"/>
    <m/>
    <s v="10_2385"/>
    <s v="N. Sª. Ap. Prod. 1 - PR"/>
    <s v="(N2)"/>
    <n v="57300"/>
    <d v="2028-10-07T00:00:00"/>
    <n v="66"/>
    <m/>
    <d v="2028-10-07T00:00:00"/>
  </r>
  <r>
    <s v="PR"/>
    <x v="161"/>
    <x v="124"/>
    <n v="103427"/>
    <m/>
    <s v="112_2401"/>
    <x v="36"/>
    <s v="(N6)"/>
    <n v="84000"/>
    <x v="3"/>
    <n v="26"/>
    <x v="0"/>
    <x v="0"/>
    <d v="2027-12-05T00:00:00"/>
    <m/>
    <s v="116_2297"/>
    <s v="Vora 1 - PR"/>
    <s v="(N1)"/>
    <n v="80000"/>
    <d v="2028-10-14T00:00:00"/>
    <n v="66"/>
    <m/>
    <d v="2028-10-14T00:00:00"/>
  </r>
  <r>
    <s v="PR"/>
    <x v="161"/>
    <x v="124"/>
    <n v="103827"/>
    <m/>
    <s v="10_327"/>
    <x v="29"/>
    <s v="(N2)"/>
    <n v="38000"/>
    <x v="3"/>
    <n v="25"/>
    <x v="1"/>
    <x v="1"/>
    <d v="2027-12-05T00:00:00"/>
    <m/>
    <s v="26_167"/>
    <s v="Salto 2 - PR"/>
    <s v="(N2)"/>
    <n v="36290"/>
    <d v="2028-10-14T00:00:00"/>
    <n v="66"/>
    <m/>
    <d v="2028-10-14T00:00:00"/>
  </r>
  <r>
    <s v="PR"/>
    <x v="162"/>
    <x v="125"/>
    <n v="104027"/>
    <m/>
    <s v="117_1531"/>
    <x v="30"/>
    <s v="(N7)"/>
    <n v="84000"/>
    <x v="1"/>
    <n v="49"/>
    <x v="1"/>
    <x v="1"/>
    <d v="2027-12-12T00:00:00"/>
    <m/>
    <s v="117_157"/>
    <s v="Bom sucesso 3 - PR"/>
    <s v="(N3)"/>
    <n v="40000"/>
    <d v="2028-10-21T00:00:00"/>
    <n v="66"/>
    <m/>
    <d v="2028-10-21T00:00:00"/>
  </r>
  <r>
    <s v="PR"/>
    <x v="162"/>
    <x v="125"/>
    <n v="104027"/>
    <m/>
    <s v="117_1531"/>
    <x v="30"/>
    <s v="(N7)"/>
    <m/>
    <x v="1"/>
    <n v="49"/>
    <x v="1"/>
    <x v="1"/>
    <d v="2027-12-12T00:00:00"/>
    <m/>
    <s v="117_219"/>
    <s v="Bom sucesso 5 - PR"/>
    <s v="(N6)"/>
    <n v="40000"/>
    <d v="2028-10-21T00:00:00"/>
    <n v="66"/>
    <m/>
    <d v="2028-10-21T00:00:00"/>
  </r>
  <r>
    <s v="PR"/>
    <x v="163"/>
    <x v="126"/>
    <n v="104127"/>
    <m/>
    <s v="27_165"/>
    <x v="27"/>
    <s v="(N1)"/>
    <n v="42000"/>
    <x v="3"/>
    <n v="25"/>
    <x v="1"/>
    <x v="1"/>
    <d v="2027-12-23T00:00:00"/>
    <m/>
    <s v="17_107"/>
    <s v="Bela Vista 4 - PR"/>
    <s v="(N4)"/>
    <n v="40110"/>
    <d v="2028-11-01T00:00:00"/>
    <n v="66"/>
    <m/>
    <d v="2028-11-01T00:00:00"/>
  </r>
  <r>
    <s v="PR"/>
    <x v="163"/>
    <x v="126"/>
    <n v="104227"/>
    <n v="134"/>
    <s v="10_1405"/>
    <x v="26"/>
    <s v="(N1)"/>
    <n v="61000"/>
    <x v="3"/>
    <n v="25"/>
    <x v="1"/>
    <x v="2"/>
    <d v="2027-12-23T00:00:00"/>
    <m/>
    <s v="123_1537"/>
    <s v="Fronteira 2 - PR"/>
    <s v="(N2)"/>
    <n v="58255"/>
    <d v="2028-11-01T00:00:00"/>
    <n v="66"/>
    <m/>
    <d v="2028-11-01T00:00:00"/>
  </r>
  <r>
    <s v="PR"/>
    <x v="164"/>
    <x v="127"/>
    <n v="104327"/>
    <m/>
    <s v="10_116"/>
    <x v="25"/>
    <s v="(N1)"/>
    <n v="60000"/>
    <x v="1"/>
    <n v="49"/>
    <x v="0"/>
    <x v="0"/>
    <d v="2027-12-27T00:00:00"/>
    <m/>
    <s v="87_854"/>
    <s v="Samambaia 2 - SP"/>
    <s v="(N2)"/>
    <n v="22000"/>
    <d v="2028-11-05T00:00:00"/>
    <n v="66"/>
    <m/>
    <d v="2028-11-05T00:00:00"/>
  </r>
  <r>
    <s v="PR"/>
    <x v="164"/>
    <x v="127"/>
    <n v="104327"/>
    <m/>
    <s v="10_116"/>
    <x v="25"/>
    <s v="(N1)"/>
    <m/>
    <x v="1"/>
    <n v="49"/>
    <x v="0"/>
    <x v="0"/>
    <d v="2027-12-27T00:00:00"/>
    <m/>
    <s v="10_856"/>
    <s v="JS - PR"/>
    <s v="(N1)"/>
    <n v="35000"/>
    <d v="2028-11-05T00:00:00"/>
    <n v="66"/>
    <m/>
    <d v="2028-11-05T00:00:00"/>
  </r>
  <r>
    <s v="PR"/>
    <x v="165"/>
    <x v="128"/>
    <n v="104427"/>
    <m/>
    <s v="10_1182"/>
    <x v="28"/>
    <s v="(N2)"/>
    <n v="60000"/>
    <x v="1"/>
    <n v="50"/>
    <x v="0"/>
    <x v="0"/>
    <d v="2028-01-04T00:00:00"/>
    <m/>
    <s v="10_55"/>
    <s v="Celso Hoffelder - PR"/>
    <s v="(N1)"/>
    <n v="57300"/>
    <d v="2028-11-13T00:00:00"/>
    <n v="66"/>
    <m/>
    <d v="2028-11-13T00:00:00"/>
  </r>
  <r>
    <s v="PR"/>
    <x v="166"/>
    <x v="129"/>
    <n v="104527"/>
    <m/>
    <s v="124_47"/>
    <x v="6"/>
    <s v="(N1)"/>
    <n v="30000"/>
    <x v="1"/>
    <n v="49"/>
    <x v="1"/>
    <x v="1"/>
    <d v="2028-01-18T00:00:00"/>
    <m/>
    <s v="10_367"/>
    <s v="Ilha Bella 1 - PR"/>
    <s v="(N1)"/>
    <n v="28650"/>
    <d v="2028-11-27T00:00:00"/>
    <n v="66"/>
    <m/>
    <d v="2028-11-27T00:00:00"/>
  </r>
  <r>
    <s v="PR"/>
    <x v="167"/>
    <x v="130"/>
    <n v="104627"/>
    <m/>
    <s v="10_203"/>
    <x v="1"/>
    <s v="(N1)"/>
    <n v="60000"/>
    <x v="1"/>
    <n v="49"/>
    <x v="1"/>
    <x v="1"/>
    <d v="2028-01-11T00:00:00"/>
    <m/>
    <s v="10_367"/>
    <s v="Ilha Bella 1 - PR"/>
    <s v="(N1)"/>
    <n v="57300"/>
    <d v="2028-11-20T00:00:00"/>
    <n v="66"/>
    <m/>
    <d v="2028-11-20T00:00:00"/>
  </r>
  <r>
    <s v="PR"/>
    <x v="168"/>
    <x v="131"/>
    <n v="104727"/>
    <m/>
    <s v="10_1295"/>
    <x v="0"/>
    <s v="(N3)"/>
    <n v="84000"/>
    <x v="1"/>
    <n v="50"/>
    <x v="0"/>
    <x v="0"/>
    <d v="2028-01-25T00:00:00"/>
    <m/>
    <s v=""/>
    <m/>
    <s v=""/>
    <n v="80220"/>
    <d v="2028-12-04T00:00:00"/>
    <n v="66"/>
    <m/>
    <d v="2028-12-04T00:00:00"/>
  </r>
  <r>
    <s v="PR"/>
    <x v="169"/>
    <x v="132"/>
    <n v="105227"/>
    <m/>
    <s v="112_29"/>
    <x v="8"/>
    <s v="(N1)"/>
    <n v="107000"/>
    <x v="1"/>
    <n v="55"/>
    <x v="1"/>
    <x v="1"/>
    <d v="2028-02-06T00:00:00"/>
    <m/>
    <s v=""/>
    <m/>
    <s v=""/>
    <n v="102185"/>
    <d v="2028-12-16T00:00:00"/>
    <n v="66"/>
    <m/>
    <d v="2028-12-16T00:00:00"/>
  </r>
  <r>
    <s v="PR"/>
    <x v="170"/>
    <x v="133"/>
    <n v="104927"/>
    <m/>
    <s v="128_1367"/>
    <x v="3"/>
    <s v="(N1)"/>
    <n v="60000"/>
    <x v="1"/>
    <n v="49"/>
    <x v="1"/>
    <x v="1"/>
    <d v="2028-02-15T00:00:00"/>
    <m/>
    <s v=""/>
    <m/>
    <s v=""/>
    <n v="57300"/>
    <d v="2028-12-25T00:00:00"/>
    <n v="66"/>
    <m/>
    <d v="2028-12-25T00:00:00"/>
  </r>
  <r>
    <s v="PR"/>
    <x v="170"/>
    <x v="133"/>
    <n v="105027"/>
    <n v="136"/>
    <s v="117_139"/>
    <x v="2"/>
    <s v="(N4)"/>
    <n v="42000"/>
    <x v="3"/>
    <n v="25"/>
    <x v="0"/>
    <x v="3"/>
    <d v="2028-02-15T00:00:00"/>
    <m/>
    <s v=""/>
    <m/>
    <s v=""/>
    <n v="40110"/>
    <d v="2028-12-25T00:00:00"/>
    <n v="66"/>
    <m/>
    <d v="2028-12-25T00:00:00"/>
  </r>
  <r>
    <s v="PR"/>
    <x v="171"/>
    <x v="134"/>
    <n v="103727"/>
    <m/>
    <s v="135_2389"/>
    <x v="40"/>
    <s v="(N1)"/>
    <n v="60000"/>
    <x v="3"/>
    <n v="23"/>
    <x v="0"/>
    <x v="0"/>
    <d v="2028-04-06T00:00:00"/>
    <m/>
    <s v=""/>
    <m/>
    <s v=""/>
    <n v="57300"/>
    <d v="2029-02-14T00:00:00"/>
    <n v="66"/>
    <m/>
    <d v="2029-02-14T00:00:00"/>
  </r>
  <r>
    <s v="PR"/>
    <x v="172"/>
    <x v="135"/>
    <n v="105127"/>
    <m/>
    <s v="10_857"/>
    <x v="5"/>
    <s v="(N2)"/>
    <n v="60000"/>
    <x v="3"/>
    <n v="25"/>
    <x v="0"/>
    <x v="0"/>
    <d v="2028-02-19T00:00:00"/>
    <m/>
    <s v=""/>
    <m/>
    <s v=""/>
    <n v="57300"/>
    <d v="2028-12-29T00:00:00"/>
    <n v="66"/>
    <m/>
    <d v="2028-12-29T00:00:00"/>
  </r>
  <r>
    <s v="PR"/>
    <x v="173"/>
    <x v="136"/>
    <n v="106027"/>
    <m/>
    <s v="139_49"/>
    <x v="7"/>
    <s v="(N1)"/>
    <n v="60000"/>
    <x v="3"/>
    <n v="25"/>
    <x v="3"/>
    <x v="1"/>
    <d v="2028-02-29T00:00:00"/>
    <m/>
    <s v=""/>
    <m/>
    <s v=""/>
    <n v="57300"/>
    <d v="2029-01-08T00:00:00"/>
    <n v="66"/>
    <m/>
    <d v="2029-01-08T00:00:00"/>
  </r>
  <r>
    <s v="PR"/>
    <x v="174"/>
    <x v="137"/>
    <n v="105327"/>
    <m/>
    <s v="10_169"/>
    <x v="13"/>
    <s v="(N1)"/>
    <n v="42000"/>
    <x v="1"/>
    <n v="49"/>
    <x v="0"/>
    <x v="0"/>
    <d v="2028-03-04T00:00:00"/>
    <m/>
    <s v=""/>
    <m/>
    <s v=""/>
    <n v="40110"/>
    <d v="2029-01-12T00:00:00"/>
    <n v="66"/>
    <m/>
    <d v="2029-01-12T00:00:00"/>
  </r>
  <r>
    <s v="PR"/>
    <x v="175"/>
    <x v="138"/>
    <n v="105427"/>
    <m/>
    <s v="10_1940"/>
    <x v="32"/>
    <s v="(N1)"/>
    <n v="60000"/>
    <x v="3"/>
    <n v="25"/>
    <x v="1"/>
    <x v="1"/>
    <d v="2028-03-19T00:00:00"/>
    <m/>
    <s v=""/>
    <m/>
    <s v=""/>
    <n v="57300"/>
    <d v="2029-01-27T00:00:00"/>
    <n v="66"/>
    <m/>
    <d v="2029-01-27T00:00:00"/>
  </r>
  <r>
    <s v="PR"/>
    <x v="176"/>
    <x v="139"/>
    <n v="105527"/>
    <m/>
    <s v="10_328"/>
    <x v="4"/>
    <s v="(N3)"/>
    <n v="38000"/>
    <x v="3"/>
    <n v="25"/>
    <x v="0"/>
    <x v="0"/>
    <d v="2028-03-08T00:00:00"/>
    <m/>
    <s v=""/>
    <m/>
    <s v=""/>
    <n v="36290"/>
    <d v="2029-01-16T00:00:00"/>
    <n v="66"/>
    <m/>
    <d v="2029-01-16T00:00:00"/>
  </r>
  <r>
    <s v="PR"/>
    <x v="177"/>
    <x v="140"/>
    <n v="105627"/>
    <m/>
    <s v="112_1939"/>
    <x v="11"/>
    <s v="(N4)"/>
    <n v="84000"/>
    <x v="1"/>
    <n v="55"/>
    <x v="1"/>
    <x v="1"/>
    <d v="2028-03-11T00:00:00"/>
    <m/>
    <s v=""/>
    <m/>
    <s v=""/>
    <n v="80220"/>
    <d v="2029-01-19T00:00:00"/>
    <n v="66"/>
    <m/>
    <d v="2029-01-19T00:00:00"/>
  </r>
  <r>
    <s v="PR"/>
    <x v="178"/>
    <x v="141"/>
    <n v="105727"/>
    <m/>
    <s v="10_1938"/>
    <x v="9"/>
    <s v="(N1)"/>
    <n v="45000"/>
    <x v="1"/>
    <n v="49"/>
    <x v="1"/>
    <x v="1"/>
    <d v="2028-03-25T00:00:00"/>
    <m/>
    <s v=""/>
    <m/>
    <s v=""/>
    <n v="42975"/>
    <d v="2029-02-02T00:00:00"/>
    <n v="66"/>
    <m/>
    <d v="2029-02-02T00:00:00"/>
  </r>
  <r>
    <s v="PR"/>
    <x v="179"/>
    <x v="142"/>
    <n v="105827"/>
    <n v="138"/>
    <s v="112_16"/>
    <x v="10"/>
    <s v="(N3)"/>
    <n v="61000"/>
    <x v="1"/>
    <n v="49"/>
    <x v="1"/>
    <x v="2"/>
    <d v="2028-03-07T00:00:00"/>
    <m/>
    <s v=""/>
    <m/>
    <s v=""/>
    <n v="58255"/>
    <d v="2029-01-15T00:00:00"/>
    <n v="66"/>
    <m/>
    <d v="2029-01-15T00:00:00"/>
  </r>
  <r>
    <s v="PR"/>
    <x v="180"/>
    <x v="143"/>
    <n v="105927"/>
    <m/>
    <s v="10_776"/>
    <x v="12"/>
    <s v="(N3)"/>
    <n v="74000"/>
    <x v="3"/>
    <n v="25"/>
    <x v="0"/>
    <x v="0"/>
    <d v="2028-03-21T00:00:00"/>
    <m/>
    <s v=""/>
    <m/>
    <s v=""/>
    <n v="70670"/>
    <d v="2029-01-29T00:00:00"/>
    <n v="66"/>
    <m/>
    <d v="2029-01-29T00:00:00"/>
  </r>
  <r>
    <s v="PR"/>
    <x v="181"/>
    <x v="144"/>
    <n v="106227"/>
    <m/>
    <s v="112_67"/>
    <x v="22"/>
    <s v="(N2)"/>
    <n v="72000"/>
    <x v="1"/>
    <n v="49"/>
    <x v="1"/>
    <x v="1"/>
    <d v="2028-04-04T00:00:00"/>
    <m/>
    <s v=""/>
    <m/>
    <s v=""/>
    <n v="68760"/>
    <d v="2029-02-12T00:00:00"/>
    <n v="66"/>
    <m/>
    <d v="2029-02-12T00:00:00"/>
  </r>
  <r>
    <s v="PR"/>
    <x v="182"/>
    <x v="145"/>
    <n v="106327"/>
    <n v="139"/>
    <s v="10_1250"/>
    <x v="14"/>
    <s v="(N2)"/>
    <n v="60000"/>
    <x v="1"/>
    <n v="49"/>
    <x v="0"/>
    <x v="3"/>
    <d v="2028-04-14T00:00:00"/>
    <m/>
    <s v=""/>
    <m/>
    <s v=""/>
    <n v="57300"/>
    <d v="2029-02-22T00:00:00"/>
    <n v="66"/>
    <m/>
    <d v="2029-02-22T00:00:00"/>
  </r>
  <r>
    <s v="PR"/>
    <x v="183"/>
    <x v="146"/>
    <n v="106427"/>
    <m/>
    <s v="10_369"/>
    <x v="15"/>
    <s v="(N2)"/>
    <n v="66000"/>
    <x v="3"/>
    <n v="25"/>
    <x v="1"/>
    <x v="1"/>
    <d v="2028-04-07T00:00:00"/>
    <m/>
    <s v=""/>
    <m/>
    <s v=""/>
    <n v="63030"/>
    <d v="2029-02-15T00:00:00"/>
    <n v="66"/>
    <m/>
    <d v="2029-02-15T00:00:00"/>
  </r>
  <r>
    <s v="PR"/>
    <x v="184"/>
    <x v="147"/>
    <n v="106627"/>
    <m/>
    <s v="10_140"/>
    <x v="16"/>
    <s v="(N1)"/>
    <n v="42000"/>
    <x v="1"/>
    <n v="49"/>
    <x v="1"/>
    <x v="1"/>
    <d v="2028-04-17T00:00:00"/>
    <m/>
    <s v=""/>
    <m/>
    <s v=""/>
    <n v="40110"/>
    <d v="2029-02-25T00:00:00"/>
    <n v="66"/>
    <m/>
    <d v="2029-02-25T00:00:00"/>
  </r>
  <r>
    <s v="PR"/>
    <x v="185"/>
    <x v="148"/>
    <n v="107427"/>
    <n v="141"/>
    <s v="112_2399"/>
    <x v="33"/>
    <s v="(N5)"/>
    <n v="60000"/>
    <x v="1"/>
    <n v="55"/>
    <x v="1"/>
    <x v="1"/>
    <d v="2028-04-23T00:00:00"/>
    <m/>
    <s v=""/>
    <m/>
    <s v=""/>
    <n v="57300"/>
    <d v="2029-03-03T00:00:00"/>
    <n v="66"/>
    <m/>
    <d v="2029-03-03T00:00:00"/>
  </r>
  <r>
    <s v="PR"/>
    <x v="186"/>
    <x v="149"/>
    <n v="106727"/>
    <n v="140"/>
    <s v="27_181"/>
    <x v="17"/>
    <s v="(N2)"/>
    <n v="43000"/>
    <x v="3"/>
    <n v="25"/>
    <x v="1"/>
    <x v="2"/>
    <d v="2028-04-25T00:00:00"/>
    <m/>
    <s v=""/>
    <m/>
    <s v=""/>
    <n v="41065"/>
    <d v="2029-03-05T00:00:00"/>
    <n v="66"/>
    <m/>
    <d v="2029-03-05T00:00:00"/>
  </r>
  <r>
    <s v="PR"/>
    <x v="187"/>
    <x v="150"/>
    <n v="104827"/>
    <m/>
    <s v=""/>
    <x v="41"/>
    <s v=""/>
    <n v="84000"/>
    <x v="3"/>
    <n v="25"/>
    <x v="0"/>
    <x v="0"/>
    <d v="2028-04-26T00:00:00"/>
    <m/>
    <s v=""/>
    <m/>
    <s v=""/>
    <n v="80220"/>
    <d v="2029-03-06T00:00:00"/>
    <n v="66"/>
    <m/>
    <d v="2029-03-06T00:00:00"/>
  </r>
  <r>
    <s v="PR"/>
    <x v="188"/>
    <x v="151"/>
    <s v="1075 27"/>
    <m/>
    <s v="139_149"/>
    <x v="24"/>
    <s v="(N2)"/>
    <n v="60000"/>
    <x v="1"/>
    <n v="55"/>
    <x v="0"/>
    <x v="3"/>
    <d v="2028-05-03T00:00:00"/>
    <m/>
    <s v=""/>
    <m/>
    <s v=""/>
    <n v="57300"/>
    <d v="2029-03-13T00:00:00"/>
    <n v="66"/>
    <m/>
    <d v="2029-03-13T00:00:00"/>
  </r>
  <r>
    <s v="PR"/>
    <x v="189"/>
    <x v="152"/>
    <n v="106527"/>
    <m/>
    <s v="10_180"/>
    <x v="23"/>
    <s v="(N1)"/>
    <n v="46000"/>
    <x v="1"/>
    <n v="50"/>
    <x v="0"/>
    <x v="0"/>
    <d v="2028-05-06T00:00:00"/>
    <m/>
    <s v=""/>
    <m/>
    <s v=""/>
    <n v="43930"/>
    <d v="2029-03-16T00:00:00"/>
    <n v="66"/>
    <m/>
    <d v="2029-03-16T00:00:00"/>
  </r>
  <r>
    <s v="PR"/>
    <x v="189"/>
    <x v="152"/>
    <n v="107027"/>
    <m/>
    <s v="10_326"/>
    <x v="21"/>
    <s v="(N1)"/>
    <n v="38000"/>
    <x v="3"/>
    <n v="25"/>
    <x v="0"/>
    <x v="0"/>
    <d v="2028-05-06T00:00:00"/>
    <m/>
    <s v=""/>
    <m/>
    <s v=""/>
    <n v="36290"/>
    <d v="2029-03-16T00:00:00"/>
    <n v="66"/>
    <m/>
    <d v="2029-03-16T00:00:00"/>
  </r>
  <r>
    <s v="PR"/>
    <x v="189"/>
    <x v="152"/>
    <n v="107127"/>
    <m/>
    <s v="10_267"/>
    <x v="18"/>
    <s v="(N1)"/>
    <s v="63000"/>
    <x v="1"/>
    <n v="49"/>
    <x v="1"/>
    <x v="1"/>
    <d v="2028-05-06T00:00:00"/>
    <m/>
    <s v=""/>
    <m/>
    <s v=""/>
    <n v="60165"/>
    <d v="2029-03-16T00:00:00"/>
    <n v="66"/>
    <m/>
    <d v="2029-03-16T00:00:00"/>
  </r>
  <r>
    <s v="PR"/>
    <x v="190"/>
    <x v="153"/>
    <n v="107127"/>
    <m/>
    <s v="10_267"/>
    <x v="18"/>
    <s v="(N1)"/>
    <s v="63000"/>
    <x v="1"/>
    <n v="49"/>
    <x v="1"/>
    <x v="1"/>
    <d v="2028-05-08T00:00:00"/>
    <m/>
    <s v=""/>
    <m/>
    <s v=""/>
    <n v="60165"/>
    <d v="2029-03-18T00:00:00"/>
    <n v="66"/>
    <m/>
    <d v="2029-03-18T00:00:00"/>
  </r>
  <r>
    <s v="PR"/>
    <x v="191"/>
    <x v="154"/>
    <n v="107227"/>
    <m/>
    <s v="10_775"/>
    <x v="19"/>
    <s v="(N1)"/>
    <n v="50000"/>
    <x v="1"/>
    <n v="49"/>
    <x v="0"/>
    <x v="0"/>
    <d v="2028-05-09T00:00:00"/>
    <m/>
    <s v=""/>
    <m/>
    <s v=""/>
    <n v="47750"/>
    <d v="2029-03-19T00:00:00"/>
    <n v="66"/>
    <m/>
    <d v="2029-03-19T00:00:00"/>
  </r>
  <r>
    <s v="PR"/>
    <x v="192"/>
    <x v="155"/>
    <n v="106827"/>
    <m/>
    <s v="112_2401"/>
    <x v="36"/>
    <s v="(N6)"/>
    <n v="84000"/>
    <x v="1"/>
    <n v="49"/>
    <x v="0"/>
    <x v="0"/>
    <d v="2028-05-26T00:00:00"/>
    <m/>
    <s v=""/>
    <m/>
    <s v=""/>
    <n v="80220"/>
    <d v="2029-04-05T00:00:00"/>
    <n v="66"/>
    <m/>
    <d v="2029-04-05T00:00:00"/>
  </r>
  <r>
    <s v="PR"/>
    <x v="193"/>
    <x v="156"/>
    <n v="106127"/>
    <m/>
    <s v="135_2402"/>
    <x v="42"/>
    <s v="(N2)"/>
    <n v="60000"/>
    <x v="3"/>
    <n v="25"/>
    <x v="0"/>
    <x v="0"/>
    <d v="2028-05-19T00:00:00"/>
    <m/>
    <s v=""/>
    <m/>
    <s v=""/>
    <n v="57300"/>
    <d v="2029-03-29T00:00:00"/>
    <n v="66"/>
    <m/>
    <d v="2029-03-29T00:00:00"/>
  </r>
  <r>
    <s v="PR"/>
    <x v="194"/>
    <x v="157"/>
    <n v="100128"/>
    <m/>
    <s v="10_2384"/>
    <x v="35"/>
    <s v="(N1)"/>
    <n v="60000"/>
    <x v="1"/>
    <n v="49"/>
    <x v="0"/>
    <x v="0"/>
    <d v="2028-05-20T00:00:00"/>
    <m/>
    <s v=""/>
    <m/>
    <s v=""/>
    <n v="57300"/>
    <d v="2029-03-30T00:00:00"/>
    <n v="66"/>
    <m/>
    <d v="2029-03-30T00:00:00"/>
  </r>
  <r>
    <s v="PR"/>
    <x v="195"/>
    <x v="158"/>
    <s v="1002 28"/>
    <m/>
    <s v="135_2389"/>
    <x v="40"/>
    <s v="(N1)"/>
    <n v="60000"/>
    <x v="1"/>
    <n v="49"/>
    <x v="0"/>
    <x v="0"/>
    <d v="2028-09-23T00:00:00"/>
    <m/>
    <s v=""/>
    <m/>
    <s v=""/>
    <n v="57300"/>
    <d v="2029-08-03T00:00:00"/>
    <n v="66"/>
    <m/>
    <d v="2029-08-03T00:00:00"/>
  </r>
  <r>
    <s v="PR"/>
    <x v="196"/>
    <x v="159"/>
    <s v="1003 28"/>
    <m/>
    <s v=""/>
    <x v="41"/>
    <s v=""/>
    <n v="84000"/>
    <x v="1"/>
    <n v="49"/>
    <x v="0"/>
    <x v="0"/>
    <d v="2028-10-15T00:00:00"/>
    <m/>
    <s v=""/>
    <m/>
    <s v=""/>
    <n v="80220"/>
    <d v="2029-08-25T00:00:00"/>
    <n v="66"/>
    <m/>
    <d v="2029-08-2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E98A9-3120-43A9-8B84-D97F09A86672}" name="Tabela dinâmica10" cacheId="368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>
  <location ref="A368:F386" firstHeaderRow="1" firstDataRow="2" firstDataCol="2" rowPageCount="1" colPageCount="1"/>
  <pivotFields count="2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items count="1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2"/>
        <item x="78"/>
        <item x="77"/>
        <item x="71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9"/>
        <item x="107"/>
        <item x="108"/>
        <item x="109"/>
        <item x="113"/>
        <item x="114"/>
        <item x="116"/>
        <item x="117"/>
        <item x="118"/>
        <item x="119"/>
        <item x="120"/>
        <item x="121"/>
        <item x="122"/>
        <item x="124"/>
        <item x="126"/>
        <item x="130"/>
        <item x="131"/>
        <item x="133"/>
        <item x="137"/>
        <item x="140"/>
        <item x="143"/>
        <item x="149"/>
        <item x="150"/>
        <item x="151"/>
        <item x="152"/>
        <item x="153"/>
        <item x="154"/>
        <item x="156"/>
        <item x="155"/>
        <item x="159"/>
        <item x="88"/>
        <item x="101"/>
        <item x="123"/>
        <item x="157"/>
        <item x="115"/>
        <item x="144"/>
        <item x="145"/>
        <item x="95"/>
        <item x="96"/>
        <item x="97"/>
        <item x="125"/>
        <item x="128"/>
        <item x="98"/>
        <item x="111"/>
        <item x="146"/>
        <item x="127"/>
        <item x="147"/>
        <item x="148"/>
        <item x="73"/>
        <item x="74"/>
        <item x="102"/>
        <item x="103"/>
        <item x="105"/>
        <item x="129"/>
        <item x="132"/>
        <item x="135"/>
        <item x="70"/>
        <item x="136"/>
        <item x="139"/>
        <item x="75"/>
        <item x="76"/>
        <item x="79"/>
        <item x="100"/>
        <item x="104"/>
        <item x="106"/>
        <item x="110"/>
        <item x="112"/>
        <item x="134"/>
        <item x="138"/>
        <item x="141"/>
        <item x="142"/>
        <item x="15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">
        <item x="0"/>
        <item x="2"/>
        <item x="1"/>
        <item m="1" x="4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8">
        <item x="6"/>
        <item x="0"/>
        <item x="3"/>
        <item m="1" x="14"/>
        <item x="4"/>
        <item x="7"/>
        <item m="1" x="15"/>
        <item m="1" x="16"/>
        <item x="1"/>
        <item x="2"/>
        <item x="8"/>
        <item x="11"/>
        <item x="9"/>
        <item m="1" x="13"/>
        <item x="5"/>
        <item x="10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h="1" sd="0" x="8"/>
        <item h="1" sd="0" x="9"/>
        <item h="1" sd="0" x="10"/>
        <item h="1" sd="0" x="11"/>
        <item h="1"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1"/>
    <field x="12"/>
  </rowFields>
  <rowItems count="17">
    <i>
      <x/>
      <x v="1"/>
    </i>
    <i r="1">
      <x v="2"/>
    </i>
    <i r="1">
      <x v="4"/>
    </i>
    <i r="1">
      <x v="12"/>
    </i>
    <i r="1">
      <x v="14"/>
    </i>
    <i r="1">
      <x v="15"/>
    </i>
    <i t="default">
      <x/>
    </i>
    <i>
      <x v="1"/>
      <x v="11"/>
    </i>
    <i t="default">
      <x v="1"/>
    </i>
    <i>
      <x v="2"/>
      <x v="8"/>
    </i>
    <i r="1">
      <x v="9"/>
    </i>
    <i r="1">
      <x v="10"/>
    </i>
    <i t="default">
      <x v="2"/>
    </i>
    <i>
      <x v="4"/>
      <x v="1"/>
    </i>
    <i r="1">
      <x v="8"/>
    </i>
    <i t="default">
      <x v="4"/>
    </i>
    <i t="grand">
      <x/>
    </i>
  </rowItems>
  <colFields count="1">
    <field x="25"/>
  </colFields>
  <colItems count="4">
    <i>
      <x v="1"/>
    </i>
    <i>
      <x v="2"/>
    </i>
    <i>
      <x v="3"/>
    </i>
    <i>
      <x v="4"/>
    </i>
  </colItems>
  <pageFields count="1">
    <pageField fld="23" hier="-1"/>
  </pageFields>
  <dataFields count="1">
    <dataField name="Soma de Qtde." fld="8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515F6-C88A-4677-8501-696FE81BF193}" name="Tabela dinâmica9" cacheId="368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>
  <location ref="A354:E360" firstHeaderRow="1" firstDataRow="2" firstDataCol="1"/>
  <pivotFields count="26">
    <pivotField showAll="0"/>
    <pivotField showAll="0"/>
    <pivotField numFmtId="165" showAll="0">
      <items count="1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2"/>
        <item x="78"/>
        <item x="77"/>
        <item x="71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9"/>
        <item x="107"/>
        <item x="108"/>
        <item x="109"/>
        <item x="113"/>
        <item x="114"/>
        <item x="116"/>
        <item x="117"/>
        <item x="118"/>
        <item x="119"/>
        <item x="120"/>
        <item x="121"/>
        <item x="122"/>
        <item x="124"/>
        <item x="126"/>
        <item x="130"/>
        <item x="131"/>
        <item x="133"/>
        <item x="137"/>
        <item x="140"/>
        <item x="143"/>
        <item x="149"/>
        <item x="150"/>
        <item x="151"/>
        <item x="152"/>
        <item x="153"/>
        <item x="154"/>
        <item x="156"/>
        <item x="155"/>
        <item x="159"/>
        <item x="88"/>
        <item x="101"/>
        <item x="123"/>
        <item x="157"/>
        <item x="115"/>
        <item x="144"/>
        <item x="145"/>
        <item x="95"/>
        <item x="96"/>
        <item x="97"/>
        <item x="125"/>
        <item x="128"/>
        <item x="98"/>
        <item x="111"/>
        <item x="146"/>
        <item x="127"/>
        <item x="147"/>
        <item x="148"/>
        <item x="73"/>
        <item x="74"/>
        <item x="102"/>
        <item x="103"/>
        <item x="105"/>
        <item x="129"/>
        <item x="132"/>
        <item x="135"/>
        <item x="70"/>
        <item x="136"/>
        <item x="139"/>
        <item x="75"/>
        <item x="76"/>
        <item x="79"/>
        <item x="100"/>
        <item x="104"/>
        <item x="106"/>
        <item x="110"/>
        <item x="112"/>
        <item x="134"/>
        <item x="138"/>
        <item x="141"/>
        <item x="142"/>
        <item x="15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0"/>
        <item x="2"/>
        <item x="1"/>
        <item m="1" x="4"/>
        <item x="3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4"/>
    </i>
    <i t="grand">
      <x/>
    </i>
  </rowItems>
  <colFields count="1">
    <field x="25"/>
  </colFields>
  <colItems count="4">
    <i>
      <x v="1"/>
    </i>
    <i>
      <x v="2"/>
    </i>
    <i>
      <x v="3"/>
    </i>
    <i>
      <x v="4"/>
    </i>
  </colItems>
  <dataFields count="1">
    <dataField name="Soma de Qtde." fld="8" showDataAs="percentOfCol" baseField="0" baseItem="0" numFmtId="1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1AF8D-A5CA-4F11-BD4E-AC5D73974813}" name="Tabela dinâmica2" cacheId="3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N327:P553" firstHeaderRow="1" firstDataRow="1" firstDataCol="3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97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4"/>
        <item x="15"/>
        <item x="13"/>
        <item x="16"/>
        <item x="17"/>
        <item x="18"/>
        <item x="19"/>
        <item x="20"/>
        <item x="21"/>
        <item x="23"/>
        <item x="22"/>
        <item x="25"/>
        <item x="24"/>
        <item x="26"/>
        <item x="28"/>
        <item x="27"/>
        <item x="29"/>
        <item x="31"/>
        <item x="30"/>
        <item x="34"/>
        <item x="36"/>
        <item x="37"/>
        <item x="39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7"/>
        <item x="54"/>
        <item x="56"/>
        <item x="58"/>
        <item x="59"/>
        <item x="60"/>
        <item x="61"/>
        <item x="63"/>
        <item x="62"/>
        <item x="65"/>
        <item x="64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3"/>
        <item x="85"/>
        <item x="87"/>
        <item x="114"/>
        <item x="113"/>
        <item x="116"/>
        <item x="117"/>
        <item x="119"/>
        <item x="120"/>
        <item x="122"/>
        <item x="136"/>
        <item x="144"/>
        <item x="155"/>
        <item x="159"/>
        <item x="167"/>
        <item x="180"/>
        <item x="191"/>
        <item x="193"/>
        <item x="146"/>
        <item x="186"/>
        <item x="188"/>
        <item x="177"/>
        <item x="145"/>
        <item x="150"/>
        <item x="154"/>
        <item x="168"/>
        <item x="170"/>
        <item x="174"/>
        <item x="75"/>
        <item x="82"/>
        <item x="84"/>
        <item x="86"/>
        <item x="118"/>
        <item x="88"/>
        <item x="123"/>
        <item x="121"/>
        <item x="157"/>
        <item x="89"/>
        <item x="124"/>
        <item x="126"/>
        <item x="158"/>
        <item x="189"/>
        <item x="190"/>
        <item x="90"/>
        <item x="93"/>
        <item x="128"/>
        <item x="156"/>
        <item x="91"/>
        <item x="94"/>
        <item x="92"/>
        <item x="96"/>
        <item x="130"/>
        <item x="163"/>
        <item x="127"/>
        <item x="161"/>
        <item x="192"/>
        <item x="97"/>
        <item x="95"/>
        <item x="98"/>
        <item x="99"/>
        <item x="101"/>
        <item x="102"/>
        <item x="129"/>
        <item x="131"/>
        <item x="153"/>
        <item x="106"/>
        <item x="108"/>
        <item x="151"/>
        <item x="187"/>
        <item x="196"/>
        <item x="32"/>
        <item x="33"/>
        <item x="35"/>
        <item x="100"/>
        <item x="103"/>
        <item x="125"/>
        <item x="138"/>
        <item x="160"/>
        <item x="194"/>
        <item x="152"/>
        <item x="181"/>
        <item x="182"/>
        <item x="132"/>
        <item x="133"/>
        <item x="134"/>
        <item x="162"/>
        <item x="165"/>
        <item x="135"/>
        <item x="148"/>
        <item x="183"/>
        <item x="164"/>
        <item x="184"/>
        <item x="185"/>
        <item x="104"/>
        <item x="107"/>
        <item x="139"/>
        <item x="140"/>
        <item x="142"/>
        <item x="166"/>
        <item x="169"/>
        <item x="172"/>
        <item x="109"/>
        <item x="110"/>
        <item x="173"/>
        <item x="176"/>
        <item x="111"/>
        <item x="112"/>
        <item x="115"/>
        <item x="137"/>
        <item x="141"/>
        <item x="143"/>
        <item x="147"/>
        <item x="149"/>
        <item x="171"/>
        <item x="175"/>
        <item x="178"/>
        <item x="179"/>
        <item x="195"/>
        <item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2"/>
        <item x="78"/>
        <item x="77"/>
        <item x="71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9"/>
        <item x="107"/>
        <item x="108"/>
        <item x="109"/>
        <item x="113"/>
        <item x="114"/>
        <item x="116"/>
        <item x="117"/>
        <item x="118"/>
        <item x="119"/>
        <item x="120"/>
        <item x="121"/>
        <item x="122"/>
        <item x="124"/>
        <item x="126"/>
        <item x="130"/>
        <item x="131"/>
        <item x="133"/>
        <item x="137"/>
        <item x="140"/>
        <item x="143"/>
        <item x="149"/>
        <item x="150"/>
        <item x="151"/>
        <item x="152"/>
        <item x="153"/>
        <item x="154"/>
        <item x="156"/>
        <item x="155"/>
        <item x="159"/>
        <item x="88"/>
        <item x="101"/>
        <item x="123"/>
        <item x="157"/>
        <item x="115"/>
        <item x="144"/>
        <item x="145"/>
        <item x="95"/>
        <item x="96"/>
        <item x="97"/>
        <item x="125"/>
        <item x="128"/>
        <item x="98"/>
        <item x="111"/>
        <item x="146"/>
        <item x="127"/>
        <item x="147"/>
        <item x="148"/>
        <item x="73"/>
        <item x="74"/>
        <item x="102"/>
        <item x="103"/>
        <item x="105"/>
        <item x="129"/>
        <item x="132"/>
        <item x="135"/>
        <item x="70"/>
        <item x="136"/>
        <item x="139"/>
        <item x="75"/>
        <item x="76"/>
        <item x="79"/>
        <item x="100"/>
        <item x="104"/>
        <item x="106"/>
        <item x="110"/>
        <item x="112"/>
        <item x="134"/>
        <item x="138"/>
        <item x="141"/>
        <item x="142"/>
        <item x="1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32"/>
        <item x="3"/>
        <item m="1" x="43"/>
        <item x="31"/>
        <item x="2"/>
        <item x="30"/>
        <item x="40"/>
        <item x="42"/>
        <item x="20"/>
        <item x="7"/>
        <item x="24"/>
        <item x="0"/>
        <item x="14"/>
        <item x="34"/>
        <item x="13"/>
        <item x="28"/>
        <item x="35"/>
        <item x="23"/>
        <item x="15"/>
        <item x="12"/>
        <item x="1"/>
        <item x="8"/>
        <item x="22"/>
        <item x="10"/>
        <item x="11"/>
        <item x="33"/>
        <item x="36"/>
        <item x="6"/>
        <item x="27"/>
        <item x="17"/>
        <item x="26"/>
        <item x="19"/>
        <item x="25"/>
        <item x="21"/>
        <item x="29"/>
        <item x="4"/>
        <item x="9"/>
        <item x="18"/>
        <item x="41"/>
        <item x="16"/>
        <item x="5"/>
        <item x="37"/>
        <item x="39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m="1" x="5"/>
        <item x="3"/>
        <item x="0"/>
        <item x="2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1"/>
    <field x="9"/>
  </rowFields>
  <rowItems count="226">
    <i>
      <x/>
      <x v="40"/>
      <x v="1"/>
    </i>
    <i r="1">
      <x v="106"/>
      <x v="4"/>
    </i>
    <i r="1">
      <x v="184"/>
      <x v="1"/>
    </i>
    <i r="1">
      <x v="187"/>
      <x v="4"/>
    </i>
    <i r="1">
      <x v="192"/>
      <x v="1"/>
    </i>
    <i>
      <x v="1"/>
      <x v="3"/>
      <x v="2"/>
    </i>
    <i r="1">
      <x v="34"/>
      <x v="4"/>
    </i>
    <i r="1">
      <x v="70"/>
      <x v="1"/>
    </i>
    <i r="1">
      <x v="104"/>
      <x v="4"/>
    </i>
    <i r="1">
      <x v="139"/>
      <x v="4"/>
    </i>
    <i r="1">
      <x v="175"/>
      <x v="1"/>
    </i>
    <i>
      <x v="3"/>
      <x v="37"/>
      <x v="1"/>
    </i>
    <i>
      <x v="4"/>
      <x v="2"/>
      <x v="2"/>
    </i>
    <i r="1">
      <x v="33"/>
      <x v="4"/>
    </i>
    <i r="1">
      <x v="73"/>
      <x v="1"/>
    </i>
    <i r="1">
      <x v="104"/>
      <x v="1"/>
    </i>
    <i r="1">
      <x v="165"/>
      <x v="4"/>
    </i>
    <i r="1">
      <x v="171"/>
      <x v="2"/>
    </i>
    <i>
      <x v="5"/>
      <x v="63"/>
      <x v="2"/>
    </i>
    <i r="1">
      <x v="126"/>
      <x v="4"/>
    </i>
    <i r="1">
      <x v="149"/>
      <x v="1"/>
    </i>
    <i r="1">
      <x v="160"/>
      <x v="1"/>
    </i>
    <i r="1">
      <x v="163"/>
      <x v="4"/>
    </i>
    <i>
      <x v="6"/>
      <x v="185"/>
      <x v="1"/>
    </i>
    <i r="1">
      <x v="186"/>
      <x v="4"/>
    </i>
    <i r="1">
      <x v="191"/>
      <x v="1"/>
    </i>
    <i r="1">
      <x v="195"/>
      <x v="4"/>
    </i>
    <i>
      <x v="7"/>
      <x v="90"/>
      <x v="4"/>
    </i>
    <i r="1">
      <x v="95"/>
      <x v="1"/>
    </i>
    <i r="1">
      <x v="117"/>
      <x v="1"/>
    </i>
    <i>
      <x v="8"/>
      <x v="24"/>
      <x v="4"/>
    </i>
    <i r="1">
      <x v="25"/>
      <x v="4"/>
    </i>
    <i r="1">
      <x v="60"/>
      <x v="1"/>
    </i>
    <i r="1">
      <x v="115"/>
      <x v="4"/>
    </i>
    <i r="1">
      <x v="118"/>
      <x v="4"/>
    </i>
    <i r="1">
      <x v="140"/>
      <x v="1"/>
    </i>
    <i>
      <x v="9"/>
      <x v="8"/>
      <x v="1"/>
    </i>
    <i r="1">
      <x v="38"/>
      <x v="4"/>
    </i>
    <i r="1">
      <x v="74"/>
      <x v="1"/>
    </i>
    <i r="1">
      <x v="174"/>
      <x v="4"/>
    </i>
    <i r="1">
      <x v="179"/>
      <x v="2"/>
    </i>
    <i r="1">
      <x v="181"/>
      <x v="1"/>
    </i>
    <i>
      <x v="10"/>
      <x v="27"/>
      <x v="3"/>
    </i>
    <i r="1">
      <x v="55"/>
      <x v="4"/>
    </i>
    <i r="1">
      <x v="80"/>
      <x v="1"/>
    </i>
    <i r="1">
      <x v="98"/>
      <x v="4"/>
    </i>
    <i r="1">
      <x v="113"/>
      <x v="4"/>
    </i>
    <i r="1">
      <x v="114"/>
      <x v="1"/>
    </i>
    <i>
      <x v="11"/>
      <x/>
      <x v="2"/>
    </i>
    <i r="1">
      <x v="68"/>
      <x v="1"/>
    </i>
    <i r="1">
      <x v="103"/>
      <x v="4"/>
    </i>
    <i r="1">
      <x v="138"/>
      <x v="4"/>
    </i>
    <i r="1">
      <x v="150"/>
      <x v="4"/>
    </i>
    <i r="1">
      <x v="154"/>
      <x v="1"/>
    </i>
    <i>
      <x v="12"/>
      <x v="17"/>
      <x v="4"/>
    </i>
    <i r="1">
      <x v="52"/>
      <x v="1"/>
    </i>
    <i r="1">
      <x v="109"/>
      <x v="2"/>
    </i>
    <i r="1">
      <x v="110"/>
      <x v="4"/>
    </i>
    <i r="1">
      <x v="142"/>
      <x v="1"/>
    </i>
    <i r="1">
      <x v="159"/>
      <x v="4"/>
    </i>
    <i>
      <x v="13"/>
      <x v="58"/>
      <x v="4"/>
    </i>
    <i>
      <x v="14"/>
      <x v="15"/>
      <x v="3"/>
    </i>
    <i r="1">
      <x v="16"/>
      <x v="3"/>
    </i>
    <i r="1">
      <x v="47"/>
      <x v="4"/>
    </i>
    <i r="1">
      <x v="82"/>
      <x v="2"/>
    </i>
    <i r="1">
      <x v="100"/>
      <x v="1"/>
    </i>
    <i r="1">
      <x v="105"/>
      <x v="4"/>
    </i>
    <i r="1">
      <x v="108"/>
      <x v="1"/>
    </i>
    <i>
      <x v="15"/>
      <x v="65"/>
      <x v="1"/>
    </i>
    <i r="1">
      <x v="137"/>
      <x v="4"/>
    </i>
    <i r="1">
      <x v="148"/>
      <x v="4"/>
    </i>
    <i r="1">
      <x v="162"/>
      <x v="1"/>
    </i>
    <i r="1">
      <x v="164"/>
      <x v="4"/>
    </i>
    <i>
      <x v="16"/>
      <x v="125"/>
      <x v="1"/>
    </i>
    <i r="1">
      <x v="153"/>
      <x v="4"/>
    </i>
    <i r="1">
      <x v="155"/>
      <x v="1"/>
    </i>
    <i r="1">
      <x v="156"/>
      <x v="4"/>
    </i>
    <i>
      <x v="17"/>
      <x v="26"/>
      <x v="1"/>
    </i>
    <i r="1">
      <x v="28"/>
      <x v="1"/>
    </i>
    <i r="1">
      <x v="57"/>
      <x v="4"/>
    </i>
    <i r="1">
      <x v="115"/>
      <x v="1"/>
    </i>
    <i r="1">
      <x v="116"/>
      <x v="4"/>
    </i>
    <i r="1">
      <x v="118"/>
      <x v="1"/>
    </i>
    <i r="1">
      <x v="119"/>
      <x v="4"/>
    </i>
    <i>
      <x v="18"/>
      <x v="18"/>
      <x v="1"/>
    </i>
    <i r="1">
      <x v="47"/>
      <x v="2"/>
    </i>
    <i r="1">
      <x v="85"/>
      <x v="1"/>
    </i>
    <i r="1">
      <x v="107"/>
      <x v="4"/>
    </i>
    <i r="1">
      <x v="166"/>
      <x v="4"/>
    </i>
    <i r="1">
      <x v="167"/>
      <x v="1"/>
    </i>
    <i>
      <x v="19"/>
      <x v="13"/>
      <x v="1"/>
    </i>
    <i r="1">
      <x v="14"/>
      <x v="1"/>
    </i>
    <i r="1">
      <x v="42"/>
      <x v="2"/>
    </i>
    <i r="1">
      <x v="43"/>
      <x v="2"/>
    </i>
    <i r="1">
      <x v="75"/>
      <x v="4"/>
    </i>
    <i r="1">
      <x v="81"/>
      <x v="1"/>
    </i>
    <i r="1">
      <x v="89"/>
      <x v="4"/>
    </i>
    <i r="1">
      <x v="93"/>
      <x v="1"/>
    </i>
    <i>
      <x v="20"/>
      <x v="1"/>
      <x v="2"/>
    </i>
    <i r="1">
      <x v="32"/>
      <x v="4"/>
    </i>
    <i r="1">
      <x v="67"/>
      <x v="1"/>
    </i>
    <i r="1">
      <x v="88"/>
      <x v="1"/>
    </i>
    <i r="1">
      <x v="92"/>
      <x v="4"/>
    </i>
    <i r="1">
      <x v="151"/>
      <x v="4"/>
    </i>
    <i>
      <x v="21"/>
      <x v="7"/>
      <x v="1"/>
    </i>
    <i r="1">
      <x v="9"/>
      <x v="1"/>
    </i>
    <i r="1">
      <x v="39"/>
      <x v="2"/>
    </i>
    <i r="1">
      <x v="69"/>
      <x v="4"/>
    </i>
    <i r="1">
      <x v="144"/>
      <x v="1"/>
    </i>
    <i r="1">
      <x v="174"/>
      <x v="2"/>
    </i>
    <i r="1">
      <x v="177"/>
      <x v="4"/>
    </i>
    <i>
      <x v="22"/>
      <x v="24"/>
      <x v="2"/>
    </i>
    <i r="1">
      <x v="45"/>
      <x v="4"/>
    </i>
    <i r="1">
      <x v="46"/>
      <x v="4"/>
    </i>
    <i r="1">
      <x v="79"/>
      <x v="1"/>
    </i>
    <i r="1">
      <x v="83"/>
      <x v="4"/>
    </i>
    <i r="1">
      <x v="157"/>
      <x v="1"/>
    </i>
    <i r="1">
      <x v="158"/>
      <x v="4"/>
    </i>
    <i>
      <x v="23"/>
      <x v="12"/>
      <x v="1"/>
    </i>
    <i r="1">
      <x v="41"/>
      <x v="4"/>
    </i>
    <i r="1">
      <x v="76"/>
      <x v="1"/>
    </i>
    <i r="1">
      <x v="180"/>
      <x v="4"/>
    </i>
    <i r="1">
      <x v="189"/>
      <x v="1"/>
    </i>
    <i r="1">
      <x v="194"/>
      <x v="4"/>
    </i>
    <i>
      <x v="24"/>
      <x v="11"/>
      <x v="1"/>
    </i>
    <i r="1">
      <x v="15"/>
      <x v="1"/>
    </i>
    <i r="1">
      <x v="45"/>
      <x v="2"/>
    </i>
    <i r="1">
      <x v="77"/>
      <x v="4"/>
    </i>
    <i r="1">
      <x v="84"/>
      <x v="1"/>
    </i>
    <i r="1">
      <x v="96"/>
      <x v="2"/>
    </i>
    <i r="1">
      <x v="99"/>
      <x v="4"/>
    </i>
    <i>
      <x v="25"/>
      <x v="56"/>
      <x v="1"/>
    </i>
    <i r="1">
      <x v="80"/>
      <x v="4"/>
    </i>
    <i r="1">
      <x v="123"/>
      <x v="1"/>
    </i>
    <i r="1">
      <x v="124"/>
      <x v="2"/>
    </i>
    <i r="1">
      <x v="170"/>
      <x v="4"/>
    </i>
    <i>
      <x v="26"/>
      <x v="122"/>
      <x v="1"/>
    </i>
    <i r="1">
      <x v="127"/>
      <x v="1"/>
    </i>
    <i r="1">
      <x v="131"/>
      <x v="4"/>
    </i>
    <i r="1">
      <x v="132"/>
      <x v="1"/>
    </i>
    <i r="1">
      <x v="133"/>
      <x v="4"/>
    </i>
    <i>
      <x v="27"/>
      <x v="6"/>
      <x v="2"/>
    </i>
    <i r="1">
      <x v="36"/>
      <x v="3"/>
    </i>
    <i r="1">
      <x v="66"/>
      <x v="4"/>
    </i>
    <i r="1">
      <x v="165"/>
      <x v="2"/>
    </i>
    <i r="1">
      <x v="171"/>
      <x v="1"/>
    </i>
    <i r="1">
      <x v="176"/>
      <x v="4"/>
    </i>
    <i>
      <x v="28"/>
      <x v="30"/>
      <x v="2"/>
    </i>
    <i r="1">
      <x v="59"/>
      <x v="4"/>
    </i>
    <i r="1">
      <x v="128"/>
      <x v="1"/>
    </i>
    <i r="1">
      <x v="129"/>
      <x v="4"/>
    </i>
    <i r="1">
      <x v="130"/>
      <x v="1"/>
    </i>
    <i>
      <x v="29"/>
      <x v="20"/>
      <x v="1"/>
    </i>
    <i r="1">
      <x v="48"/>
      <x v="2"/>
    </i>
    <i r="1">
      <x v="78"/>
      <x v="4"/>
    </i>
    <i r="1">
      <x v="87"/>
      <x v="1"/>
    </i>
    <i r="1">
      <x v="97"/>
      <x v="1"/>
    </i>
    <i r="1">
      <x v="101"/>
      <x v="4"/>
    </i>
    <i>
      <x v="30"/>
      <x v="31"/>
      <x v="2"/>
    </i>
    <i r="1">
      <x v="61"/>
      <x v="4"/>
    </i>
    <i r="1">
      <x v="129"/>
      <x v="4"/>
    </i>
    <i r="1">
      <x v="130"/>
      <x v="1"/>
    </i>
    <i r="1">
      <x v="134"/>
      <x v="1"/>
    </i>
    <i>
      <x v="31"/>
      <x v="22"/>
      <x v="2"/>
    </i>
    <i r="1">
      <x v="51"/>
      <x v="4"/>
    </i>
    <i r="1">
      <x v="91"/>
      <x v="1"/>
    </i>
    <i r="1">
      <x v="94"/>
      <x v="4"/>
    </i>
    <i r="1">
      <x v="111"/>
      <x v="1"/>
    </i>
    <i r="1">
      <x v="112"/>
      <x v="4"/>
    </i>
    <i>
      <x v="32"/>
      <x v="29"/>
      <x v="4"/>
    </i>
    <i r="1">
      <x v="64"/>
      <x v="1"/>
    </i>
    <i r="1">
      <x v="135"/>
      <x v="4"/>
    </i>
    <i r="1">
      <x v="161"/>
      <x v="1"/>
    </i>
    <i r="1">
      <x v="168"/>
      <x v="4"/>
    </i>
    <i>
      <x v="33"/>
      <x v="25"/>
      <x v="2"/>
    </i>
    <i r="1">
      <x v="49"/>
      <x v="4"/>
    </i>
    <i r="1">
      <x v="111"/>
      <x v="1"/>
    </i>
    <i r="1">
      <x v="112"/>
      <x v="2"/>
    </i>
    <i r="1">
      <x v="119"/>
      <x v="1"/>
    </i>
    <i r="1">
      <x v="157"/>
      <x v="4"/>
    </i>
    <i>
      <x v="34"/>
      <x v="62"/>
      <x v="4"/>
    </i>
    <i r="1">
      <x v="132"/>
      <x v="1"/>
    </i>
    <i r="1">
      <x v="136"/>
      <x v="1"/>
    </i>
    <i r="1">
      <x v="141"/>
      <x v="2"/>
    </i>
    <i r="1">
      <x v="148"/>
      <x v="1"/>
    </i>
    <i>
      <x v="35"/>
      <x v="4"/>
      <x v="4"/>
    </i>
    <i r="1">
      <x v="40"/>
      <x v="1"/>
    </i>
    <i r="1">
      <x v="71"/>
      <x v="4"/>
    </i>
    <i r="1">
      <x v="182"/>
      <x v="1"/>
    </i>
    <i r="1">
      <x v="183"/>
      <x v="1"/>
    </i>
    <i r="1">
      <x v="188"/>
      <x v="4"/>
    </i>
    <i>
      <x v="36"/>
      <x v="10"/>
      <x v="2"/>
    </i>
    <i r="1">
      <x v="44"/>
      <x v="4"/>
    </i>
    <i r="1">
      <x v="77"/>
      <x v="1"/>
    </i>
    <i r="1">
      <x v="82"/>
      <x v="4"/>
    </i>
    <i r="1">
      <x v="190"/>
      <x v="1"/>
    </i>
    <i r="1">
      <x v="193"/>
      <x v="4"/>
    </i>
    <i>
      <x v="37"/>
      <x v="21"/>
      <x v="2"/>
    </i>
    <i r="1">
      <x v="23"/>
      <x v="2"/>
    </i>
    <i r="1">
      <x v="50"/>
      <x v="4"/>
    </i>
    <i r="1">
      <x v="53"/>
      <x v="4"/>
    </i>
    <i r="1">
      <x v="116"/>
      <x v="4"/>
    </i>
    <i r="1">
      <x v="118"/>
      <x v="1"/>
    </i>
    <i r="1">
      <x v="119"/>
      <x v="4"/>
    </i>
    <i r="1">
      <x v="120"/>
      <x v="4"/>
    </i>
    <i r="1">
      <x v="121"/>
      <x v="1"/>
    </i>
    <i>
      <x v="38"/>
      <x v="86"/>
      <x v="1"/>
    </i>
    <i r="1">
      <x v="145"/>
      <x v="4"/>
    </i>
    <i r="1">
      <x v="146"/>
      <x v="1"/>
    </i>
    <i r="1">
      <x v="147"/>
      <x v="4"/>
    </i>
    <i>
      <x v="39"/>
      <x v="19"/>
      <x v="4"/>
    </i>
    <i r="1">
      <x v="54"/>
      <x v="1"/>
    </i>
    <i r="1">
      <x v="80"/>
      <x v="2"/>
    </i>
    <i r="1">
      <x v="86"/>
      <x v="4"/>
    </i>
    <i r="1">
      <x v="102"/>
      <x v="1"/>
    </i>
    <i r="1">
      <x v="169"/>
      <x v="4"/>
    </i>
    <i>
      <x v="40"/>
      <x v="5"/>
      <x v="3"/>
    </i>
    <i r="1">
      <x v="35"/>
      <x v="4"/>
    </i>
    <i r="1">
      <x v="72"/>
      <x v="1"/>
    </i>
    <i r="1">
      <x v="172"/>
      <x v="2"/>
    </i>
    <i r="1">
      <x v="173"/>
      <x v="4"/>
    </i>
    <i r="1">
      <x v="178"/>
      <x v="1"/>
    </i>
    <i>
      <x v="41"/>
      <x v="152"/>
      <x v="1"/>
    </i>
    <i>
      <x v="42"/>
      <x v="143"/>
      <x v="4"/>
    </i>
    <i>
      <x v="43"/>
      <x v="196"/>
      <x v="5"/>
    </i>
    <i t="grand">
      <x/>
    </i>
  </rowItems>
  <colItems count="1">
    <i/>
  </colItems>
  <formats count="7">
    <format dxfId="6">
      <pivotArea dataOnly="0" labelOnly="1" outline="0" offset="IV3" fieldPosition="0">
        <references count="1">
          <reference field="6" count="1">
            <x v="10"/>
          </reference>
        </references>
      </pivotArea>
    </format>
    <format dxfId="5">
      <pivotArea dataOnly="0" labelOnly="1" outline="0" fieldPosition="0">
        <references count="2">
          <reference field="1" count="1">
            <x v="55"/>
          </reference>
          <reference field="6" count="1" selected="0">
            <x v="10"/>
          </reference>
        </references>
      </pivotArea>
    </format>
    <format dxfId="4">
      <pivotArea dataOnly="0" labelOnly="1" outline="0" fieldPosition="0">
        <references count="3">
          <reference field="1" count="1" selected="0">
            <x v="55"/>
          </reference>
          <reference field="6" count="1" selected="0">
            <x v="10"/>
          </reference>
          <reference field="9" count="1">
            <x v="1"/>
          </reference>
        </references>
      </pivotArea>
    </format>
    <format dxfId="3">
      <pivotArea dataOnly="0" labelOnly="1" outline="0" offset="IV2:IV3" fieldPosition="0">
        <references count="1">
          <reference field="6" count="1">
            <x v="17"/>
          </reference>
        </references>
      </pivotArea>
    </format>
    <format dxfId="2">
      <pivotArea dataOnly="0" labelOnly="1" outline="0" fieldPosition="0">
        <references count="2">
          <reference field="1" count="2">
            <x v="26"/>
            <x v="28"/>
          </reference>
          <reference field="6" count="1" selected="0">
            <x v="17"/>
          </reference>
        </references>
      </pivotArea>
    </format>
    <format dxfId="1">
      <pivotArea dataOnly="0" labelOnly="1" outline="0" fieldPosition="0">
        <references count="3">
          <reference field="1" count="1" selected="0">
            <x v="26"/>
          </reference>
          <reference field="6" count="1" selected="0">
            <x v="17"/>
          </reference>
          <reference field="9" count="1">
            <x v="1"/>
          </reference>
        </references>
      </pivotArea>
    </format>
    <format dxfId="0">
      <pivotArea dataOnly="0" labelOnly="1" outline="0" fieldPosition="0">
        <references count="3">
          <reference field="1" count="1" selected="0">
            <x v="28"/>
          </reference>
          <reference field="6" count="1" selected="0">
            <x v="17"/>
          </reference>
          <reference field="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97E1D-864A-4EB2-A584-FAA60D78A934}" name="Tabela dinâmica8" cacheId="368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>
  <location ref="A344:E350" firstHeaderRow="1" firstDataRow="2" firstDataCol="1"/>
  <pivotFields count="26">
    <pivotField showAll="0"/>
    <pivotField showAll="0"/>
    <pivotField numFmtId="165" showAll="0">
      <items count="1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2"/>
        <item x="78"/>
        <item x="77"/>
        <item x="71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9"/>
        <item x="107"/>
        <item x="108"/>
        <item x="109"/>
        <item x="113"/>
        <item x="114"/>
        <item x="116"/>
        <item x="117"/>
        <item x="118"/>
        <item x="119"/>
        <item x="120"/>
        <item x="121"/>
        <item x="122"/>
        <item x="124"/>
        <item x="126"/>
        <item x="130"/>
        <item x="131"/>
        <item x="133"/>
        <item x="137"/>
        <item x="140"/>
        <item x="143"/>
        <item x="149"/>
        <item x="150"/>
        <item x="151"/>
        <item x="152"/>
        <item x="153"/>
        <item x="154"/>
        <item x="156"/>
        <item x="155"/>
        <item x="159"/>
        <item x="88"/>
        <item x="101"/>
        <item x="123"/>
        <item x="157"/>
        <item x="115"/>
        <item x="144"/>
        <item x="145"/>
        <item x="95"/>
        <item x="96"/>
        <item x="97"/>
        <item x="125"/>
        <item x="128"/>
        <item x="98"/>
        <item x="111"/>
        <item x="146"/>
        <item x="127"/>
        <item x="147"/>
        <item x="148"/>
        <item x="73"/>
        <item x="74"/>
        <item x="102"/>
        <item x="103"/>
        <item x="105"/>
        <item x="129"/>
        <item x="132"/>
        <item x="135"/>
        <item x="70"/>
        <item x="136"/>
        <item x="139"/>
        <item x="75"/>
        <item x="76"/>
        <item x="79"/>
        <item x="100"/>
        <item x="104"/>
        <item x="106"/>
        <item x="110"/>
        <item x="112"/>
        <item x="134"/>
        <item x="138"/>
        <item x="141"/>
        <item x="142"/>
        <item x="15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0"/>
        <item x="2"/>
        <item x="1"/>
        <item m="1" x="4"/>
        <item x="3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4"/>
    </i>
    <i t="grand">
      <x/>
    </i>
  </rowItems>
  <colFields count="1">
    <field x="25"/>
  </colFields>
  <colItems count="4">
    <i>
      <x v="1"/>
    </i>
    <i>
      <x v="2"/>
    </i>
    <i>
      <x v="3"/>
    </i>
    <i>
      <x v="4"/>
    </i>
  </colItems>
  <dataFields count="1">
    <dataField name="Soma de Qtde." fld="8" baseField="0" baseItem="0" numFmtId="3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AFC24-9F43-4434-9B8F-BF4CDAE0ABD1}" name="Tabela dinâmica4" cacheId="368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>
  <location ref="A324:E338" firstHeaderRow="1" firstDataRow="2" firstDataCol="1"/>
  <pivotFields count="26">
    <pivotField showAll="0"/>
    <pivotField showAll="0"/>
    <pivotField numFmtId="165" showAll="0">
      <items count="1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2"/>
        <item x="78"/>
        <item x="77"/>
        <item x="71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9"/>
        <item x="107"/>
        <item x="108"/>
        <item x="109"/>
        <item x="113"/>
        <item x="114"/>
        <item x="116"/>
        <item x="117"/>
        <item x="118"/>
        <item x="119"/>
        <item x="120"/>
        <item x="121"/>
        <item x="122"/>
        <item x="124"/>
        <item x="126"/>
        <item x="130"/>
        <item x="131"/>
        <item x="133"/>
        <item x="137"/>
        <item x="140"/>
        <item x="143"/>
        <item x="149"/>
        <item x="150"/>
        <item x="151"/>
        <item x="152"/>
        <item x="153"/>
        <item x="154"/>
        <item x="156"/>
        <item x="155"/>
        <item x="159"/>
        <item x="88"/>
        <item x="101"/>
        <item x="123"/>
        <item x="157"/>
        <item x="115"/>
        <item x="144"/>
        <item x="145"/>
        <item x="95"/>
        <item x="96"/>
        <item x="97"/>
        <item x="125"/>
        <item x="128"/>
        <item x="98"/>
        <item x="111"/>
        <item x="146"/>
        <item x="127"/>
        <item x="147"/>
        <item x="148"/>
        <item x="73"/>
        <item x="74"/>
        <item x="102"/>
        <item x="103"/>
        <item x="105"/>
        <item x="129"/>
        <item x="132"/>
        <item x="135"/>
        <item x="70"/>
        <item x="136"/>
        <item x="139"/>
        <item x="75"/>
        <item x="76"/>
        <item x="79"/>
        <item x="100"/>
        <item x="104"/>
        <item x="106"/>
        <item x="110"/>
        <item x="112"/>
        <item x="134"/>
        <item x="138"/>
        <item x="141"/>
        <item x="142"/>
        <item x="15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5"/>
  </colFields>
  <colItems count="4">
    <i>
      <x v="1"/>
    </i>
    <i>
      <x v="2"/>
    </i>
    <i>
      <x v="3"/>
    </i>
    <i>
      <x v="4"/>
    </i>
  </colItems>
  <dataFields count="1">
    <dataField name="Soma de Qtde." fld="8" baseField="0" baseItem="0" numFmtId="3"/>
  </dataFields>
  <formats count="2">
    <format dxfId="8">
      <pivotArea collapsedLevelsAreSubtotals="1" fieldPosition="0">
        <references count="1">
          <reference field="2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">
      <pivotArea dataOnly="0" labelOnly="1" fieldPosition="0">
        <references count="1">
          <reference field="25" count="4">
            <x v="1"/>
            <x v="2"/>
            <x v="3"/>
            <x v="4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45102-D5AC-435D-94E3-EF24759F4CC7}" name="Tabela dinâmica8" cacheId="3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2" rowHeaderCaption="Raca" colHeaderCaption="Ano">
  <location ref="A113:F117" firstHeaderRow="1" firstDataRow="2" firstDataCol="1"/>
  <pivotFields count="26">
    <pivotField showAll="0" defaultSubtotal="0"/>
    <pivotField numFmtId="164" showAll="0" defaultSubtotal="0"/>
    <pivotField numFmtId="165" showAll="0" defaultSubtotal="0">
      <items count="90">
        <item m="1" x="77"/>
        <item m="1" x="78"/>
        <item m="1" x="79"/>
        <item m="1" x="80"/>
        <item m="1" x="81"/>
        <item m="1" x="83"/>
        <item m="1" x="82"/>
        <item m="1" x="84"/>
        <item m="1"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m="1" x="54"/>
        <item x="20"/>
        <item x="21"/>
        <item x="22"/>
        <item x="24"/>
        <item x="23"/>
        <item m="1" x="62"/>
        <item m="1" x="73"/>
        <item x="28"/>
        <item m="1" x="55"/>
        <item x="30"/>
        <item x="31"/>
        <item m="1" x="63"/>
        <item m="1" x="74"/>
        <item x="34"/>
        <item m="1" x="56"/>
        <item x="37"/>
        <item m="1" x="86"/>
        <item m="1" x="87"/>
        <item m="1" x="68"/>
        <item m="1" x="88"/>
        <item m="1" x="69"/>
        <item x="45"/>
        <item m="1" x="65"/>
        <item m="1" x="71"/>
        <item m="1" x="89"/>
        <item m="1" x="72"/>
        <item x="53"/>
        <item x="26"/>
        <item x="36"/>
        <item m="1" x="67"/>
        <item m="1" x="75"/>
        <item x="42"/>
        <item m="1" x="76"/>
        <item m="1" x="70"/>
        <item x="50"/>
        <item x="27"/>
        <item m="1" x="59"/>
        <item x="40"/>
        <item m="1" x="60"/>
        <item x="43"/>
        <item x="46"/>
        <item m="1" x="61"/>
        <item x="52"/>
        <item x="38"/>
        <item m="1" x="64"/>
        <item m="1" x="57"/>
        <item x="47"/>
        <item m="1" x="66"/>
        <item m="1" x="58"/>
        <item x="25"/>
        <item x="32"/>
        <item x="39"/>
        <item x="48"/>
        <item x="33"/>
        <item x="41"/>
        <item x="49"/>
        <item x="18"/>
        <item x="19"/>
        <item x="29"/>
        <item x="35"/>
        <item x="44"/>
        <item x="51"/>
      </items>
    </pivotField>
    <pivotField showAll="0" defaultSubtotal="0"/>
    <pivotField numFmtId="3" showAll="0" defaultSubtotal="0"/>
    <pivotField subtotalTop="0" showAll="0" defaultSubtotal="0"/>
    <pivotField subtotalTop="0" showAll="0" defaultSubtotal="0"/>
    <pivotField subtotalTop="0" showAll="0" defaultSubtotal="0"/>
    <pivotField dataField="1" showAll="0" defaultSubtotal="0"/>
    <pivotField showAll="0" defaultSubtotal="0"/>
    <pivotField subtotalTop="0" showAll="0" defaultSubtotal="0"/>
    <pivotField axis="axisRow" subtotalTop="0" showAll="0" defaultSubtotal="0">
      <items count="2">
        <item x="0"/>
        <item x="1"/>
      </items>
    </pivotField>
    <pivotField subtotalTop="0" showAll="0" defaultSubtotal="0"/>
    <pivotField numFmtId="165"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showAll="0" defaultSubtotal="0"/>
    <pivotField numFmtId="165" showAll="0" defaultSubtotal="0"/>
    <pivotField numFmtId="1" showAll="0" defaultSubtotal="0"/>
    <pivotField subtotalTop="0" showAll="0" defaultSubtotal="0"/>
    <pivotField showAll="0" defaultSubtotal="0"/>
    <pivotField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ubtotalTop="0" showAll="0" defaultSubtotal="0">
      <items count="6">
        <item sd="0" x="1"/>
        <item sd="0" x="2"/>
        <item sd="0" x="3"/>
        <item sd="0" x="4"/>
        <item x="5"/>
        <item x="0"/>
      </items>
    </pivotField>
    <pivotField axis="axisCol" subtotalTop="0" showAll="0" defaultSubtotal="0">
      <items count="7">
        <item sd="0" x="1"/>
        <item sd="0" x="2"/>
        <item sd="0" x="3"/>
        <item sd="0" x="4"/>
        <item x="5"/>
        <item x="6"/>
        <item x="0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25"/>
  </colFields>
  <colItems count="5">
    <i>
      <x/>
    </i>
    <i>
      <x v="1"/>
    </i>
    <i>
      <x v="2"/>
    </i>
    <i>
      <x v="3"/>
    </i>
    <i>
      <x v="4"/>
    </i>
  </colItems>
  <dataFields count="1">
    <dataField name="Qtd." fld="8" showDataAs="percentOfCol" baseField="12" baseItem="1" numFmtId="10"/>
  </dataFields>
  <formats count="9">
    <format dxfId="567">
      <pivotArea type="all" dataOnly="0" outline="0" fieldPosition="0"/>
    </format>
    <format dxfId="566">
      <pivotArea type="all" dataOnly="0" outline="0" fieldPosition="0"/>
    </format>
    <format dxfId="565">
      <pivotArea outline="0" collapsedLevelsAreSubtotals="1" fieldPosition="0"/>
    </format>
    <format dxfId="564">
      <pivotArea type="origin" dataOnly="0" labelOnly="1" outline="0" fieldPosition="0"/>
    </format>
    <format dxfId="563">
      <pivotArea type="topRight" dataOnly="0" labelOnly="1" outline="0" fieldPosition="0"/>
    </format>
    <format dxfId="562">
      <pivotArea field="11" type="button" dataOnly="0" labelOnly="1" outline="0" axis="axisRow" fieldPosition="0"/>
    </format>
    <format dxfId="561">
      <pivotArea dataOnly="0" labelOnly="1" fieldPosition="0">
        <references count="1">
          <reference field="11" count="0"/>
        </references>
      </pivotArea>
    </format>
    <format dxfId="560">
      <pivotArea dataOnly="0" labelOnly="1" grandRow="1" outline="0" fieldPosition="0"/>
    </format>
    <format dxfId="55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1D32E-49E6-4242-BD15-67E76F9CE37D}" name="Tabela dinâmica9" cacheId="3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>
  <location ref="A89:F103" firstHeaderRow="1" firstDataRow="2" firstDataCol="1"/>
  <pivotFields count="26">
    <pivotField compact="0" outline="0" showAll="0"/>
    <pivotField compact="0" outline="0" showAll="0"/>
    <pivotField compact="0" numFmtId="165" outline="0" showAll="0">
      <items count="91">
        <item m="1" x="77"/>
        <item m="1" x="78"/>
        <item m="1" x="79"/>
        <item m="1" x="80"/>
        <item m="1" x="81"/>
        <item m="1" x="83"/>
        <item m="1" x="82"/>
        <item m="1" x="84"/>
        <item m="1"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m="1" x="54"/>
        <item x="20"/>
        <item x="21"/>
        <item x="22"/>
        <item x="24"/>
        <item x="23"/>
        <item m="1" x="62"/>
        <item m="1" x="73"/>
        <item x="28"/>
        <item m="1" x="55"/>
        <item x="30"/>
        <item x="31"/>
        <item m="1" x="63"/>
        <item m="1" x="74"/>
        <item x="34"/>
        <item m="1" x="56"/>
        <item x="37"/>
        <item m="1" x="86"/>
        <item m="1" x="87"/>
        <item m="1" x="68"/>
        <item m="1" x="88"/>
        <item m="1" x="69"/>
        <item x="45"/>
        <item m="1" x="65"/>
        <item m="1" x="71"/>
        <item m="1" x="89"/>
        <item m="1" x="72"/>
        <item x="53"/>
        <item x="26"/>
        <item x="36"/>
        <item m="1" x="67"/>
        <item m="1" x="75"/>
        <item x="42"/>
        <item m="1" x="76"/>
        <item m="1" x="70"/>
        <item x="50"/>
        <item x="27"/>
        <item m="1" x="59"/>
        <item x="40"/>
        <item m="1" x="60"/>
        <item x="43"/>
        <item x="46"/>
        <item m="1" x="61"/>
        <item x="52"/>
        <item x="38"/>
        <item m="1" x="64"/>
        <item m="1" x="57"/>
        <item x="47"/>
        <item m="1" x="66"/>
        <item m="1" x="58"/>
        <item x="25"/>
        <item x="32"/>
        <item x="39"/>
        <item x="48"/>
        <item x="33"/>
        <item x="41"/>
        <item x="49"/>
        <item x="18"/>
        <item x="19"/>
        <item x="29"/>
        <item x="35"/>
        <item x="44"/>
        <item x="51"/>
        <item t="default"/>
      </items>
    </pivotField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" outline="0" showAll="0"/>
    <pivotField compact="0" outline="0" showAll="0"/>
    <pivotField compact="0" outline="0" showAll="0"/>
    <pivotField name="Mês"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1"/>
        <item sd="0" x="2"/>
        <item sd="0" x="3"/>
        <item sd="0" x="4"/>
        <item x="5"/>
        <item x="0"/>
        <item t="default"/>
      </items>
    </pivotField>
    <pivotField name="Ano" axis="axisCol" compact="0" outline="0" showAll="0">
      <items count="8">
        <item sd="0" x="1"/>
        <item sd="0" x="2"/>
        <item sd="0" x="3"/>
        <item sd="0" x="4"/>
        <item x="5"/>
        <item x="6"/>
        <item x="0"/>
        <item t="default"/>
      </items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5"/>
  </colFields>
  <colItems count="5">
    <i>
      <x/>
    </i>
    <i>
      <x v="1"/>
    </i>
    <i>
      <x v="2"/>
    </i>
    <i>
      <x v="3"/>
    </i>
    <i>
      <x v="4"/>
    </i>
  </colItems>
  <dataFields count="1">
    <dataField name="Qtde. Mês" fld="8" baseField="24" baseItem="7" numFmtId="3"/>
  </dataFields>
  <formats count="6">
    <format dxfId="573">
      <pivotArea grandRow="1" outline="0" collapsedLevelsAreSubtotals="1" fieldPosition="0"/>
    </format>
    <format dxfId="572">
      <pivotArea type="all" dataOnly="0" outline="0" fieldPosition="0"/>
    </format>
    <format dxfId="571">
      <pivotArea outline="0" collapsedLevelsAreSubtotals="1" fieldPosition="0"/>
    </format>
    <format dxfId="570">
      <pivotArea dataOnly="0" labelOnly="1" grandRow="1" outline="0" fieldPosition="0"/>
    </format>
    <format dxfId="569">
      <pivotArea dataOnly="0" labelOnly="1" outline="0" axis="axisValues" fieldPosition="0"/>
    </format>
    <format dxfId="56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32318-EFED-45BC-9611-B5A438458D37}" name="Tabela dinâmica2" cacheId="6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 chartFormat="2" colHeaderCaption="Ano">
  <location ref="A121:F132" firstHeaderRow="1" firstDataRow="2" firstDataCol="2"/>
  <pivotFields count="26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ubtotalTop="0" showAll="0" defaultSubtota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21"/>
        <item x="38"/>
        <item x="47"/>
        <item x="20"/>
        <item x="27"/>
        <item x="34"/>
        <item x="43"/>
        <item x="28"/>
        <item x="36"/>
        <item x="44"/>
        <item x="14"/>
        <item x="15"/>
        <item x="16"/>
        <item x="18"/>
        <item x="17"/>
        <item x="19"/>
        <item x="22"/>
        <item x="23"/>
        <item x="24"/>
        <item x="25"/>
        <item x="29"/>
        <item x="30"/>
        <item x="32"/>
        <item x="37"/>
        <item x="39"/>
        <item x="40"/>
        <item x="45"/>
        <item x="46"/>
        <item x="48"/>
        <item x="26"/>
        <item x="31"/>
        <item x="33"/>
        <item x="42"/>
        <item x="35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1">
        <item x="1"/>
        <item x="2"/>
        <item m="1" x="8"/>
        <item x="0"/>
        <item m="1" x="9"/>
        <item m="1" x="10"/>
        <item x="3"/>
        <item x="7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sd="0" x="1"/>
        <item sd="0" x="2"/>
        <item sd="0" x="3"/>
        <item sd="0" x="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no" axis="axisCol" compact="0" outline="0" subtotalTop="0" showAll="0" defaultSubtotal="0">
      <items count="6">
        <item sd="0" x="1"/>
        <item sd="0" x="2"/>
        <item sd="0" x="3"/>
        <item x="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1"/>
    <field x="12"/>
  </rowFields>
  <rowItems count="10">
    <i>
      <x/>
      <x/>
    </i>
    <i r="1">
      <x v="1"/>
    </i>
    <i r="1">
      <x v="7"/>
    </i>
    <i r="1">
      <x v="8"/>
    </i>
    <i r="1">
      <x v="9"/>
    </i>
    <i r="1">
      <x v="10"/>
    </i>
    <i>
      <x v="1"/>
      <x v="3"/>
    </i>
    <i r="1">
      <x v="6"/>
    </i>
    <i>
      <x v="2"/>
      <x/>
    </i>
    <i t="grand">
      <x/>
    </i>
  </rowItems>
  <colFields count="1">
    <field x="25"/>
  </colFields>
  <colItems count="4">
    <i>
      <x/>
    </i>
    <i>
      <x v="1"/>
    </i>
    <i>
      <x v="2"/>
    </i>
    <i>
      <x v="3"/>
    </i>
  </colItems>
  <dataFields count="1">
    <dataField name="Qtd." fld="8" baseField="11" baseItem="0" numFmtId="3"/>
  </dataFields>
  <formats count="8">
    <format dxfId="581">
      <pivotArea type="all" dataOnly="0" outline="0" fieldPosition="0"/>
    </format>
    <format dxfId="580">
      <pivotArea outline="0" collapsedLevelsAreSubtotals="1" fieldPosition="0"/>
    </format>
    <format dxfId="579">
      <pivotArea type="origin" dataOnly="0" labelOnly="1" outline="0" fieldPosition="0"/>
    </format>
    <format dxfId="578">
      <pivotArea type="topRight" dataOnly="0" labelOnly="1" outline="0" fieldPosition="0"/>
    </format>
    <format dxfId="577">
      <pivotArea dataOnly="0" labelOnly="1" grandRow="1" outline="0" fieldPosition="0"/>
    </format>
    <format dxfId="576">
      <pivotArea outline="0" fieldPosition="0">
        <references count="1">
          <reference field="25" count="3" selected="0">
            <x v="0"/>
            <x v="1"/>
            <x v="2"/>
          </reference>
        </references>
      </pivotArea>
    </format>
    <format dxfId="575">
      <pivotArea type="topRight" dataOnly="0" labelOnly="1" outline="0" fieldPosition="0"/>
    </format>
    <format dxfId="574">
      <pivotArea dataOnly="0" labelOnly="1" outline="0" fieldPosition="0">
        <references count="1">
          <reference field="25" count="3">
            <x v="0"/>
            <x v="1"/>
            <x v="2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17901-D240-4CC0-9AB7-B32643AC45A5}" name="Tabela dinâmica7" cacheId="3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2" rowHeaderCaption="Raca" colHeaderCaption="Ano">
  <location ref="A106:F110" firstHeaderRow="1" firstDataRow="2" firstDataCol="1"/>
  <pivotFields count="26">
    <pivotField showAll="0" defaultSubtotal="0"/>
    <pivotField numFmtId="164" showAll="0" defaultSubtotal="0"/>
    <pivotField numFmtId="165" showAll="0" defaultSubtotal="0">
      <items count="90">
        <item m="1" x="77"/>
        <item m="1" x="78"/>
        <item m="1" x="79"/>
        <item m="1" x="80"/>
        <item m="1" x="81"/>
        <item m="1" x="83"/>
        <item m="1" x="82"/>
        <item m="1" x="84"/>
        <item m="1"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m="1" x="54"/>
        <item x="20"/>
        <item x="21"/>
        <item x="22"/>
        <item x="24"/>
        <item x="23"/>
        <item m="1" x="62"/>
        <item m="1" x="73"/>
        <item x="28"/>
        <item m="1" x="55"/>
        <item x="30"/>
        <item x="31"/>
        <item m="1" x="63"/>
        <item m="1" x="74"/>
        <item x="34"/>
        <item m="1" x="56"/>
        <item x="37"/>
        <item m="1" x="86"/>
        <item m="1" x="87"/>
        <item m="1" x="68"/>
        <item m="1" x="88"/>
        <item m="1" x="69"/>
        <item x="45"/>
        <item m="1" x="65"/>
        <item m="1" x="71"/>
        <item m="1" x="89"/>
        <item m="1" x="72"/>
        <item x="53"/>
        <item x="26"/>
        <item x="36"/>
        <item m="1" x="67"/>
        <item m="1" x="75"/>
        <item x="42"/>
        <item m="1" x="76"/>
        <item m="1" x="70"/>
        <item x="50"/>
        <item x="27"/>
        <item m="1" x="59"/>
        <item x="40"/>
        <item m="1" x="60"/>
        <item x="43"/>
        <item x="46"/>
        <item m="1" x="61"/>
        <item x="52"/>
        <item x="38"/>
        <item m="1" x="64"/>
        <item m="1" x="57"/>
        <item x="47"/>
        <item m="1" x="66"/>
        <item m="1" x="58"/>
        <item x="25"/>
        <item x="32"/>
        <item x="39"/>
        <item x="48"/>
        <item x="33"/>
        <item x="41"/>
        <item x="49"/>
        <item x="18"/>
        <item x="19"/>
        <item x="29"/>
        <item x="35"/>
        <item x="44"/>
        <item x="51"/>
      </items>
    </pivotField>
    <pivotField showAll="0" defaultSubtotal="0"/>
    <pivotField numFmtId="3" showAll="0" defaultSubtotal="0"/>
    <pivotField subtotalTop="0" showAll="0" defaultSubtotal="0"/>
    <pivotField subtotalTop="0" showAll="0" defaultSubtotal="0"/>
    <pivotField subtotalTop="0" showAll="0" defaultSubtotal="0"/>
    <pivotField dataField="1" showAll="0" defaultSubtotal="0"/>
    <pivotField showAll="0" defaultSubtotal="0"/>
    <pivotField subtotalTop="0" showAll="0" defaultSubtotal="0"/>
    <pivotField axis="axisRow" subtotalTop="0" showAll="0" defaultSubtotal="0">
      <items count="2">
        <item x="0"/>
        <item x="1"/>
      </items>
    </pivotField>
    <pivotField subtotalTop="0" showAll="0" defaultSubtotal="0"/>
    <pivotField numFmtId="165"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showAll="0" defaultSubtotal="0"/>
    <pivotField numFmtId="165" showAll="0" defaultSubtotal="0"/>
    <pivotField numFmtId="1" showAll="0" defaultSubtotal="0"/>
    <pivotField subtotalTop="0" showAll="0" defaultSubtotal="0"/>
    <pivotField showAll="0" defaultSubtotal="0"/>
    <pivotField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ubtotalTop="0" showAll="0" defaultSubtotal="0">
      <items count="6">
        <item sd="0" x="1"/>
        <item sd="0" x="2"/>
        <item sd="0" x="3"/>
        <item sd="0" x="4"/>
        <item x="5"/>
        <item x="0"/>
      </items>
    </pivotField>
    <pivotField axis="axisCol" subtotalTop="0" showAll="0" defaultSubtotal="0">
      <items count="7">
        <item sd="0" x="1"/>
        <item sd="0" x="2"/>
        <item sd="0" x="3"/>
        <item sd="0" x="4"/>
        <item x="5"/>
        <item x="6"/>
        <item x="0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25"/>
  </colFields>
  <colItems count="5">
    <i>
      <x/>
    </i>
    <i>
      <x v="1"/>
    </i>
    <i>
      <x v="2"/>
    </i>
    <i>
      <x v="3"/>
    </i>
    <i>
      <x v="4"/>
    </i>
  </colItems>
  <dataFields count="1">
    <dataField name="Qtd." fld="8" baseField="12" baseItem="1" numFmtId="3"/>
  </dataFields>
  <formats count="9">
    <format dxfId="590">
      <pivotArea type="all" dataOnly="0" outline="0" fieldPosition="0"/>
    </format>
    <format dxfId="589">
      <pivotArea outline="0" fieldPosition="0">
        <references count="1">
          <reference field="4294967294" count="1">
            <x v="0"/>
          </reference>
        </references>
      </pivotArea>
    </format>
    <format dxfId="588">
      <pivotArea type="all" dataOnly="0" outline="0" fieldPosition="0"/>
    </format>
    <format dxfId="587">
      <pivotArea outline="0" collapsedLevelsAreSubtotals="1" fieldPosition="0"/>
    </format>
    <format dxfId="586">
      <pivotArea type="origin" dataOnly="0" labelOnly="1" outline="0" fieldPosition="0"/>
    </format>
    <format dxfId="585">
      <pivotArea type="topRight" dataOnly="0" labelOnly="1" outline="0" fieldPosition="0"/>
    </format>
    <format dxfId="584">
      <pivotArea field="11" type="button" dataOnly="0" labelOnly="1" outline="0" axis="axisRow" fieldPosition="0"/>
    </format>
    <format dxfId="583">
      <pivotArea dataOnly="0" labelOnly="1" fieldPosition="0">
        <references count="1">
          <reference field="11" count="0"/>
        </references>
      </pivotArea>
    </format>
    <format dxfId="582">
      <pivotArea dataOnly="0" labelOnly="1" grandRow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F2C3E-BE4B-491D-B8A2-C3403C94C196}" name="Tabela dinâmica16" cacheId="4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2" rowHeaderCaption="Raca" colHeaderCaption="Ano">
  <location ref="A53:C56" firstHeaderRow="1" firstDataRow="2" firstDataCol="1"/>
  <pivotFields count="26">
    <pivotField showAll="0" defaultSubtotal="0"/>
    <pivotField numFmtId="164" showAll="0" defaultSubtotal="0"/>
    <pivotField numFmtId="165" showAll="0" defaultSubtotal="0">
      <items count="16">
        <item x="6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</items>
    </pivotField>
    <pivotField showAll="0" defaultSubtotal="0"/>
    <pivotField numFmtId="3" showAll="0" defaultSubtotal="0"/>
    <pivotField subtotalTop="0" showAll="0" defaultSubtotal="0"/>
    <pivotField subtotalTop="0" showAll="0" defaultSubtotal="0"/>
    <pivotField subtotalTop="0" showAll="0" defaultSubtotal="0"/>
    <pivotField dataField="1" showAll="0" defaultSubtotal="0"/>
    <pivotField showAll="0" defaultSubtotal="0"/>
    <pivotField subtotalTop="0" showAll="0" defaultSubtotal="0"/>
    <pivotField axis="axisRow" subtotalTop="0" showAll="0" defaultSubtotal="0">
      <items count="2">
        <item x="0"/>
        <item m="1" x="1"/>
      </items>
    </pivotField>
    <pivotField subtotalTop="0" showAll="0" defaultSubtotal="0"/>
    <pivotField numFmtId="165" subtotalTop="0"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showAll="0" defaultSubtotal="0"/>
    <pivotField numFmtId="165" showAll="0" defaultSubtotal="0"/>
    <pivotField numFmtId="1" showAll="0" defaultSubtotal="0"/>
    <pivotField subtotalTop="0" showAll="0" defaultSubtotal="0"/>
    <pivotField showAll="0" defaultSubtotal="0"/>
    <pivotField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ubtotalTop="0" showAll="0" defaultSubtotal="0">
      <items count="6">
        <item sd="0" x="1"/>
        <item sd="0" x="2"/>
        <item sd="0" x="3"/>
        <item sd="0" x="4"/>
        <item x="0"/>
        <item x="5"/>
      </items>
    </pivotField>
    <pivotField axis="axisCol" subtotalTop="0" showAll="0" defaultSubtotal="0">
      <items count="4">
        <item sd="0" x="1"/>
        <item x="0"/>
        <item x="2"/>
        <item x="3"/>
      </items>
    </pivotField>
  </pivotFields>
  <rowFields count="1">
    <field x="11"/>
  </rowFields>
  <rowItems count="2">
    <i>
      <x/>
    </i>
    <i t="grand">
      <x/>
    </i>
  </rowItems>
  <colFields count="1">
    <field x="25"/>
  </colFields>
  <colItems count="2">
    <i>
      <x/>
    </i>
    <i>
      <x v="2"/>
    </i>
  </colItems>
  <dataFields count="1">
    <dataField name="Qtd." fld="8" baseField="12" baseItem="1" numFmtId="3"/>
  </dataFields>
  <formats count="9">
    <format dxfId="542">
      <pivotArea type="all" dataOnly="0" outline="0" fieldPosition="0"/>
    </format>
    <format dxfId="541">
      <pivotArea outline="0" fieldPosition="0">
        <references count="1">
          <reference field="4294967294" count="1">
            <x v="0"/>
          </reference>
        </references>
      </pivotArea>
    </format>
    <format dxfId="540">
      <pivotArea type="all" dataOnly="0" outline="0" fieldPosition="0"/>
    </format>
    <format dxfId="539">
      <pivotArea outline="0" collapsedLevelsAreSubtotals="1" fieldPosition="0"/>
    </format>
    <format dxfId="538">
      <pivotArea type="origin" dataOnly="0" labelOnly="1" outline="0" fieldPosition="0"/>
    </format>
    <format dxfId="537">
      <pivotArea type="topRight" dataOnly="0" labelOnly="1" outline="0" fieldPosition="0"/>
    </format>
    <format dxfId="536">
      <pivotArea field="11" type="button" dataOnly="0" labelOnly="1" outline="0" axis="axisRow" fieldPosition="0"/>
    </format>
    <format dxfId="535">
      <pivotArea dataOnly="0" labelOnly="1" fieldPosition="0">
        <references count="1">
          <reference field="11" count="0"/>
        </references>
      </pivotArea>
    </format>
    <format dxfId="534">
      <pivotArea dataOnly="0" labelOnly="1" grandRow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9F31D-DB30-445C-A022-BFEC98E389AF}" name="Tabela dinâmica17" cacheId="4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2" rowHeaderCaption="Raca" colHeaderCaption="Ano">
  <location ref="A61:C64" firstHeaderRow="1" firstDataRow="2" firstDataCol="1"/>
  <pivotFields count="26">
    <pivotField showAll="0" defaultSubtotal="0"/>
    <pivotField numFmtId="164" showAll="0" defaultSubtotal="0"/>
    <pivotField numFmtId="165" showAll="0" defaultSubtotal="0">
      <items count="16">
        <item x="6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</items>
    </pivotField>
    <pivotField showAll="0" defaultSubtotal="0"/>
    <pivotField numFmtId="3" showAll="0" defaultSubtotal="0"/>
    <pivotField subtotalTop="0" showAll="0" defaultSubtotal="0"/>
    <pivotField subtotalTop="0" showAll="0" defaultSubtotal="0"/>
    <pivotField subtotalTop="0" showAll="0" defaultSubtotal="0"/>
    <pivotField dataField="1" showAll="0" defaultSubtotal="0"/>
    <pivotField showAll="0" defaultSubtotal="0"/>
    <pivotField subtotalTop="0" showAll="0" defaultSubtotal="0"/>
    <pivotField axis="axisRow" subtotalTop="0" showAll="0" defaultSubtotal="0">
      <items count="2">
        <item x="0"/>
        <item m="1" x="1"/>
      </items>
    </pivotField>
    <pivotField subtotalTop="0" showAll="0" defaultSubtotal="0"/>
    <pivotField numFmtId="165" subtotalTop="0"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showAll="0" defaultSubtotal="0"/>
    <pivotField numFmtId="165" showAll="0" defaultSubtotal="0"/>
    <pivotField numFmtId="1" showAll="0" defaultSubtotal="0"/>
    <pivotField subtotalTop="0" showAll="0" defaultSubtotal="0"/>
    <pivotField showAll="0" defaultSubtotal="0"/>
    <pivotField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ubtotalTop="0" showAll="0" defaultSubtotal="0">
      <items count="6">
        <item sd="0" x="1"/>
        <item sd="0" x="2"/>
        <item sd="0" x="3"/>
        <item sd="0" x="4"/>
        <item x="0"/>
        <item x="5"/>
      </items>
    </pivotField>
    <pivotField axis="axisCol" subtotalTop="0" showAll="0" defaultSubtotal="0">
      <items count="4">
        <item sd="0" x="1"/>
        <item x="0"/>
        <item x="2"/>
        <item x="3"/>
      </items>
    </pivotField>
  </pivotFields>
  <rowFields count="1">
    <field x="11"/>
  </rowFields>
  <rowItems count="2">
    <i>
      <x/>
    </i>
    <i t="grand">
      <x/>
    </i>
  </rowItems>
  <colFields count="1">
    <field x="25"/>
  </colFields>
  <colItems count="2">
    <i>
      <x/>
    </i>
    <i>
      <x v="2"/>
    </i>
  </colItems>
  <dataFields count="1">
    <dataField name="Qtd." fld="8" showDataAs="percentOfCol" baseField="12" baseItem="1" numFmtId="10"/>
  </dataFields>
  <formats count="9">
    <format dxfId="551">
      <pivotArea type="all" dataOnly="0" outline="0" fieldPosition="0"/>
    </format>
    <format dxfId="550">
      <pivotArea type="all" dataOnly="0" outline="0" fieldPosition="0"/>
    </format>
    <format dxfId="549">
      <pivotArea outline="0" collapsedLevelsAreSubtotals="1" fieldPosition="0"/>
    </format>
    <format dxfId="548">
      <pivotArea type="origin" dataOnly="0" labelOnly="1" outline="0" fieldPosition="0"/>
    </format>
    <format dxfId="547">
      <pivotArea type="topRight" dataOnly="0" labelOnly="1" outline="0" fieldPosition="0"/>
    </format>
    <format dxfId="546">
      <pivotArea field="11" type="button" dataOnly="0" labelOnly="1" outline="0" axis="axisRow" fieldPosition="0"/>
    </format>
    <format dxfId="545">
      <pivotArea dataOnly="0" labelOnly="1" fieldPosition="0">
        <references count="1">
          <reference field="11" count="0"/>
        </references>
      </pivotArea>
    </format>
    <format dxfId="544">
      <pivotArea dataOnly="0" labelOnly="1" grandRow="1" outline="0" fieldPosition="0"/>
    </format>
    <format dxfId="54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94AE1-15BC-4D2B-8890-E0A4AF988777}" name="Tabela dinâmica19" cacheId="4" applyNumberFormats="0" applyBorderFormats="0" applyFontFormats="0" applyPatternFormats="0" applyAlignmentFormats="0" applyWidthHeightFormats="1" dataCaption="Valores" updatedVersion="8" minRefreshableVersion="5" colGrandTotals="0" itemPrintTitles="1" createdVersion="8" indent="0" compact="0" compactData="0" multipleFieldFilters="0">
  <location ref="A35:B45" firstHeaderRow="1" firstDataRow="2" firstDataCol="1"/>
  <pivotFields count="26">
    <pivotField compact="0" outline="0" showAll="0"/>
    <pivotField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numFmtId="165" outline="0" showAll="0">
      <items count="17">
        <item x="6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" outline="0" showAll="0"/>
    <pivotField compact="0" outline="0" showAll="0"/>
    <pivotField compact="0" outline="0" showAll="0"/>
    <pivotField name="Mês"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1"/>
        <item sd="0" x="2"/>
        <item sd="0" x="3"/>
        <item sd="0" x="4"/>
        <item x="0"/>
        <item x="5"/>
        <item t="default"/>
      </items>
    </pivotField>
    <pivotField name="Ano" axis="axisCol" compact="0" outline="0" showAll="0">
      <items count="5">
        <item sd="0" x="1"/>
        <item x="0"/>
        <item x="2"/>
        <item x="3"/>
        <item t="default"/>
      </items>
    </pivotField>
  </pivotFields>
  <rowFields count="1">
    <field x="23"/>
  </rowFields>
  <rowItems count="9">
    <i>
      <x v="1"/>
    </i>
    <i>
      <x v="2"/>
    </i>
    <i>
      <x v="4"/>
    </i>
    <i>
      <x v="5"/>
    </i>
    <i>
      <x v="7"/>
    </i>
    <i>
      <x v="8"/>
    </i>
    <i>
      <x v="10"/>
    </i>
    <i>
      <x v="11"/>
    </i>
    <i t="grand">
      <x/>
    </i>
  </rowItems>
  <colFields count="1">
    <field x="25"/>
  </colFields>
  <colItems count="1">
    <i>
      <x/>
    </i>
  </colItems>
  <dataFields count="1">
    <dataField name="Qtde. Mês" fld="8" baseField="24" baseItem="7" numFmtId="3"/>
  </dataFields>
  <formats count="6">
    <format dxfId="429">
      <pivotArea grandRow="1" outline="0" collapsedLevelsAreSubtotals="1" fieldPosition="0"/>
    </format>
    <format dxfId="428">
      <pivotArea type="all" dataOnly="0" outline="0" fieldPosition="0"/>
    </format>
    <format dxfId="427">
      <pivotArea outline="0" collapsedLevelsAreSubtotals="1" fieldPosition="0"/>
    </format>
    <format dxfId="426">
      <pivotArea dataOnly="0" labelOnly="1" grandRow="1" outline="0" fieldPosition="0"/>
    </format>
    <format dxfId="425">
      <pivotArea dataOnly="0" labelOnly="1" outline="0" axis="axisValues" fieldPosition="0"/>
    </format>
    <format dxfId="4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2" showRowHeaders="1" showColHeaders="1" showRowStripes="0" showColStripes="0" showLastColumn="1"/>
  <filters count="1">
    <filter fld="1" type="dateBetween" evalOrder="-1" id="4" name="Dt. Aloj.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B459D-97DA-40C3-AA6C-7227D4AF4D31}" name="Tabela dinâmica1" cacheId="4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 rowHeaderCaption="Linhagem" colHeaderCaption="Ano">
  <location ref="A69:D72" firstHeaderRow="1" firstDataRow="2" firstDataCol="2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no" axis="axisCol" compact="0" outline="0" subtotalTop="0" showAll="0" defaultSubtotal="0">
      <items count="4">
        <item sd="0" x="0"/>
        <item sd="0" x="1"/>
        <item sd="0" x="2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1"/>
    <field x="12"/>
  </rowFields>
  <rowItems count="2">
    <i>
      <x v="1"/>
      <x v="2"/>
    </i>
    <i t="grand">
      <x/>
    </i>
  </rowItems>
  <colFields count="1">
    <field x="25"/>
  </colFields>
  <colItems count="2">
    <i>
      <x v="1"/>
    </i>
    <i>
      <x v="2"/>
    </i>
  </colItems>
  <dataFields count="1">
    <dataField name="Qtde" fld="8" baseField="11" baseItem="0" numFmtId="3"/>
  </dataFields>
  <formats count="7">
    <format dxfId="558">
      <pivotArea type="all" dataOnly="0" outline="0" fieldPosition="0"/>
    </format>
    <format dxfId="557">
      <pivotArea outline="0" collapsedLevelsAreSubtotals="1" fieldPosition="0"/>
    </format>
    <format dxfId="556">
      <pivotArea type="origin" dataOnly="0" labelOnly="1" outline="0" fieldPosition="0"/>
    </format>
    <format dxfId="555">
      <pivotArea type="topRight" dataOnly="0" labelOnly="1" outline="0" fieldPosition="0"/>
    </format>
    <format dxfId="554">
      <pivotArea field="12" type="button" dataOnly="0" labelOnly="1" outline="0" axis="axisRow" fieldPosition="1"/>
    </format>
    <format dxfId="553">
      <pivotArea dataOnly="0" labelOnly="1" fieldPosition="0">
        <references count="1">
          <reference field="12" count="0"/>
        </references>
      </pivotArea>
    </format>
    <format dxfId="552">
      <pivotArea dataOnly="0" labelOnly="1" grandRow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315F4-C071-4FD8-B11D-7D554993557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R297:S310" firstHeaderRow="1" firstDataRow="1" firstDataCol="1" rowPageCount="1" colPageCount="1"/>
  <pivotFields count="27">
    <pivotField compact="0" outline="0" showAll="0"/>
    <pivotField compact="0" outline="0" showAll="0">
      <items count="182">
        <item x="0"/>
        <item x="2"/>
        <item x="1"/>
        <item x="3"/>
        <item x="4"/>
        <item x="5"/>
        <item x="6"/>
        <item x="7"/>
        <item x="8"/>
        <item x="10"/>
        <item x="9"/>
        <item x="11"/>
        <item x="12"/>
        <item x="14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32"/>
        <item x="39"/>
        <item x="44"/>
        <item x="40"/>
        <item x="41"/>
        <item x="42"/>
        <item x="43"/>
        <item x="45"/>
        <item x="47"/>
        <item x="46"/>
        <item x="48"/>
        <item x="49"/>
        <item x="50"/>
        <item x="51"/>
        <item x="52"/>
        <item x="53"/>
        <item x="54"/>
        <item x="35"/>
        <item x="55"/>
        <item x="57"/>
        <item x="56"/>
        <item x="59"/>
        <item x="58"/>
        <item x="60"/>
        <item x="62"/>
        <item x="61"/>
        <item x="64"/>
        <item x="65"/>
        <item x="63"/>
        <item x="66"/>
        <item x="67"/>
        <item x="68"/>
        <item x="69"/>
        <item x="70"/>
        <item x="71"/>
        <item x="73"/>
        <item x="72"/>
        <item x="74"/>
        <item x="75"/>
        <item x="76"/>
        <item x="78"/>
        <item x="77"/>
        <item x="79"/>
        <item x="81"/>
        <item x="80"/>
        <item x="82"/>
        <item x="83"/>
        <item x="85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4"/>
        <item x="106"/>
        <item x="107"/>
        <item x="108"/>
        <item x="109"/>
        <item x="111"/>
        <item x="110"/>
        <item x="112"/>
        <item x="113"/>
        <item x="114"/>
        <item x="115"/>
        <item x="116"/>
        <item x="118"/>
        <item x="119"/>
        <item x="120"/>
        <item x="117"/>
        <item x="121"/>
        <item x="123"/>
        <item x="122"/>
        <item x="124"/>
        <item x="125"/>
        <item x="127"/>
        <item x="126"/>
        <item x="128"/>
        <item x="131"/>
        <item x="129"/>
        <item x="130"/>
        <item x="132"/>
        <item x="135"/>
        <item x="133"/>
        <item x="141"/>
        <item x="134"/>
        <item x="138"/>
        <item x="139"/>
        <item x="136"/>
        <item x="140"/>
        <item x="137"/>
        <item x="142"/>
        <item x="144"/>
        <item x="143"/>
        <item x="146"/>
        <item x="147"/>
        <item x="148"/>
        <item x="145"/>
        <item x="149"/>
        <item x="151"/>
        <item x="152"/>
        <item x="153"/>
        <item x="155"/>
        <item x="150"/>
        <item x="157"/>
        <item x="154"/>
        <item x="156"/>
        <item x="158"/>
        <item x="160"/>
        <item x="162"/>
        <item x="159"/>
        <item x="163"/>
        <item x="164"/>
        <item x="165"/>
        <item x="166"/>
        <item x="167"/>
        <item x="161"/>
        <item x="168"/>
        <item x="170"/>
        <item x="169"/>
        <item x="171"/>
        <item x="173"/>
        <item x="172"/>
        <item x="174"/>
        <item x="175"/>
        <item x="178"/>
        <item x="176"/>
        <item x="179"/>
        <item x="177"/>
        <item x="180"/>
        <item t="default"/>
      </items>
    </pivotField>
    <pivotField axis="axisPage" compact="0" outline="0" showAll="0">
      <items count="10">
        <item m="1" x="6"/>
        <item m="1" x="7"/>
        <item x="0"/>
        <item x="2"/>
        <item x="3"/>
        <item x="4"/>
        <item m="1" x="5"/>
        <item x="1"/>
        <item m="1" x="8"/>
        <item t="default"/>
      </items>
    </pivotField>
    <pivotField compact="0" numFmtId="165" outline="0" showAll="0"/>
    <pivotField compact="0" outline="0" showAll="0"/>
    <pivotField compact="0" numFmtId="3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item="4" hier="-1"/>
  </pageFields>
  <dataFields count="1">
    <dataField name="Soma de Qtde.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52B7A-C4DD-469C-87F0-F7925AA85E80}" name="Tabela dinâmica1" cacheId="0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2">
  <location ref="H297:L310" firstHeaderRow="1" firstDataRow="2" firstDataCol="1"/>
  <pivotFields count="27">
    <pivotField showAll="0" defaultSubtotal="0"/>
    <pivotField numFmtId="164" showAll="0" defaultSubtotal="0">
      <items count="181">
        <item x="0"/>
        <item x="2"/>
        <item x="1"/>
        <item x="3"/>
        <item x="4"/>
        <item x="5"/>
        <item x="6"/>
        <item x="7"/>
        <item x="8"/>
        <item x="10"/>
        <item x="9"/>
        <item x="11"/>
        <item x="12"/>
        <item x="14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32"/>
        <item x="39"/>
        <item x="44"/>
        <item x="40"/>
        <item x="41"/>
        <item x="42"/>
        <item x="43"/>
        <item x="45"/>
        <item x="47"/>
        <item x="46"/>
        <item x="48"/>
        <item x="49"/>
        <item x="50"/>
        <item x="51"/>
        <item x="52"/>
        <item x="53"/>
        <item x="54"/>
        <item x="35"/>
        <item x="55"/>
        <item x="57"/>
        <item x="56"/>
        <item x="59"/>
        <item x="58"/>
        <item x="60"/>
        <item x="62"/>
        <item x="61"/>
        <item x="64"/>
        <item x="65"/>
        <item x="63"/>
        <item x="66"/>
        <item x="67"/>
        <item x="68"/>
        <item x="69"/>
        <item x="70"/>
        <item x="71"/>
        <item x="73"/>
        <item x="72"/>
        <item x="74"/>
        <item x="75"/>
        <item x="76"/>
        <item x="78"/>
        <item x="77"/>
        <item x="79"/>
        <item x="81"/>
        <item x="80"/>
        <item x="82"/>
        <item x="83"/>
        <item x="85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4"/>
        <item x="106"/>
        <item x="107"/>
        <item x="108"/>
        <item x="109"/>
        <item x="111"/>
        <item x="110"/>
        <item x="112"/>
        <item x="113"/>
        <item x="114"/>
        <item x="115"/>
        <item x="116"/>
        <item x="118"/>
        <item x="119"/>
        <item x="120"/>
        <item x="117"/>
        <item x="121"/>
        <item x="123"/>
        <item x="122"/>
        <item x="124"/>
        <item x="125"/>
        <item x="127"/>
        <item x="126"/>
        <item x="128"/>
        <item x="131"/>
        <item x="129"/>
        <item x="130"/>
        <item x="132"/>
        <item x="135"/>
        <item x="133"/>
        <item x="141"/>
        <item x="134"/>
        <item x="138"/>
        <item x="139"/>
        <item x="136"/>
        <item x="140"/>
        <item x="137"/>
        <item x="142"/>
        <item x="144"/>
        <item x="143"/>
        <item x="146"/>
        <item x="147"/>
        <item x="148"/>
        <item x="145"/>
        <item x="149"/>
        <item x="151"/>
        <item x="152"/>
        <item x="153"/>
        <item x="155"/>
        <item x="150"/>
        <item x="157"/>
        <item x="154"/>
        <item x="156"/>
        <item x="158"/>
        <item x="160"/>
        <item x="162"/>
        <item x="159"/>
        <item x="163"/>
        <item x="164"/>
        <item x="165"/>
        <item x="166"/>
        <item x="167"/>
        <item x="161"/>
        <item x="168"/>
        <item x="170"/>
        <item x="169"/>
        <item x="171"/>
        <item x="173"/>
        <item x="172"/>
        <item x="174"/>
        <item x="175"/>
        <item x="178"/>
        <item x="176"/>
        <item x="179"/>
        <item x="177"/>
        <item x="180"/>
      </items>
    </pivotField>
    <pivotField showAll="0" defaultSubtotal="0">
      <items count="9">
        <item m="1" x="7"/>
        <item x="0"/>
        <item x="2"/>
        <item x="3"/>
        <item x="1"/>
        <item m="1" x="5"/>
        <item m="1" x="8"/>
        <item m="1" x="6"/>
        <item x="4"/>
      </items>
    </pivotField>
    <pivotField numFmtId="165" showAll="0" defaultSubtotal="0"/>
    <pivotField showAll="0" defaultSubtotal="0"/>
    <pivotField numFmtId="3" showAll="0" defaultSubtotal="0"/>
    <pivotField subtotalTop="0" showAll="0" defaultSubtotal="0"/>
    <pivotField showAll="0" defaultSubtotal="0"/>
    <pivotField dataField="1" showAll="0" defaultSubtotal="0"/>
    <pivotField showAll="0" defaultSubtotal="0"/>
    <pivotField subtotalTop="0" showAll="0" defaultSubtotal="0"/>
    <pivotField axis="axisRow" showAll="0" defaultSubtotal="0">
      <items count="14">
        <item x="0"/>
        <item x="3"/>
        <item x="2"/>
        <item x="1"/>
        <item x="4"/>
        <item x="10"/>
        <item x="8"/>
        <item x="7"/>
        <item m="1" x="13"/>
        <item x="5"/>
        <item x="9"/>
        <item m="1" x="12"/>
        <item m="1" x="11"/>
        <item x="6"/>
      </items>
    </pivotField>
    <pivotField numFmtId="165" showAll="0" defaultSubtotal="0"/>
    <pivotField numFmtId="165" showAll="0" defaultSubtotal="0"/>
    <pivotField showAll="0" defaultSubtotal="0"/>
    <pivotField subtotalTop="0" showAll="0" defaultSubtotal="0"/>
    <pivotField showAll="0" defaultSubtotal="0"/>
    <pivotField showAll="0" defaultSubtotal="0"/>
    <pivotField numFmtId="165" showAll="0" defaultSubtotal="0"/>
    <pivotField numFmtId="1" showAll="0" defaultSubtotal="0"/>
    <pivotField subtotalTop="0" showAll="0" defaultSubtotal="0"/>
    <pivotField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ubtotalTop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ubtotalTop="0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3"/>
    </i>
    <i t="grand">
      <x/>
    </i>
  </rowItems>
  <colFields count="1">
    <field x="26"/>
  </colFields>
  <colItems count="4">
    <i>
      <x v="1"/>
    </i>
    <i>
      <x v="2"/>
    </i>
    <i>
      <x v="3"/>
    </i>
    <i>
      <x v="4"/>
    </i>
  </colItems>
  <dataFields count="1">
    <dataField name="Soma de Qtde." fld="8" baseField="11" baseItem="0" numFmtId="3"/>
  </dataFields>
  <formats count="8">
    <format dxfId="533">
      <pivotArea type="all" dataOnly="0" outline="0" fieldPosition="0"/>
    </format>
    <format dxfId="532">
      <pivotArea outline="0" collapsedLevelsAreSubtotals="1" fieldPosition="0"/>
    </format>
    <format dxfId="531">
      <pivotArea type="origin" dataOnly="0" labelOnly="1" outline="0" fieldPosition="0"/>
    </format>
    <format dxfId="530">
      <pivotArea field="2" type="button" dataOnly="0" labelOnly="1" outline="0"/>
    </format>
    <format dxfId="529">
      <pivotArea type="topRight" dataOnly="0" labelOnly="1" outline="0" fieldPosition="0"/>
    </format>
    <format dxfId="528">
      <pivotArea field="11" type="button" dataOnly="0" labelOnly="1" outline="0" axis="axisRow" fieldPosition="0"/>
    </format>
    <format dxfId="527">
      <pivotArea dataOnly="0" labelOnly="1" fieldPosition="0">
        <references count="1">
          <reference field="11" count="0"/>
        </references>
      </pivotArea>
    </format>
    <format dxfId="52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FCF7F-39BF-4D86-BEA2-D16C093D5EAA}" name="Tabela dinâmica6" cacheId="1" applyNumberFormats="0" applyBorderFormats="0" applyFontFormats="0" applyPatternFormats="0" applyAlignmentFormats="0" applyWidthHeightFormats="1" dataCaption="Valores" updatedVersion="8" minRefreshableVersion="5" colGrandTotals="0" itemPrintTitles="1" createdVersion="8" indent="0" compact="0" compactData="0" multipleFieldFilters="0" rowHeaderCaption="Linhagem" colHeaderCaption="Ano">
  <location ref="A68:E71" firstHeaderRow="1" firstDataRow="2" firstDataCol="2"/>
  <pivotFields count="26">
    <pivotField compact="0" outline="0" showAll="0" defaultSubtotal="0"/>
    <pivotField compact="0" numFmtId="164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numFmtId="165" outline="0" showAll="0" defaultSubtotal="0">
      <items count="12">
        <item x="0"/>
        <item x="1"/>
        <item x="2"/>
        <item x="3"/>
        <item x="4"/>
        <item x="5"/>
        <item m="1" x="9"/>
        <item m="1" x="10"/>
        <item m="1" x="11"/>
        <item x="6"/>
        <item x="7"/>
        <item x="8"/>
      </items>
    </pivotField>
    <pivotField compact="0" outline="0" showAll="0" defaultSubtotal="0"/>
    <pivotField compact="0" numFmtId="3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2">
        <item x="0"/>
        <item m="1" x="1"/>
      </items>
    </pivotField>
    <pivotField axis="axisRow" compact="0" outline="0" subtotalTop="0" showAll="0" defaultSubtotal="0">
      <items count="1">
        <item x="0"/>
      </items>
    </pivotField>
    <pivotField compact="0" numFmtId="165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numFmtId="165" outline="0" showAll="0" defaultSubtotal="0"/>
    <pivotField compact="0" numFmtId="1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ubtotalTop="0"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Col" compact="0" outline="0" subtotalTop="0" showAll="0" defaultSubtotal="0">
      <items count="5">
        <item sd="0" x="0"/>
        <item sd="0" x="1"/>
        <item sd="0" x="2"/>
        <item sd="0" x="3"/>
        <item x="4"/>
      </items>
    </pivotField>
  </pivotFields>
  <rowFields count="2">
    <field x="11"/>
    <field x="12"/>
  </rowFields>
  <rowItems count="2">
    <i>
      <x/>
      <x/>
    </i>
    <i t="grand">
      <x/>
    </i>
  </rowItems>
  <colFields count="1">
    <field x="25"/>
  </colFields>
  <colItems count="3">
    <i>
      <x v="1"/>
    </i>
    <i>
      <x v="2"/>
    </i>
    <i>
      <x v="3"/>
    </i>
  </colItems>
  <dataFields count="1">
    <dataField name="Qtde" fld="8" baseField="11" baseItem="0" numFmtId="3"/>
  </dataFields>
  <formats count="5">
    <format dxfId="509">
      <pivotArea type="all" dataOnly="0" outline="0" fieldPosition="0"/>
    </format>
    <format dxfId="508">
      <pivotArea outline="0" collapsedLevelsAreSubtotals="1" fieldPosition="0"/>
    </format>
    <format dxfId="507">
      <pivotArea type="origin" dataOnly="0" labelOnly="1" outline="0" fieldPosition="0"/>
    </format>
    <format dxfId="506">
      <pivotArea type="topRight" dataOnly="0" labelOnly="1" outline="0" fieldPosition="0"/>
    </format>
    <format dxfId="505">
      <pivotArea dataOnly="0" labelOnly="1" grandRow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5BC8C-7135-4EAE-95A0-F7C3D9366620}" name="Tabela dinâmica5" cacheId="1" applyNumberFormats="0" applyBorderFormats="0" applyFontFormats="0" applyPatternFormats="0" applyAlignmentFormats="0" applyWidthHeightFormats="1" dataCaption="Valores" updatedVersion="8" minRefreshableVersion="5" colGrandTotals="0" itemPrintTitles="1" createdVersion="8" indent="0" outline="1" outlineData="1" multipleFieldFilters="0" rowHeaderCaption="Linhagem" colHeaderCaption="Ano">
  <location ref="A60:D63" firstHeaderRow="1" firstDataRow="2" firstDataCol="1"/>
  <pivotFields count="26">
    <pivotField showAll="0" defaultSubtotal="0"/>
    <pivotField numFmtId="164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numFmtId="165" showAll="0" defaultSubtotal="0">
      <items count="12">
        <item x="0"/>
        <item x="1"/>
        <item x="2"/>
        <item x="3"/>
        <item x="4"/>
        <item x="5"/>
        <item m="1" x="9"/>
        <item m="1" x="10"/>
        <item m="1" x="11"/>
        <item x="6"/>
        <item x="7"/>
        <item x="8"/>
      </items>
    </pivotField>
    <pivotField showAll="0" defaultSubtotal="0"/>
    <pivotField numFmtId="3" showAll="0" defaultSubtotal="0"/>
    <pivotField subtotalTop="0" showAll="0" defaultSubtotal="0"/>
    <pivotField subtotalTop="0" showAll="0" defaultSubtotal="0"/>
    <pivotField subtotalTop="0" showAll="0" defaultSubtotal="0"/>
    <pivotField dataField="1" showAll="0" defaultSubtotal="0"/>
    <pivotField showAll="0" defaultSubtotal="0"/>
    <pivotField subtotalTop="0" showAll="0" defaultSubtotal="0"/>
    <pivotField axis="axisRow" subtotalTop="0" showAll="0" defaultSubtotal="0">
      <items count="2">
        <item x="0"/>
        <item m="1" x="1"/>
      </items>
    </pivotField>
    <pivotField subtotalTop="0" showAll="0" defaultSubtotal="0"/>
    <pivotField numFmtId="165" showAll="0" defaultSubtotal="0"/>
    <pivotField showAll="0" defaultSubtotal="0"/>
    <pivotField subtotalTop="0" showAll="0" defaultSubtotal="0"/>
    <pivotField showAll="0" defaultSubtotal="0"/>
    <pivotField subtotalTop="0" showAll="0" defaultSubtotal="0"/>
    <pivotField showAll="0" defaultSubtotal="0"/>
    <pivotField numFmtId="165" showAll="0" defaultSubtotal="0"/>
    <pivotField numFmtId="1" showAll="0" defaultSubtotal="0"/>
    <pivotField subtotalTop="0" showAll="0" defaultSubtotal="0"/>
    <pivotField showAll="0" defaultSubtotal="0"/>
    <pivotField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ubtotalTop="0"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Col" subtotalTop="0" showAll="0" defaultSubtotal="0">
      <items count="5">
        <item sd="0" x="0"/>
        <item sd="0" x="1"/>
        <item sd="0" x="2"/>
        <item sd="0" x="3"/>
        <item x="4"/>
      </items>
    </pivotField>
  </pivotFields>
  <rowFields count="1">
    <field x="11"/>
  </rowFields>
  <rowItems count="2">
    <i>
      <x/>
    </i>
    <i t="grand">
      <x/>
    </i>
  </rowItems>
  <colFields count="1">
    <field x="25"/>
  </colFields>
  <colItems count="3">
    <i>
      <x v="1"/>
    </i>
    <i>
      <x v="2"/>
    </i>
    <i>
      <x v="3"/>
    </i>
  </colItems>
  <dataFields count="1">
    <dataField name="Qtde" fld="8" showDataAs="percentOfCol" baseField="11" baseItem="0" numFmtId="10"/>
  </dataFields>
  <formats count="6">
    <format dxfId="515">
      <pivotArea type="all" dataOnly="0" outline="0" fieldPosition="0"/>
    </format>
    <format dxfId="514">
      <pivotArea outline="0" collapsedLevelsAreSubtotals="1" fieldPosition="0"/>
    </format>
    <format dxfId="513">
      <pivotArea type="origin" dataOnly="0" labelOnly="1" outline="0" fieldPosition="0"/>
    </format>
    <format dxfId="512">
      <pivotArea type="topRight" dataOnly="0" labelOnly="1" outline="0" fieldPosition="0"/>
    </format>
    <format dxfId="511">
      <pivotArea dataOnly="0" labelOnly="1" grandRow="1" outline="0" fieldPosition="0"/>
    </format>
    <format dxfId="51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2EA2D-67C3-4A4A-B04D-DFFF80D565F3}" name="Tabela dinâmica3" cacheId="1" applyNumberFormats="0" applyBorderFormats="0" applyFontFormats="0" applyPatternFormats="0" applyAlignmentFormats="0" applyWidthHeightFormats="1" dataCaption="Valores" updatedVersion="8" minRefreshableVersion="5" colGrandTotals="0" itemPrintTitles="1" createdVersion="8" indent="0" outline="1" outlineData="1" multipleFieldFilters="0" rowHeaderCaption="Linhagem" colHeaderCaption="Ano">
  <location ref="A33:D40" firstHeaderRow="1" firstDataRow="2" firstDataCol="1"/>
  <pivotFields count="26">
    <pivotField showAll="0" defaultSubtotal="0"/>
    <pivotField numFmtId="164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numFmtId="165" showAll="0" defaultSubtotal="0">
      <items count="12">
        <item x="0"/>
        <item x="1"/>
        <item x="2"/>
        <item x="3"/>
        <item x="4"/>
        <item x="5"/>
        <item m="1" x="9"/>
        <item m="1" x="10"/>
        <item m="1" x="11"/>
        <item x="6"/>
        <item x="7"/>
        <item x="8"/>
      </items>
    </pivotField>
    <pivotField showAll="0" defaultSubtotal="0"/>
    <pivotField numFmtId="3" showAll="0" defaultSubtotal="0"/>
    <pivotField subtotalTop="0" showAll="0" defaultSubtotal="0"/>
    <pivotField subtotalTop="0" showAll="0" defaultSubtotal="0"/>
    <pivotField subtotalTop="0" showAll="0" defaultSubtotal="0"/>
    <pivotField dataField="1"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numFmtId="165" showAll="0" defaultSubtotal="0"/>
    <pivotField showAll="0" defaultSubtotal="0"/>
    <pivotField subtotalTop="0" showAll="0" defaultSubtotal="0"/>
    <pivotField showAll="0" defaultSubtotal="0"/>
    <pivotField subtotalTop="0" showAll="0" defaultSubtotal="0"/>
    <pivotField showAll="0" defaultSubtotal="0"/>
    <pivotField numFmtId="165" showAll="0" defaultSubtotal="0"/>
    <pivotField numFmtId="1" showAll="0" defaultSubtotal="0"/>
    <pivotField subtotalTop="0" showAll="0" defaultSubtotal="0"/>
    <pivotField showAll="0" defaultSubtotal="0"/>
    <pivotField axis="axisRow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ubtotalTop="0"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Col" subtotalTop="0" showAll="0" defaultSubtotal="0">
      <items count="5">
        <item sd="0" x="0"/>
        <item sd="0" x="1"/>
        <item sd="0" x="2"/>
        <item sd="0" x="3"/>
        <item x="4"/>
      </items>
    </pivotField>
  </pivotFields>
  <rowFields count="1">
    <field x="23"/>
  </rowFields>
  <rowItems count="6">
    <i>
      <x v="2"/>
    </i>
    <i>
      <x v="5"/>
    </i>
    <i>
      <x v="8"/>
    </i>
    <i>
      <x v="11"/>
    </i>
    <i>
      <x v="12"/>
    </i>
    <i t="grand">
      <x/>
    </i>
  </rowItems>
  <colFields count="1">
    <field x="25"/>
  </colFields>
  <colItems count="3">
    <i>
      <x v="1"/>
    </i>
    <i>
      <x v="2"/>
    </i>
    <i>
      <x v="3"/>
    </i>
  </colItems>
  <dataFields count="1">
    <dataField name="Qtde" fld="8" baseField="11" baseItem="0" numFmtId="3"/>
  </dataFields>
  <formats count="5">
    <format dxfId="520">
      <pivotArea type="all" dataOnly="0" outline="0" fieldPosition="0"/>
    </format>
    <format dxfId="519">
      <pivotArea outline="0" collapsedLevelsAreSubtotals="1" fieldPosition="0"/>
    </format>
    <format dxfId="518">
      <pivotArea type="origin" dataOnly="0" labelOnly="1" outline="0" fieldPosition="0"/>
    </format>
    <format dxfId="517">
      <pivotArea type="topRight" dataOnly="0" labelOnly="1" outline="0" fieldPosition="0"/>
    </format>
    <format dxfId="516">
      <pivotArea dataOnly="0" labelOnly="1" grandRow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CB571-BC6C-4893-8234-A3AB648A9535}" name="Tabela dinâmica4" cacheId="1" applyNumberFormats="0" applyBorderFormats="0" applyFontFormats="0" applyPatternFormats="0" applyAlignmentFormats="0" applyWidthHeightFormats="1" dataCaption="Valores" updatedVersion="8" minRefreshableVersion="5" colGrandTotals="0" itemPrintTitles="1" createdVersion="8" indent="0" outline="1" outlineData="1" multipleFieldFilters="0" rowHeaderCaption="Linhagem" colHeaderCaption="Ano">
  <location ref="A51:D54" firstHeaderRow="1" firstDataRow="2" firstDataCol="1"/>
  <pivotFields count="26">
    <pivotField showAll="0" defaultSubtotal="0"/>
    <pivotField numFmtId="164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numFmtId="165" showAll="0" defaultSubtotal="0">
      <items count="12">
        <item x="0"/>
        <item x="1"/>
        <item x="2"/>
        <item x="3"/>
        <item x="4"/>
        <item x="5"/>
        <item m="1" x="9"/>
        <item m="1" x="10"/>
        <item m="1" x="11"/>
        <item x="6"/>
        <item x="7"/>
        <item x="8"/>
      </items>
    </pivotField>
    <pivotField showAll="0" defaultSubtotal="0"/>
    <pivotField numFmtId="3" showAll="0" defaultSubtotal="0"/>
    <pivotField subtotalTop="0" showAll="0" defaultSubtotal="0"/>
    <pivotField subtotalTop="0" showAll="0" defaultSubtotal="0"/>
    <pivotField subtotalTop="0" showAll="0" defaultSubtotal="0"/>
    <pivotField dataField="1" showAll="0" defaultSubtotal="0"/>
    <pivotField showAll="0" defaultSubtotal="0"/>
    <pivotField subtotalTop="0" showAll="0" defaultSubtotal="0"/>
    <pivotField axis="axisRow" subtotalTop="0" showAll="0" defaultSubtotal="0">
      <items count="2">
        <item x="0"/>
        <item m="1" x="1"/>
      </items>
    </pivotField>
    <pivotField subtotalTop="0" showAll="0" defaultSubtotal="0"/>
    <pivotField numFmtId="165" showAll="0" defaultSubtotal="0"/>
    <pivotField showAll="0" defaultSubtotal="0"/>
    <pivotField subtotalTop="0" showAll="0" defaultSubtotal="0"/>
    <pivotField showAll="0" defaultSubtotal="0"/>
    <pivotField subtotalTop="0" showAll="0" defaultSubtotal="0"/>
    <pivotField showAll="0" defaultSubtotal="0"/>
    <pivotField numFmtId="165" showAll="0" defaultSubtotal="0"/>
    <pivotField numFmtId="1" showAll="0" defaultSubtotal="0"/>
    <pivotField subtotalTop="0" showAll="0" defaultSubtotal="0"/>
    <pivotField showAll="0" defaultSubtotal="0"/>
    <pivotField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ubtotalTop="0"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Col" subtotalTop="0" showAll="0" defaultSubtotal="0">
      <items count="5">
        <item sd="0" x="0"/>
        <item sd="0" x="1"/>
        <item sd="0" x="2"/>
        <item sd="0" x="3"/>
        <item x="4"/>
      </items>
    </pivotField>
  </pivotFields>
  <rowFields count="1">
    <field x="11"/>
  </rowFields>
  <rowItems count="2">
    <i>
      <x/>
    </i>
    <i t="grand">
      <x/>
    </i>
  </rowItems>
  <colFields count="1">
    <field x="25"/>
  </colFields>
  <colItems count="3">
    <i>
      <x v="1"/>
    </i>
    <i>
      <x v="2"/>
    </i>
    <i>
      <x v="3"/>
    </i>
  </colItems>
  <dataFields count="1">
    <dataField name="Qtde" fld="8" baseField="11" baseItem="0" numFmtId="3"/>
  </dataFields>
  <formats count="5">
    <format dxfId="525">
      <pivotArea type="all" dataOnly="0" outline="0" fieldPosition="0"/>
    </format>
    <format dxfId="524">
      <pivotArea outline="0" collapsedLevelsAreSubtotals="1" fieldPosition="0"/>
    </format>
    <format dxfId="523">
      <pivotArea type="origin" dataOnly="0" labelOnly="1" outline="0" fieldPosition="0"/>
    </format>
    <format dxfId="522">
      <pivotArea type="topRight" dataOnly="0" labelOnly="1" outline="0" fieldPosition="0"/>
    </format>
    <format dxfId="521">
      <pivotArea dataOnly="0" labelOnly="1" grandRow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3B42E-27D1-4F4A-B84E-ECD8E671E330}" name="Tabela dinâmica12" cacheId="2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2" rowHeaderCaption="Raca" colHeaderCaption="Ano">
  <location ref="I77:L82" firstHeaderRow="1" firstDataRow="2" firstDataCol="1"/>
  <pivotFields count="26">
    <pivotField showAll="0" defaultSubtotal="0"/>
    <pivotField numFmtId="164" showAll="0" defaultSubtotal="0"/>
    <pivotField numFmtId="165" showAll="0" defaultSubtotal="0">
      <items count="35">
        <item x="3"/>
        <item x="6"/>
        <item x="7"/>
        <item x="9"/>
        <item x="8"/>
        <item x="15"/>
        <item x="16"/>
        <item x="22"/>
        <item x="0"/>
        <item x="1"/>
        <item x="2"/>
        <item x="4"/>
        <item x="5"/>
        <item x="10"/>
        <item x="11"/>
        <item x="12"/>
        <item x="13"/>
        <item x="14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showAll="0" defaultSubtotal="0"/>
    <pivotField numFmtId="3" showAll="0" defaultSubtotal="0"/>
    <pivotField subtotalTop="0" showAll="0" defaultSubtotal="0"/>
    <pivotField subtotalTop="0" showAll="0" defaultSubtotal="0"/>
    <pivotField subtotalTop="0" showAll="0" defaultSubtotal="0"/>
    <pivotField dataField="1" showAll="0" defaultSubtotal="0"/>
    <pivotField showAll="0" defaultSubtotal="0"/>
    <pivotField subtotalTop="0" showAll="0" defaultSubtotal="0"/>
    <pivotField axis="axisRow" subtotalTop="0" showAll="0" defaultSubtotal="0">
      <items count="3">
        <item x="0"/>
        <item x="1"/>
        <item x="2"/>
      </items>
    </pivotField>
    <pivotField subtotalTop="0" showAll="0" defaultSubtotal="0"/>
    <pivotField numFmtId="165" subtotalTop="0"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showAll="0" defaultSubtotal="0"/>
    <pivotField numFmtId="165" showAll="0" defaultSubtotal="0"/>
    <pivotField numFmtId="1" showAll="0" defaultSubtotal="0"/>
    <pivotField subtotalTop="0" showAll="0" defaultSubtotal="0"/>
    <pivotField showAll="0" defaultSubtotal="0"/>
    <pivotField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ubtotalTop="0" showAll="0" defaultSubtotal="0">
      <items count="6">
        <item sd="0" x="1"/>
        <item sd="0" x="2"/>
        <item sd="0" x="3"/>
        <item sd="0" x="4"/>
        <item x="0"/>
        <item x="5"/>
      </items>
    </pivotField>
    <pivotField axis="axisCol" subtotalTop="0" showAll="0" defaultSubtotal="0">
      <items count="5">
        <item sd="0" x="1"/>
        <item sd="0" x="2"/>
        <item sd="0" x="3"/>
        <item x="0"/>
        <item x="4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5"/>
  </colFields>
  <colItems count="3">
    <i>
      <x/>
    </i>
    <i>
      <x v="1"/>
    </i>
    <i>
      <x v="2"/>
    </i>
  </colItems>
  <dataFields count="1">
    <dataField name="Qtd." fld="8" baseField="12" baseItem="1" numFmtId="3"/>
  </dataFields>
  <formats count="9">
    <format dxfId="475">
      <pivotArea type="all" dataOnly="0" outline="0" fieldPosition="0"/>
    </format>
    <format dxfId="474">
      <pivotArea outline="0" fieldPosition="0">
        <references count="1">
          <reference field="4294967294" count="1">
            <x v="0"/>
          </reference>
        </references>
      </pivotArea>
    </format>
    <format dxfId="473">
      <pivotArea type="all" dataOnly="0" outline="0" fieldPosition="0"/>
    </format>
    <format dxfId="472">
      <pivotArea outline="0" collapsedLevelsAreSubtotals="1" fieldPosition="0"/>
    </format>
    <format dxfId="471">
      <pivotArea type="origin" dataOnly="0" labelOnly="1" outline="0" fieldPosition="0"/>
    </format>
    <format dxfId="470">
      <pivotArea type="topRight" dataOnly="0" labelOnly="1" outline="0" fieldPosition="0"/>
    </format>
    <format dxfId="469">
      <pivotArea field="11" type="button" dataOnly="0" labelOnly="1" outline="0" axis="axisRow" fieldPosition="0"/>
    </format>
    <format dxfId="468">
      <pivotArea dataOnly="0" labelOnly="1" fieldPosition="0">
        <references count="1">
          <reference field="11" count="0"/>
        </references>
      </pivotArea>
    </format>
    <format dxfId="467">
      <pivotArea dataOnly="0" labelOnly="1" grandRow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18718-FC01-43E7-B9AA-DAC2A881FE1D}" name="Tabela dinâmica11" cacheId="2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2" rowHeaderCaption="Raca" colHeaderCaption="Ano">
  <location ref="I86:L91" firstHeaderRow="1" firstDataRow="2" firstDataCol="1"/>
  <pivotFields count="26">
    <pivotField showAll="0" defaultSubtotal="0"/>
    <pivotField numFmtId="164" showAll="0" defaultSubtotal="0"/>
    <pivotField numFmtId="165" showAll="0" defaultSubtotal="0">
      <items count="35">
        <item x="3"/>
        <item x="6"/>
        <item x="7"/>
        <item x="9"/>
        <item x="8"/>
        <item x="15"/>
        <item x="16"/>
        <item x="22"/>
        <item x="0"/>
        <item x="1"/>
        <item x="2"/>
        <item x="4"/>
        <item x="5"/>
        <item x="10"/>
        <item x="11"/>
        <item x="12"/>
        <item x="13"/>
        <item x="14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showAll="0" defaultSubtotal="0"/>
    <pivotField numFmtId="3" showAll="0" defaultSubtotal="0"/>
    <pivotField subtotalTop="0" showAll="0" defaultSubtotal="0"/>
    <pivotField subtotalTop="0" showAll="0" defaultSubtotal="0"/>
    <pivotField subtotalTop="0" showAll="0" defaultSubtotal="0"/>
    <pivotField dataField="1" showAll="0" defaultSubtotal="0"/>
    <pivotField showAll="0" defaultSubtotal="0"/>
    <pivotField subtotalTop="0" showAll="0" defaultSubtotal="0"/>
    <pivotField axis="axisRow" subtotalTop="0" showAll="0" defaultSubtotal="0">
      <items count="3">
        <item x="0"/>
        <item x="1"/>
        <item x="2"/>
      </items>
    </pivotField>
    <pivotField subtotalTop="0" showAll="0" defaultSubtotal="0"/>
    <pivotField numFmtId="165" subtotalTop="0"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showAll="0" defaultSubtotal="0"/>
    <pivotField numFmtId="165" showAll="0" defaultSubtotal="0"/>
    <pivotField numFmtId="1" showAll="0" defaultSubtotal="0"/>
    <pivotField subtotalTop="0" showAll="0" defaultSubtotal="0"/>
    <pivotField showAll="0" defaultSubtotal="0"/>
    <pivotField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ubtotalTop="0" showAll="0" defaultSubtotal="0">
      <items count="6">
        <item sd="0" x="1"/>
        <item sd="0" x="2"/>
        <item sd="0" x="3"/>
        <item sd="0" x="4"/>
        <item x="0"/>
        <item x="5"/>
      </items>
    </pivotField>
    <pivotField axis="axisCol" subtotalTop="0" showAll="0" defaultSubtotal="0">
      <items count="5">
        <item sd="0" x="1"/>
        <item sd="0" x="2"/>
        <item sd="0" x="3"/>
        <item x="0"/>
        <item x="4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5"/>
  </colFields>
  <colItems count="3">
    <i>
      <x/>
    </i>
    <i>
      <x v="1"/>
    </i>
    <i>
      <x v="2"/>
    </i>
  </colItems>
  <dataFields count="1">
    <dataField name="Qtd." fld="8" showDataAs="percentOfCol" baseField="12" baseItem="1" numFmtId="10"/>
  </dataFields>
  <formats count="9">
    <format dxfId="484">
      <pivotArea type="all" dataOnly="0" outline="0" fieldPosition="0"/>
    </format>
    <format dxfId="483">
      <pivotArea type="all" dataOnly="0" outline="0" fieldPosition="0"/>
    </format>
    <format dxfId="482">
      <pivotArea outline="0" collapsedLevelsAreSubtotals="1" fieldPosition="0"/>
    </format>
    <format dxfId="481">
      <pivotArea type="origin" dataOnly="0" labelOnly="1" outline="0" fieldPosition="0"/>
    </format>
    <format dxfId="480">
      <pivotArea type="topRight" dataOnly="0" labelOnly="1" outline="0" fieldPosition="0"/>
    </format>
    <format dxfId="479">
      <pivotArea field="11" type="button" dataOnly="0" labelOnly="1" outline="0" axis="axisRow" fieldPosition="0"/>
    </format>
    <format dxfId="478">
      <pivotArea dataOnly="0" labelOnly="1" fieldPosition="0">
        <references count="1">
          <reference field="11" count="0"/>
        </references>
      </pivotArea>
    </format>
    <format dxfId="477">
      <pivotArea dataOnly="0" labelOnly="1" grandRow="1" outline="0" fieldPosition="0"/>
    </format>
    <format dxfId="47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DABF4-2FD0-4EBD-9291-718B9404C169}" name="Tabela dinâmica10" cacheId="2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S78:T88" firstHeaderRow="1" firstDataRow="1" firstDataCol="1" rowPageCount="1" colPageCount="1"/>
  <pivotFields count="26">
    <pivotField compact="0" outline="0" showAll="0"/>
    <pivotField compact="0" outline="0" showAll="0"/>
    <pivotField compact="0" numFmtId="165" outline="0" showAll="0">
      <items count="36">
        <item x="3"/>
        <item x="6"/>
        <item x="7"/>
        <item x="9"/>
        <item x="8"/>
        <item x="15"/>
        <item x="16"/>
        <item x="22"/>
        <item x="0"/>
        <item x="1"/>
        <item x="2"/>
        <item x="4"/>
        <item x="5"/>
        <item x="10"/>
        <item x="11"/>
        <item x="12"/>
        <item x="13"/>
        <item x="14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" outline="0" showAll="0"/>
    <pivotField compact="0" outline="0" showAll="0"/>
    <pivotField compact="0" outline="0" showAll="0"/>
    <pivotField name="Mês"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1"/>
        <item sd="0" x="2"/>
        <item sd="0" x="3"/>
        <item sd="0" x="4"/>
        <item x="0"/>
        <item x="5"/>
        <item t="default"/>
      </items>
    </pivotField>
    <pivotField name="Ano" axis="axisPage" compact="0" outline="0" showAll="0">
      <items count="6">
        <item sd="0" x="1"/>
        <item sd="0" x="2"/>
        <item sd="0" x="3"/>
        <item x="0"/>
        <item x="4"/>
        <item t="default"/>
      </items>
    </pivotField>
  </pivotFields>
  <rowFields count="1">
    <field x="23"/>
  </rowFields>
  <rowItems count="10">
    <i>
      <x v="1"/>
    </i>
    <i>
      <x v="3"/>
    </i>
    <i>
      <x v="4"/>
    </i>
    <i>
      <x v="5"/>
    </i>
    <i>
      <x v="7"/>
    </i>
    <i>
      <x v="8"/>
    </i>
    <i>
      <x v="9"/>
    </i>
    <i>
      <x v="10"/>
    </i>
    <i>
      <x v="12"/>
    </i>
    <i t="grand">
      <x/>
    </i>
  </rowItems>
  <colItems count="1">
    <i/>
  </colItems>
  <pageFields count="1">
    <pageField fld="25" item="2" hier="-1"/>
  </pageFields>
  <dataFields count="1">
    <dataField name="Qtde. Mês" fld="8" baseField="24" baseItem="7" numFmtId="3"/>
  </dataFields>
  <formats count="6">
    <format dxfId="490">
      <pivotArea grandRow="1" outline="0" collapsedLevelsAreSubtotals="1" fieldPosition="0"/>
    </format>
    <format dxfId="489">
      <pivotArea type="all" dataOnly="0" outline="0" fieldPosition="0"/>
    </format>
    <format dxfId="488">
      <pivotArea outline="0" collapsedLevelsAreSubtotals="1" fieldPosition="0"/>
    </format>
    <format dxfId="487">
      <pivotArea dataOnly="0" labelOnly="1" grandRow="1" outline="0" fieldPosition="0"/>
    </format>
    <format dxfId="486">
      <pivotArea dataOnly="0" labelOnly="1" outline="0" axis="axisValues" fieldPosition="0"/>
    </format>
    <format dxfId="48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67852-8993-403B-B804-7A8FD91DAFB2}" name="Tabela dinâmica14" cacheId="2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 chartFormat="2" colHeaderCaption="Ano">
  <location ref="A77:E83" firstHeaderRow="1" firstDataRow="2" firstDataCol="2"/>
  <pivotFields count="26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ubtotalTop="0" showAll="0" defaultSubtotal="0">
      <items count="35">
        <item x="3"/>
        <item x="6"/>
        <item x="7"/>
        <item x="9"/>
        <item x="8"/>
        <item x="15"/>
        <item x="16"/>
        <item x="22"/>
        <item x="0"/>
        <item x="1"/>
        <item x="2"/>
        <item x="4"/>
        <item x="5"/>
        <item x="10"/>
        <item x="11"/>
        <item x="12"/>
        <item x="13"/>
        <item x="14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">
        <item x="0"/>
        <item x="1"/>
        <item m="1" x="4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sd="0" x="1"/>
        <item sd="0" x="2"/>
        <item sd="0" x="3"/>
        <item sd="0" x="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no" axis="axisCol" compact="0" outline="0" subtotalTop="0" showAll="0" defaultSubtotal="0">
      <items count="5">
        <item sd="0" x="1"/>
        <item sd="0" x="2"/>
        <item sd="0"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1"/>
    <field x="12"/>
  </rowFields>
  <rowItems count="5">
    <i>
      <x/>
      <x/>
    </i>
    <i r="1">
      <x v="3"/>
    </i>
    <i>
      <x v="1"/>
      <x v="1"/>
    </i>
    <i>
      <x v="2"/>
      <x v="4"/>
    </i>
    <i t="grand">
      <x/>
    </i>
  </rowItems>
  <colFields count="1">
    <field x="25"/>
  </colFields>
  <colItems count="3">
    <i>
      <x/>
    </i>
    <i>
      <x v="1"/>
    </i>
    <i>
      <x v="2"/>
    </i>
  </colItems>
  <dataFields count="1">
    <dataField name="Qtd." fld="8" baseField="11" baseItem="0" numFmtId="3"/>
  </dataFields>
  <formats count="8">
    <format dxfId="498">
      <pivotArea type="all" dataOnly="0" outline="0" fieldPosition="0"/>
    </format>
    <format dxfId="497">
      <pivotArea outline="0" collapsedLevelsAreSubtotals="1" fieldPosition="0"/>
    </format>
    <format dxfId="496">
      <pivotArea type="origin" dataOnly="0" labelOnly="1" outline="0" fieldPosition="0"/>
    </format>
    <format dxfId="495">
      <pivotArea type="topRight" dataOnly="0" labelOnly="1" outline="0" fieldPosition="0"/>
    </format>
    <format dxfId="494">
      <pivotArea dataOnly="0" labelOnly="1" grandRow="1" outline="0" fieldPosition="0"/>
    </format>
    <format dxfId="493">
      <pivotArea outline="0" fieldPosition="0">
        <references count="1">
          <reference field="25" count="3" selected="0">
            <x v="0"/>
            <x v="1"/>
            <x v="2"/>
          </reference>
        </references>
      </pivotArea>
    </format>
    <format dxfId="492">
      <pivotArea type="topRight" dataOnly="0" labelOnly="1" outline="0" fieldPosition="0"/>
    </format>
    <format dxfId="491">
      <pivotArea dataOnly="0" labelOnly="1" outline="0" fieldPosition="0">
        <references count="1">
          <reference field="25" count="3">
            <x v="0"/>
            <x v="1"/>
            <x v="2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F93E5-7FCC-4C2A-8C71-E0C0EBD171BE}" name="Tabela dinâmica13" cacheId="2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Q78:R91" firstHeaderRow="1" firstDataRow="1" firstDataCol="1" rowPageCount="1" colPageCount="1"/>
  <pivotFields count="26">
    <pivotField compact="0" outline="0" showAll="0"/>
    <pivotField compact="0" outline="0" showAll="0"/>
    <pivotField compact="0" numFmtId="165" outline="0" showAll="0">
      <items count="36">
        <item x="3"/>
        <item x="6"/>
        <item x="7"/>
        <item x="9"/>
        <item x="8"/>
        <item x="15"/>
        <item x="16"/>
        <item x="22"/>
        <item x="0"/>
        <item x="1"/>
        <item x="2"/>
        <item x="4"/>
        <item x="5"/>
        <item x="10"/>
        <item x="11"/>
        <item x="12"/>
        <item x="13"/>
        <item x="14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" outline="0" showAll="0"/>
    <pivotField compact="0" outline="0" showAll="0"/>
    <pivotField compact="0" outline="0" showAll="0"/>
    <pivotField name="Mês"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1"/>
        <item sd="0" x="2"/>
        <item sd="0" x="3"/>
        <item sd="0" x="4"/>
        <item x="0"/>
        <item x="5"/>
        <item t="default"/>
      </items>
    </pivotField>
    <pivotField name="Ano" axis="axisPage" compact="0" outline="0" showAll="0">
      <items count="6">
        <item sd="0" x="1"/>
        <item sd="0" x="2"/>
        <item sd="0" x="3"/>
        <item x="0"/>
        <item x="4"/>
        <item t="default"/>
      </items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5" item="1" hier="-1"/>
  </pageFields>
  <dataFields count="1">
    <dataField name="Qtde. Mês" fld="8" baseField="24" baseItem="7" numFmtId="3"/>
  </dataFields>
  <formats count="6">
    <format dxfId="504">
      <pivotArea grandRow="1" outline="0" collapsedLevelsAreSubtotals="1" fieldPosition="0"/>
    </format>
    <format dxfId="503">
      <pivotArea type="all" dataOnly="0" outline="0" fieldPosition="0"/>
    </format>
    <format dxfId="502">
      <pivotArea outline="0" collapsedLevelsAreSubtotals="1" fieldPosition="0"/>
    </format>
    <format dxfId="501">
      <pivotArea dataOnly="0" labelOnly="1" grandRow="1" outline="0" fieldPosition="0"/>
    </format>
    <format dxfId="500">
      <pivotArea dataOnly="0" labelOnly="1" outline="0" axis="axisValues" fieldPosition="0"/>
    </format>
    <format dxfId="49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39183-A116-4667-9D76-D0CCC50A6E95}" name="Tabela dinâmica1" cacheId="361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>
  <location ref="H32:L36" firstHeaderRow="1" firstDataRow="2" firstDataCol="1"/>
  <pivotFields count="22">
    <pivotField showAll="0" defaultSubtotal="0"/>
    <pivotField numFmtId="164" showAll="0" defaultSubtotal="0"/>
    <pivotField axis="axisCol" showAll="0" defaultSubtotal="0">
      <items count="4">
        <item x="1"/>
        <item x="0"/>
        <item x="2"/>
        <item x="3"/>
      </items>
    </pivotField>
    <pivotField numFmtId="165" showAll="0" defaultSubtotal="0"/>
    <pivotField showAll="0" defaultSubtotal="0"/>
    <pivotField numFmtId="3" showAll="0" defaultSubtotal="0"/>
    <pivotField showAll="0" defaultSubtotal="0"/>
    <pivotField showAll="0" defaultSubtotal="0"/>
    <pivotField dataField="1" showAll="0" defaultSubtotal="0"/>
    <pivotField showAll="0" defaultSubtotal="0"/>
    <pivotField subtotalTop="0" showAll="0" defaultSubtotal="0"/>
    <pivotField axis="axisRow" showAll="0" defaultSubtotal="0">
      <items count="2">
        <item x="0"/>
        <item x="1"/>
      </items>
    </pivotField>
    <pivotField numFmtId="165" subtotalTop="0" showAll="0" defaultSubtotal="0"/>
    <pivotField numFmtId="165" showAll="0" defaultSubtotal="0"/>
    <pivotField showAll="0" defaultSubtotal="0"/>
    <pivotField showAll="0" defaultSubtotal="0"/>
    <pivotField showAll="0" defaultSubtotal="0"/>
    <pivotField showAll="0" defaultSubtotal="0"/>
    <pivotField numFmtId="165" showAll="0" defaultSubtotal="0"/>
    <pivotField numFmtId="1" showAll="0" defaultSubtotal="0"/>
    <pivotField subtotalTop="0" showAll="0" defaultSubtotal="0"/>
    <pivotField showAll="0" defaultSubtotal="0"/>
  </pivotFields>
  <rowFields count="1">
    <field x="1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Cassilandia" fld="8" baseField="11" baseItem="0" numFmtId="3"/>
  </dataFields>
  <formats count="9"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2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11" type="button" dataOnly="0" labelOnly="1" outline="0" axis="axisRow" fieldPosition="0"/>
    </format>
    <format dxfId="50">
      <pivotArea dataOnly="0" labelOnly="1" fieldPosition="0">
        <references count="1">
          <reference field="11" count="0"/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FAB25-14A3-412B-AAED-3F8116A61668}" name="Tabela dinâmica6" cacheId="5" applyNumberFormats="0" applyBorderFormats="0" applyFontFormats="0" applyPatternFormats="0" applyAlignmentFormats="0" applyWidthHeightFormats="1" dataCaption="Valores" updatedVersion="8" minRefreshableVersion="5" colGrandTotals="0" itemPrintTitles="1" createdVersion="8" indent="0" outline="1" outlineData="1" multipleFieldFilters="0">
  <location ref="A67:E72" firstHeaderRow="1" firstDataRow="2" firstDataCol="1"/>
  <pivotFields count="26">
    <pivotField showAll="0"/>
    <pivotField showAll="0">
      <items count="43">
        <item m="1" x="31"/>
        <item m="1" x="32"/>
        <item m="1" x="33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7"/>
        <item x="13"/>
        <item x="14"/>
        <item x="15"/>
        <item m="1" x="28"/>
        <item x="17"/>
        <item x="18"/>
        <item x="19"/>
        <item m="1" x="29"/>
        <item x="21"/>
        <item x="22"/>
        <item x="23"/>
        <item m="1" x="39"/>
        <item m="1" x="40"/>
        <item m="1" x="41"/>
        <item m="1" x="30"/>
        <item x="25"/>
        <item x="26"/>
        <item x="12"/>
        <item x="16"/>
        <item x="20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5"/>
        <item x="0"/>
        <item t="default"/>
      </items>
    </pivotField>
    <pivotField axis="axisCol" showAll="0">
      <items count="7">
        <item sd="0" x="1"/>
        <item sd="0" x="2"/>
        <item sd="0" x="3"/>
        <item sd="0" x="4"/>
        <item x="5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5"/>
  </colFields>
  <colItems count="4">
    <i>
      <x/>
    </i>
    <i>
      <x v="1"/>
    </i>
    <i>
      <x v="2"/>
    </i>
    <i>
      <x v="3"/>
    </i>
  </colItems>
  <dataFields count="1">
    <dataField name="Soma de Qtde." fld="8" showDataAs="percentOfCol" baseField="0" baseItem="0" numFmtId="10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09D47-ED57-42D4-BD79-C208FB12A806}" name="Tabela dinâmica2" cacheId="5" applyNumberFormats="0" applyBorderFormats="0" applyFontFormats="0" applyPatternFormats="0" applyAlignmentFormats="0" applyWidthHeightFormats="1" dataCaption="Valores" updatedVersion="8" minRefreshableVersion="5" colGrandTotals="0" itemPrintTitles="1" createdVersion="8" indent="0" outline="1" outlineData="1" multipleFieldFilters="0">
  <location ref="A58:E63" firstHeaderRow="1" firstDataRow="2" firstDataCol="1"/>
  <pivotFields count="26">
    <pivotField showAll="0"/>
    <pivotField showAll="0">
      <items count="43">
        <item m="1" x="31"/>
        <item m="1" x="32"/>
        <item m="1" x="33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7"/>
        <item x="13"/>
        <item x="14"/>
        <item x="15"/>
        <item m="1" x="28"/>
        <item x="17"/>
        <item x="18"/>
        <item x="19"/>
        <item m="1" x="29"/>
        <item x="21"/>
        <item x="22"/>
        <item x="23"/>
        <item m="1" x="39"/>
        <item m="1" x="40"/>
        <item m="1" x="41"/>
        <item m="1" x="30"/>
        <item x="25"/>
        <item x="26"/>
        <item x="12"/>
        <item x="16"/>
        <item x="20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5"/>
        <item x="0"/>
        <item t="default"/>
      </items>
    </pivotField>
    <pivotField axis="axisCol" showAll="0">
      <items count="7">
        <item sd="0" x="1"/>
        <item sd="0" x="2"/>
        <item sd="0" x="3"/>
        <item sd="0" x="4"/>
        <item x="5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5"/>
  </colFields>
  <colItems count="4">
    <i>
      <x/>
    </i>
    <i>
      <x v="1"/>
    </i>
    <i>
      <x v="2"/>
    </i>
    <i>
      <x v="3"/>
    </i>
  </colItems>
  <dataFields count="1">
    <dataField name="Soma de Qtde." fld="8" baseField="0" baseItem="0" numFmtId="3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478E3-46F0-4371-B7AD-11119F9BF12D}" name="QT_LINHAGEM_PLUSVAL" cacheId="5" applyNumberFormats="0" applyBorderFormats="0" applyFontFormats="0" applyPatternFormats="0" applyAlignmentFormats="0" applyWidthHeightFormats="1" dataCaption="Valores" updatedVersion="8" minRefreshableVersion="5" colGrandTotals="0" itemPrintTitles="1" createdVersion="8" indent="0" compact="0" compactData="0" multipleFieldFilters="0">
  <location ref="A76:F84" firstHeaderRow="1" firstDataRow="2" firstDataCol="2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2">
        <item m="1" x="31"/>
        <item m="1" x="32"/>
        <item m="1" x="33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7"/>
        <item x="13"/>
        <item x="14"/>
        <item x="15"/>
        <item m="1" x="28"/>
        <item x="17"/>
        <item x="18"/>
        <item x="19"/>
        <item m="1" x="29"/>
        <item x="21"/>
        <item x="22"/>
        <item x="23"/>
        <item m="1" x="39"/>
        <item m="1" x="40"/>
        <item m="1" x="41"/>
        <item m="1" x="30"/>
        <item x="25"/>
        <item x="26"/>
        <item x="12"/>
        <item x="16"/>
        <item x="20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2"/>
        <item x="0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2"/>
        <item x="1"/>
        <item x="3"/>
        <item x="0"/>
        <item x="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1"/>
        <item sd="0" x="2"/>
        <item sd="0" x="3"/>
        <item sd="0" x="4"/>
        <item x="5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6">
        <item sd="0" x="1"/>
        <item sd="0" x="2"/>
        <item sd="0" x="3"/>
        <item sd="0" x="4"/>
        <item x="5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1"/>
    <field x="12"/>
  </rowFields>
  <rowItems count="7">
    <i>
      <x/>
      <x/>
    </i>
    <i r="1">
      <x v="1"/>
    </i>
    <i r="1">
      <x v="2"/>
    </i>
    <i>
      <x v="1"/>
      <x v="5"/>
    </i>
    <i>
      <x v="2"/>
      <x v="3"/>
    </i>
    <i r="1">
      <x v="4"/>
    </i>
    <i t="grand">
      <x/>
    </i>
  </rowItems>
  <colFields count="1">
    <field x="25"/>
  </colFields>
  <colItems count="4">
    <i>
      <x/>
    </i>
    <i>
      <x v="1"/>
    </i>
    <i>
      <x v="2"/>
    </i>
    <i>
      <x v="3"/>
    </i>
  </colItems>
  <dataFields count="1">
    <dataField name="Soma de Qtde." fld="8" baseField="0" baseItem="0" numFmtId="3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35E0B-470E-4D6B-9A82-9B21D8F841CE}" name="Tabela dinâmica8" cacheId="5" applyNumberFormats="0" applyBorderFormats="0" applyFontFormats="0" applyPatternFormats="0" applyAlignmentFormats="0" applyWidthHeightFormats="1" dataCaption="Valores" updatedVersion="8" minRefreshableVersion="5" colGrandTotals="0" itemPrintTitles="1" createdVersion="8" indent="0" outline="1" outlineData="1" multipleFieldFilters="0">
  <location ref="A40:E51" firstHeaderRow="1" firstDataRow="2" firstDataCol="1"/>
  <pivotFields count="26">
    <pivotField showAll="0"/>
    <pivotField numFmtId="164" showAll="0">
      <items count="43">
        <item m="1" x="31"/>
        <item m="1" x="32"/>
        <item m="1" x="33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7"/>
        <item x="13"/>
        <item x="14"/>
        <item x="15"/>
        <item m="1" x="28"/>
        <item x="17"/>
        <item x="18"/>
        <item x="19"/>
        <item m="1" x="29"/>
        <item x="21"/>
        <item x="22"/>
        <item x="23"/>
        <item m="1" x="39"/>
        <item m="1" x="40"/>
        <item m="1" x="41"/>
        <item m="1" x="30"/>
        <item x="25"/>
        <item x="26"/>
        <item x="12"/>
        <item x="16"/>
        <item x="20"/>
        <item x="24"/>
        <item t="default"/>
      </items>
    </pivotField>
    <pivotField numFmtId="165" showAll="0"/>
    <pivotField showAll="0"/>
    <pivotField numFmtId="3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numFmtId="3" showAll="0"/>
    <pivotField numFmtId="165" showAll="0"/>
    <pivotField numFmtId="1" showAll="0"/>
    <pivotField showAll="0"/>
    <pivotField numFmtId="16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1"/>
        <item sd="0" x="2"/>
        <item sd="0" x="3"/>
        <item sd="0" x="4"/>
        <item x="5"/>
        <item x="0"/>
      </items>
    </pivotField>
    <pivotField axis="axisCol" showAll="0" defaultSubtotal="0">
      <items count="6">
        <item sd="0" x="1"/>
        <item sd="0" x="2"/>
        <item sd="0" x="3"/>
        <item sd="0" x="4"/>
        <item x="5"/>
        <item x="0"/>
      </items>
    </pivotField>
  </pivotFields>
  <rowFields count="1">
    <field x="23"/>
  </rowFields>
  <rowItems count="10">
    <i>
      <x v="1"/>
    </i>
    <i>
      <x v="2"/>
    </i>
    <i>
      <x v="4"/>
    </i>
    <i>
      <x v="6"/>
    </i>
    <i>
      <x v="7"/>
    </i>
    <i>
      <x v="8"/>
    </i>
    <i>
      <x v="10"/>
    </i>
    <i>
      <x v="11"/>
    </i>
    <i>
      <x v="12"/>
    </i>
    <i t="grand">
      <x/>
    </i>
  </rowItems>
  <colFields count="1">
    <field x="25"/>
  </colFields>
  <colItems count="4">
    <i>
      <x/>
    </i>
    <i>
      <x v="1"/>
    </i>
    <i>
      <x v="2"/>
    </i>
    <i>
      <x v="3"/>
    </i>
  </colItems>
  <dataFields count="1">
    <dataField name="Soma de Qtde." fld="8" baseField="0" baseItem="0" numFmtId="3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66B81-44A3-4122-AD2F-15821B6F2D93}" name="Tabela dinâmica12" cacheId="364" applyNumberFormats="0" applyBorderFormats="0" applyFontFormats="0" applyPatternFormats="0" applyAlignmentFormats="0" applyWidthHeightFormats="1" dataCaption="Valores" updatedVersion="8" minRefreshableVersion="5" useAutoFormatting="1" colGrandTotals="0" itemPrintTitles="1" createdVersion="8" indent="0" compact="0" compactData="0" multipleFieldFilters="0">
  <location ref="A73:G77" firstHeaderRow="1" firstDataRow="2" firstDataCol="2"/>
  <pivotFields count="24">
    <pivotField compact="0" outline="0" showAll="0" defaultSubtotal="0"/>
    <pivotField compact="0" numFmtId="164" outline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numFmtId="165" outline="0" showAll="0" defaultSubtotal="0"/>
    <pivotField compact="0" outline="0" showAll="0" defaultSubtotal="0"/>
    <pivotField compact="0" numFmtId="3" outline="0" showAll="0" defaultSubtotal="0"/>
    <pivotField compact="0" numFmtId="3" outline="0" showAll="0" defaultSubtotal="0"/>
    <pivotField compact="0" outline="0" showAll="0" defaultSubtotal="0"/>
    <pivotField dataField="1" compact="0" numFmtId="3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1"/>
        <item x="0"/>
      </items>
    </pivotField>
    <pivotField compact="0" numFmtId="16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numFmtId="165" outline="0" showAll="0" defaultSubtotal="0"/>
    <pivotField compact="0" numFmtId="1" outline="0" showAll="0" defaultSubtotal="0"/>
    <pivotField compact="0" numFmtId="1" outline="0" showAll="0" defaultSubtotal="0"/>
    <pivotField compact="0" numFmtId="164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Col" compact="0" outline="0" showAll="0" defaultSubtotal="0">
      <items count="7">
        <item sd="0" x="0"/>
        <item sd="0" x="1"/>
        <item sd="0" x="2"/>
        <item sd="0" x="3"/>
        <item sd="0" x="4"/>
        <item x="5"/>
        <item x="6"/>
      </items>
    </pivotField>
  </pivotFields>
  <rowFields count="2">
    <field x="10"/>
    <field x="11"/>
  </rowFields>
  <rowItems count="3">
    <i>
      <x/>
      <x/>
    </i>
    <i>
      <x v="1"/>
      <x v="1"/>
    </i>
    <i t="grand">
      <x/>
    </i>
  </rowItems>
  <colFields count="1">
    <field x="23"/>
  </colFields>
  <colItems count="5">
    <i>
      <x v="1"/>
    </i>
    <i>
      <x v="2"/>
    </i>
    <i>
      <x v="3"/>
    </i>
    <i>
      <x v="4"/>
    </i>
    <i>
      <x v="5"/>
    </i>
  </colItems>
  <dataFields count="1">
    <dataField name="Soma de Qtde." fld="7" baseField="0" baseItem="0" numFmtId="3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23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10" type="button" dataOnly="0" labelOnly="1" outline="0" axis="axisRow" fieldPosition="0"/>
    </format>
    <format dxfId="41">
      <pivotArea field="11" type="button" dataOnly="0" labelOnly="1" outline="0" axis="axisRow" fieldPosition="1"/>
    </format>
    <format dxfId="40">
      <pivotArea dataOnly="0" labelOnly="1" outline="0" fieldPosition="0">
        <references count="1">
          <reference field="10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37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36">
      <pivotArea dataOnly="0" labelOnly="1" outline="0" fieldPosition="0">
        <references count="1">
          <reference field="23" count="4">
            <x v="1"/>
            <x v="2"/>
            <x v="3"/>
            <x v="4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9A914-7BE2-47BB-A719-E75D563931D8}" name="Tabela dinâmica11" cacheId="364" applyNumberFormats="0" applyBorderFormats="0" applyFontFormats="0" applyPatternFormats="0" applyAlignmentFormats="0" applyWidthHeightFormats="1" dataCaption="Valores" updatedVersion="8" minRefreshableVersion="5" useAutoFormatting="1" colGrandTotals="0" itemPrintTitles="1" createdVersion="8" indent="0" outline="1" outlineData="1" multipleFieldFilters="0">
  <location ref="A64:F68" firstHeaderRow="1" firstDataRow="2" firstDataCol="1"/>
  <pivotFields count="24">
    <pivotField showAll="0" defaultSubtotal="0"/>
    <pivotField numFmtId="164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umFmtId="165" showAll="0" defaultSubtotal="0"/>
    <pivotField showAll="0" defaultSubtotal="0"/>
    <pivotField numFmtId="3" showAll="0" defaultSubtotal="0"/>
    <pivotField numFmtId="3" showAll="0" defaultSubtotal="0"/>
    <pivotField showAll="0" defaultSubtotal="0"/>
    <pivotField dataField="1" numFmtId="3" showAll="0" defaultSubtotal="0"/>
    <pivotField showAll="0" defaultSubtotal="0"/>
    <pivotField showAll="0" defaultSubtotal="0"/>
    <pivotField axis="axisRow" showAll="0" defaultSubtotal="0">
      <items count="2">
        <item x="1"/>
        <item x="0"/>
      </items>
    </pivotField>
    <pivotField showAll="0" defaultSubtotal="0"/>
    <pivotField numFmtId="165" showAll="0" defaultSubtotal="0"/>
    <pivotField showAll="0" defaultSubtotal="0"/>
    <pivotField showAll="0" defaultSubtotal="0"/>
    <pivotField showAll="0" defaultSubtotal="0"/>
    <pivotField numFmtId="3" showAll="0" defaultSubtotal="0"/>
    <pivotField numFmtId="165" showAll="0" defaultSubtotal="0"/>
    <pivotField numFmtId="1" showAll="0" defaultSubtotal="0"/>
    <pivotField numFmtId="1" showAll="0" defaultSubtotal="0"/>
    <pivotField numFmtId="164" showAll="0" defaultSubtota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Col" showAll="0" defaultSubtotal="0">
      <items count="7">
        <item sd="0" x="0"/>
        <item sd="0" x="1"/>
        <item sd="0" x="2"/>
        <item sd="0" x="3"/>
        <item sd="0" x="4"/>
        <item x="5"/>
        <item x="6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23"/>
  </colFields>
  <colItems count="5">
    <i>
      <x v="1"/>
    </i>
    <i>
      <x v="2"/>
    </i>
    <i>
      <x v="3"/>
    </i>
    <i>
      <x v="4"/>
    </i>
    <i>
      <x v="5"/>
    </i>
  </colItems>
  <dataFields count="1">
    <dataField name="Soma de Qtde." fld="7" showDataAs="percentOfCol" baseField="0" baseItem="0" numFmtId="10"/>
  </dataFields>
  <formats count="9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23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10" type="button" dataOnly="0" labelOnly="1" outline="0" axis="axisRow" fieldPosition="0"/>
    </format>
    <format dxfId="29">
      <pivotArea dataOnly="0" labelOnly="1" fieldPosition="0">
        <references count="1">
          <reference field="10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CBD72-5AEA-48DB-A3FB-9CBF3C66CE9F}" name="Tabela dinâmica10" cacheId="364" applyNumberFormats="0" applyBorderFormats="0" applyFontFormats="0" applyPatternFormats="0" applyAlignmentFormats="0" applyWidthHeightFormats="1" dataCaption="Valores" updatedVersion="8" minRefreshableVersion="5" useAutoFormatting="1" colGrandTotals="0" itemPrintTitles="1" createdVersion="8" indent="0" outline="1" outlineData="1" multipleFieldFilters="0">
  <location ref="A55:F59" firstHeaderRow="1" firstDataRow="2" firstDataCol="1"/>
  <pivotFields count="24">
    <pivotField showAll="0" defaultSubtotal="0"/>
    <pivotField numFmtId="164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umFmtId="165" showAll="0" defaultSubtotal="0"/>
    <pivotField showAll="0" defaultSubtotal="0"/>
    <pivotField numFmtId="3" showAll="0" defaultSubtotal="0"/>
    <pivotField numFmtId="3" showAll="0" defaultSubtotal="0"/>
    <pivotField showAll="0" defaultSubtotal="0"/>
    <pivotField dataField="1" numFmtId="3" showAll="0" defaultSubtotal="0"/>
    <pivotField showAll="0" defaultSubtotal="0"/>
    <pivotField showAll="0" defaultSubtotal="0"/>
    <pivotField axis="axisRow" showAll="0" defaultSubtotal="0">
      <items count="2">
        <item x="1"/>
        <item x="0"/>
      </items>
    </pivotField>
    <pivotField showAll="0" defaultSubtotal="0"/>
    <pivotField numFmtId="165" showAll="0" defaultSubtotal="0"/>
    <pivotField showAll="0" defaultSubtotal="0"/>
    <pivotField showAll="0" defaultSubtotal="0"/>
    <pivotField showAll="0" defaultSubtotal="0"/>
    <pivotField numFmtId="3" showAll="0" defaultSubtotal="0"/>
    <pivotField numFmtId="165" showAll="0" defaultSubtotal="0"/>
    <pivotField numFmtId="1" showAll="0" defaultSubtotal="0"/>
    <pivotField numFmtId="1" showAll="0" defaultSubtotal="0"/>
    <pivotField numFmtId="164" showAll="0" defaultSubtota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Col" showAll="0" defaultSubtotal="0">
      <items count="7">
        <item sd="0" x="0"/>
        <item sd="0" x="1"/>
        <item sd="0" x="2"/>
        <item sd="0" x="3"/>
        <item sd="0" x="4"/>
        <item x="5"/>
        <item x="6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23"/>
  </colFields>
  <colItems count="5">
    <i>
      <x v="1"/>
    </i>
    <i>
      <x v="2"/>
    </i>
    <i>
      <x v="3"/>
    </i>
    <i>
      <x v="4"/>
    </i>
    <i>
      <x v="5"/>
    </i>
  </colItems>
  <dataFields count="1">
    <dataField name="Soma de Qtde." fld="7" baseField="0" baseItem="0" numFmtId="3"/>
  </dataFields>
  <formats count="9"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23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10" type="button" dataOnly="0" labelOnly="1" outline="0" axis="axisRow" fieldPosition="0"/>
    </format>
    <format dxfId="20">
      <pivotArea dataOnly="0" labelOnly="1" fieldPosition="0">
        <references count="1">
          <reference field="10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863EE-E564-4CE4-BECC-7E7A1FFBE4BE}" name="Tabela dinâmica9" cacheId="364" applyNumberFormats="0" applyBorderFormats="0" applyFontFormats="0" applyPatternFormats="0" applyAlignmentFormats="0" applyWidthHeightFormats="1" dataCaption="Valores" updatedVersion="8" minRefreshableVersion="5" colGrandTotals="0" itemPrintTitles="1" createdVersion="8" indent="0" outline="1" outlineData="1" multipleFieldFilters="0">
  <location ref="A38:F50" firstHeaderRow="1" firstDataRow="2" firstDataCol="1"/>
  <pivotFields count="24">
    <pivotField showAll="0" defaultSubtotal="0"/>
    <pivotField numFmtId="164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umFmtId="165" showAll="0" defaultSubtotal="0"/>
    <pivotField showAll="0" defaultSubtotal="0"/>
    <pivotField numFmtId="3" showAll="0" defaultSubtotal="0"/>
    <pivotField numFmtId="3" showAll="0" defaultSubtotal="0"/>
    <pivotField showAll="0" defaultSubtotal="0"/>
    <pivotField dataField="1" numFmtId="3" showAll="0" defaultSubtotal="0"/>
    <pivotField showAll="0" defaultSubtotal="0"/>
    <pivotField showAll="0" defaultSubtotal="0"/>
    <pivotField showAll="0" defaultSubtotal="0"/>
    <pivotField showAll="0" defaultSubtotal="0"/>
    <pivotField numFmtId="165" showAll="0" defaultSubtotal="0"/>
    <pivotField showAll="0" defaultSubtotal="0"/>
    <pivotField showAll="0" defaultSubtotal="0"/>
    <pivotField showAll="0" defaultSubtotal="0"/>
    <pivotField numFmtId="3" showAll="0" defaultSubtotal="0"/>
    <pivotField numFmtId="165" showAll="0" defaultSubtotal="0"/>
    <pivotField numFmtId="1" showAll="0" defaultSubtotal="0"/>
    <pivotField numFmtId="1" showAll="0" defaultSubtotal="0"/>
    <pivotField numFmtId="164"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Col" showAll="0" defaultSubtotal="0">
      <items count="7">
        <item sd="0" x="0"/>
        <item sd="0" x="1"/>
        <item sd="0" x="2"/>
        <item sd="0" x="3"/>
        <item sd="0" x="4"/>
        <item x="5"/>
        <item x="6"/>
      </items>
    </pivotField>
  </pivotFields>
  <rowFields count="1">
    <field x="21"/>
  </rowFields>
  <rowItems count="11">
    <i>
      <x v="1"/>
    </i>
    <i>
      <x v="2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Fields count="1">
    <field x="23"/>
  </colFields>
  <colItems count="5">
    <i>
      <x v="1"/>
    </i>
    <i>
      <x v="2"/>
    </i>
    <i>
      <x v="3"/>
    </i>
    <i>
      <x v="4"/>
    </i>
    <i>
      <x v="5"/>
    </i>
  </colItems>
  <dataFields count="1">
    <dataField name="Soma de Qtde." fld="7" baseField="0" baseItem="0" numFmtId="3"/>
  </dataFields>
  <formats count="9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23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21" type="button" dataOnly="0" labelOnly="1" outline="0" axis="axisRow" fieldPosition="0"/>
    </format>
    <format dxfId="11">
      <pivotArea dataOnly="0" labelOnly="1" fieldPosition="0">
        <references count="1">
          <reference field="21" count="10">
            <x v="1"/>
            <x v="2"/>
            <x v="4"/>
            <x v="5"/>
            <x v="6"/>
            <x v="7"/>
            <x v="8"/>
            <x v="10"/>
            <x v="11"/>
            <x v="12"/>
          </reference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BA972-6173-43FE-906B-EC0AC456EF45}" name="Tabela dinâmica3" cacheId="3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mpresa">
  <location ref="E3:H5" firstHeaderRow="0" firstDataRow="1" firstDataCol="1"/>
  <pivotFields count="11">
    <pivotField axis="axisRow" showAll="0">
      <items count="9">
        <item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showAll="0"/>
    <pivotField dataField="1" showAll="0"/>
    <pivotField showAll="0"/>
    <pivotField numFmtId="3"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td. Aloj." fld="9" baseField="0" baseItem="0" numFmtId="3"/>
    <dataField name="Qtd. Tranf." fld="10" baseField="0" baseItem="0" numFmtId="3"/>
    <dataField name="Nº NÚCLEOS" fld="2" subtotal="count" baseField="0" baseItem="0"/>
  </dataFields>
  <pivotTableStyleInfo name="Estilo de Tabela Dinâ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B6B6C-EA8D-40F1-AA29-10FB8210D673}" name="Tabela dinâmica4" cacheId="357" applyNumberFormats="0" applyBorderFormats="0" applyFontFormats="0" applyPatternFormats="0" applyAlignmentFormats="0" applyWidthHeightFormats="1" dataCaption="Valores" updatedVersion="8" minRefreshableVersion="3" preserveFormatting="0" useAutoFormatting="1" itemPrintTitles="1" createdVersion="8" indent="0" outline="1" outlineData="1" multipleFieldFilters="0" rowHeaderCaption="Empresa">
  <location ref="N3:P5" firstHeaderRow="0" firstDataRow="1" firstDataCol="1"/>
  <pivotFields count="9">
    <pivotField axis="axisRow" showAll="0">
      <items count="10">
        <item h="1" x="0"/>
        <item h="1" x="1"/>
        <item h="1" x="2"/>
        <item h="1" x="3"/>
        <item h="1" x="4"/>
        <item x="6"/>
        <item h="1" x="7"/>
        <item h="1" x="5"/>
        <item h="1" x="8"/>
        <item t="default"/>
      </items>
    </pivotField>
    <pivotField showAll="0"/>
    <pivotField dataField="1" showAll="0"/>
    <pivotField showAll="0"/>
    <pivotField dataField="1" numFmtId="3"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2"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d" fld="4" baseField="0" baseItem="0" numFmtId="3"/>
    <dataField name="Nº NÚCLEOS" fld="2" subtotal="count" baseField="0" baseItem="0"/>
  </dataFields>
  <pivotTableStyleInfo name="Estilo de Tabela Dinâ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nidade" xr10:uid="{7D3583BD-E299-4BBD-84DF-5A08B6BB4C7A}" sourceName="Unidade">
  <pivotTables>
    <pivotTable tabId="33" name="Tabela dinâmica4"/>
  </pivotTables>
  <data>
    <tabular pivotCacheId="373387276">
      <items count="9">
        <i x="8"/>
        <i x="6" s="1"/>
        <i x="7"/>
        <i x="3"/>
        <i x="5"/>
        <i x="0"/>
        <i x="1"/>
        <i x="2"/>
        <i x="4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nidade1" xr10:uid="{1E243673-0C9E-40F8-9CF7-34B8862AC937}" sourceName="Unidade">
  <pivotTables>
    <pivotTable tabId="33" name="Tabela dinâmica3"/>
  </pivotTables>
  <data>
    <tabular pivotCacheId="1107350062">
      <items count="8">
        <i x="7"/>
        <i x="5"/>
        <i x="6"/>
        <i x="2"/>
        <i x="4"/>
        <i x="0" s="1"/>
        <i x="1"/>
        <i x="3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" xr10:uid="{B9FDAD22-4E2C-4C18-8839-13C6483B72E1}" sourceName="Emp">
  <extLst>
    <x:ext xmlns:x15="http://schemas.microsoft.com/office/spreadsheetml/2010/11/main" uri="{2F2917AC-EB37-4324-AD4E-5DD8C200BD13}">
      <x15:tableSlicerCache tableId="5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e" xr10:uid="{3CD1A7F3-49D4-4F72-AA00-A25AE9398AD9}" cache="SegmentaçãodeDados_Unidade" caption="Produção" columnCount="2" style="Estilo de Segmentação de Dados 2" rowHeight="247650"/>
  <slicer name="Unidade 1" xr10:uid="{BCDAFA62-D023-4947-AA49-3BF8B9EB6495}" cache="SegmentaçãodeDados_Unidade1" caption="Recria" columnCount="2" style="Estilo de Segmentação de Dados 2" rowHeight="216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mp" xr10:uid="{BAB80F87-7D45-4563-A030-3F412BBDBE52}" cache="SegmentaçãodeDados_Emp" caption="Emp" startItem="45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95E300-EC68-4630-A244-AF6C8CFA5DF9}" name="Raca_Linhagem" displayName="Raca_Linhagem" ref="L1:M18" totalsRowShown="0" headerRowDxfId="466">
  <tableColumns count="2">
    <tableColumn id="2" xr3:uid="{C1BC39F3-B8A7-4B15-A928-7237E50B256E}" name="Linhagem"/>
    <tableColumn id="4" xr3:uid="{9E7B0DE2-F543-4FAE-AAE7-C9D4E3BEBF06}" name="Raç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2891E4-D16C-4EA5-B0EB-BACC2A0F103A}" name="Recria" displayName="Recria" ref="B19:I106" totalsRowShown="0" headerRowDxfId="465" dataDxfId="464">
  <autoFilter ref="B19:I106" xr:uid="{A32891E4-D16C-4EA5-B0EB-BACC2A0F103A}"/>
  <tableColumns count="8">
    <tableColumn id="1" xr3:uid="{73E28B5B-5CDC-4861-A2EC-45538CD92AC6}" name="Unidade" dataDxfId="463"/>
    <tableColumn id="2" xr3:uid="{EE80997C-AD3C-42DB-BC0A-CEBDEEF4FCE5}" name="Fase" dataDxfId="462"/>
    <tableColumn id="3" xr3:uid="{2B476573-06CF-44F3-8CFB-78D6BB4C7B7D}" name="Granja Recria" dataDxfId="461"/>
    <tableColumn id="4" xr3:uid="{D5DA169C-2792-4366-B4F1-D0C384373F0E}" name="Núcleo" dataDxfId="460"/>
    <tableColumn id="5" xr3:uid="{3FBBDD2A-ED37-4CBD-BD5D-DD447CF32724}" name="Qtd" dataDxfId="459"/>
    <tableColumn id="6" xr3:uid="{51B54DB5-5452-490D-A3C6-127132A33B78}" name="Emp+CC" dataDxfId="458"/>
    <tableColumn id="7" xr3:uid="{F9C43C53-440C-46B3-BF68-F735CB84562F}" name="Emp" dataDxfId="457"/>
    <tableColumn id="8" xr3:uid="{C11CFBA1-982B-41E7-BD63-B9C04CD7E01F}" name="CC" dataDxfId="45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A40393-04D0-4322-88BF-F17BD19D6596}" name="Producao" displayName="Producao" ref="L19:S220" totalsRowShown="0" headerRowDxfId="455" dataDxfId="454">
  <autoFilter ref="L19:S220" xr:uid="{38A40393-04D0-4322-88BF-F17BD19D6596}"/>
  <tableColumns count="8">
    <tableColumn id="1" xr3:uid="{704684D4-2992-4F1A-A6F5-A7C7641B2291}" name="Unidade" dataDxfId="453"/>
    <tableColumn id="2" xr3:uid="{2A91D353-1FF3-4760-AB93-B60BD77B6ECF}" name="Fase" dataDxfId="452"/>
    <tableColumn id="3" xr3:uid="{EF90CCFE-2122-4B64-B342-BD2562445892}" name="Granja Produção" dataDxfId="451"/>
    <tableColumn id="4" xr3:uid="{689F8EA5-2F41-4B72-9EC3-C476BB8413FB}" name="Núcleo" dataDxfId="450"/>
    <tableColumn id="5" xr3:uid="{206B150A-42D1-4869-B65E-3B6CB7521E80}" name="Qtd" dataDxfId="449"/>
    <tableColumn id="6" xr3:uid="{D8225CD1-8EC4-4DF3-9F13-4E9C9D8DD951}" name="Emp+CC" dataDxfId="448"/>
    <tableColumn id="7" xr3:uid="{F867762A-B85F-4A9F-BC69-39789AAF33B6}" name="Emp" dataDxfId="447"/>
    <tableColumn id="8" xr3:uid="{20DAE615-5B50-4A7A-AE51-80A4CAD9468D}" name="CC" dataDxfId="44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FD590-C09B-4A43-9DE3-7FD8BC19143C}" name="Tabela1" displayName="Tabela1" ref="B1:O19" totalsRowShown="0" headerRowDxfId="445" dataDxfId="444">
  <tableColumns count="14">
    <tableColumn id="1" xr3:uid="{6D155E4E-EB60-4ED8-A255-4FE94239006A}" name="Granjas Novas" dataDxfId="443"/>
    <tableColumn id="2" xr3:uid="{FF73B1F5-A6C5-44E2-815D-572557DBF547}" name="Qtd" dataDxfId="442"/>
    <tableColumn id="3" xr3:uid="{5341919E-7C92-4F86-942D-7BAFB3DA9BE3}" name="Data Base" dataDxfId="441"/>
    <tableColumn id="4" xr3:uid="{9C4857FC-B097-409D-BE40-4A66750965CD}" name="Dt Prev 1" dataDxfId="440"/>
    <tableColumn id="5" xr3:uid="{FC31AE47-991D-42F9-B0E5-F3DD26F18D0C}" name="Dt Prev 2" dataDxfId="439"/>
    <tableColumn id="8" xr3:uid="{3BE70CFF-8A12-4490-9082-A7DBDA498F67}" name="Dt Prev 3" dataDxfId="438"/>
    <tableColumn id="19" xr3:uid="{90122DC7-46F2-4ECC-9143-F6D5838DAD84}" name="Dt Prev 4" dataDxfId="437"/>
    <tableColumn id="11" xr3:uid="{DC69FA0B-129E-4066-8FF0-B1D58AEE3013}" name="Dt Prev 5" dataDxfId="436"/>
    <tableColumn id="6" xr3:uid="{184D37A9-B02E-4137-BE01-11D35BEDE6A6}" name="Data Real" dataDxfId="435"/>
    <tableColumn id="10" xr3:uid="{F0E67860-631F-421F-83FA-4589590DF4C0}" name="Descvio" dataDxfId="434">
      <calculatedColumnFormula>Tabela1[[#This Row],[Data Real]]-Tabela1[[#This Row],[Data Base]]</calculatedColumnFormula>
    </tableColumn>
    <tableColumn id="7" xr3:uid="{06EC1C56-7CF8-400F-82C3-33080BB06198}" name="Produção I" dataDxfId="433"/>
    <tableColumn id="9" xr3:uid="{985F9A3C-0E08-471C-A5D6-EF45F7D27470}" name="Produção II" dataDxfId="432"/>
    <tableColumn id="12" xr3:uid="{1D6E92EB-39A7-4351-BC69-24FF0222AACB}" name="1ª Lote Previsto" dataDxfId="431">
      <calculatedColumnFormula>Tabela1[[#This Row],[Data Base]]+154</calculatedColumnFormula>
    </tableColumn>
    <tableColumn id="13" xr3:uid="{87CB4C3A-C63F-403E-9B1A-4F400FD5A86F}" name="2ª Lote Previsto" dataDxfId="430">
      <calculatedColumnFormula>Tabela1[[#This Row],[1ª Lote Previsto]]+30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3" dT="2024-11-18T16:45:21.14" personId="{00000000-0000-0000-0000-000000000000}" id="{4CDC8155-67CB-4EB1-98E2-7C13959102F1}">
    <text>10 e 18/05/2024</text>
  </threadedComment>
</ThreadedComments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t._Aloj." xr10:uid="{6FA990DC-5B6A-4D14-829C-20C72F22C29F}" sourceName="Dt. Aloj.">
  <pivotTables>
    <pivotTable tabId="24" name="Tabela dinâmica3"/>
    <pivotTable tabId="24" name="Tabela dinâmica4"/>
    <pivotTable tabId="24" name="Tabela dinâmica5"/>
    <pivotTable tabId="24" name="Tabela dinâmica6"/>
  </pivotTables>
  <state minimalRefreshVersion="6" lastRefreshVersion="6" pivotCacheId="1369434849" filterType="unknown">
    <bounds startDate="2025-01-01T00:00:00" endDate="2028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t._Aloj.1" xr10:uid="{066324E8-1AF1-4F3A-AD96-6A282907B2EE}" sourceName="Dt. Aloj.">
  <pivotTables>
    <pivotTable tabId="15" name="Tabela dinâmica8"/>
    <pivotTable tabId="15" name="Tabela dinâmica2"/>
    <pivotTable tabId="15" name="Tabela dinâmica6"/>
    <pivotTable tabId="15" name="QT_LINHAGEM_PLUSVAL"/>
  </pivotTables>
  <state minimalRefreshVersion="6" lastRefreshVersion="6" pivotCacheId="142941932" filterType="unknown">
    <bounds startDate="2023-01-01T00:00:00" endDate="2029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t._Aloj.2" xr10:uid="{E611F5A5-810B-494D-B976-269111CA1A81}" sourceName="Dt. Aloj.">
  <pivotTables>
    <pivotTable tabId="29" name="Tabela dinâmica9"/>
    <pivotTable tabId="29" name="Tabela dinâmica10"/>
    <pivotTable tabId="29" name="Tabela dinâmica11"/>
    <pivotTable tabId="29" name="Tabela dinâmica12"/>
  </pivotTables>
  <state minimalRefreshVersion="6" lastRefreshVersion="6" pivotCacheId="1084307150" filterType="unknown">
    <bounds startDate="2024-01-01T00:00:00" endDate="2029-01-01T00:00:00"/>
  </state>
</timelineCacheDefinition>
</file>

<file path=xl/timelineCaches/timelineCache4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t._Inic._Sem.2" xr10:uid="{5EC2F1DF-1EAE-43BD-A4C2-2F9CE361AB35}" sourceName="Dt. Inic. Sem.">
  <state minimalRefreshVersion="6" lastRefreshVersion="6" pivotCacheId="3676897" filterType="unknown">
    <bounds startDate="2025-01-01T00:00:00" endDate="2029-01-01T00:00:00"/>
  </state>
</timelineCacheDefinition>
</file>

<file path=xl/timelineCaches/timelineCache5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t._Aloj.31" xr10:uid="{82626FDA-2A18-4518-8A1D-A17BC77C8D6E}" sourceName="Dt. Aloj.">
  <pivotTables>
    <pivotTable tabId="37" name="Tabela dinâmica19"/>
  </pivotTables>
  <state minimalRefreshVersion="6" lastRefreshVersion="6" pivotCacheId="426783373" filterType="dateBetween">
    <selection startDate="2026-01-01T00:00:00" endDate="2026-12-31T00:00:00"/>
    <bounds startDate="2026-01-01T00:00:00" endDate="202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t. Inic. Sem. 3" xr10:uid="{55AB475E-9040-4AD1-A811-A381F8C467CC}" cache="NativeTimeline_Dt._Inic._Sem.2" caption="Dt. Inic. Sem." level="0" selectionLevel="0" scrollPosition="2025-01-01T00:00:00" style="TimeSlicerStyleDark1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t. Aloj. 4" xr10:uid="{13C0EEBD-BB24-4B58-9F54-23BA8A7B7BDD}" cache="NativeTimeline_Dt._Aloj.31" caption="Dt. Aloj." level="0" selectionLevel="0" scrollPosition="2026-01-01T00:00:00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t. Aloj." xr10:uid="{1FB6FE36-099A-459F-82EF-24A028432B5B}" cache="NativeTimeline_Dt._Aloj." caption="Dt. Aloj." level="0" selectionLevel="2" scrollPosition="2025-01-01T00:00:00"/>
</timelines>
</file>

<file path=xl/timelines/timeline4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t. Aloj. 1" xr10:uid="{9E97D014-4499-4BBC-848B-63BD49935CA2}" cache="NativeTimeline_Dt._Aloj.1" caption="Dt. Aloj." level="0" selectionLevel="0" scrollPosition="2023-01-01T00:00:00"/>
</timelines>
</file>

<file path=xl/timelines/timeline5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t. Aloj. 2" xr10:uid="{B01EAD77-CE85-46C7-9670-1ABFBDB10261}" cache="NativeTimeline_Dt._Aloj.2" caption="Dt. Aloj." level="0" selectionLevel="0" scrollPosition="2024-01-01T00:00:00"/>
</timeline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33045A-7D28-4AD2-8BD6-7A49B2D20353}">
  <we:reference id="893a7368-207d-42cf-a0a8-5dd14729399f" version="1.1.2.0" store="EXCatalog" storeType="EXCatalog"/>
  <we:alternateReferences>
    <we:reference id="WA104380194" version="1.1.2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1/relationships/timeline" Target="../timelines/timeline1.xml"/><Relationship Id="rId3" Type="http://schemas.openxmlformats.org/officeDocument/2006/relationships/pivotTable" Target="../pivotTables/pivotTable8.xml"/><Relationship Id="rId7" Type="http://schemas.openxmlformats.org/officeDocument/2006/relationships/vmlDrawing" Target="../drawings/vmlDrawing2.v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9.xml"/><Relationship Id="rId9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11/relationships/timeline" Target="../timelines/timeline2.xml"/><Relationship Id="rId3" Type="http://schemas.openxmlformats.org/officeDocument/2006/relationships/pivotTable" Target="../pivotTables/pivotTable12.xml"/><Relationship Id="rId7" Type="http://schemas.openxmlformats.org/officeDocument/2006/relationships/vmlDrawing" Target="../drawings/vmlDrawing3.v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13.xml"/><Relationship Id="rId9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11/relationships/timeline" Target="../timelines/timeline3.xml"/><Relationship Id="rId3" Type="http://schemas.openxmlformats.org/officeDocument/2006/relationships/pivotTable" Target="../pivotTables/pivotTable18.xml"/><Relationship Id="rId7" Type="http://schemas.openxmlformats.org/officeDocument/2006/relationships/vmlDrawing" Target="../drawings/vmlDrawing5.v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5.bin"/><Relationship Id="rId4" Type="http://schemas.openxmlformats.org/officeDocument/2006/relationships/pivotTable" Target="../pivotTables/pivotTable19.xml"/><Relationship Id="rId9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6" Type="http://schemas.openxmlformats.org/officeDocument/2006/relationships/printerSettings" Target="../printerSettings/printerSettings7.bin"/><Relationship Id="rId5" Type="http://schemas.openxmlformats.org/officeDocument/2006/relationships/pivotTable" Target="../pivotTables/pivotTable24.xml"/><Relationship Id="rId4" Type="http://schemas.openxmlformats.org/officeDocument/2006/relationships/pivotTable" Target="../pivotTables/pivotTable2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5.xml"/></Relationships>
</file>

<file path=xl/worksheets/_rels/sheet9.xml.rels><?xml version="1.0" encoding="UTF-8" standalone="yes"?>
<Relationships xmlns="http://schemas.openxmlformats.org/package/2006/relationships"><Relationship Id="rId8" Type="http://schemas.microsoft.com/office/2011/relationships/timeline" Target="../timelines/timeline4.xml"/><Relationship Id="rId3" Type="http://schemas.openxmlformats.org/officeDocument/2006/relationships/pivotTable" Target="../pivotTables/pivotTable28.xml"/><Relationship Id="rId7" Type="http://schemas.openxmlformats.org/officeDocument/2006/relationships/vmlDrawing" Target="../drawings/vmlDrawing7.v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9.bin"/><Relationship Id="rId4" Type="http://schemas.openxmlformats.org/officeDocument/2006/relationships/pivotTable" Target="../pivotTables/pivotTable29.xml"/><Relationship Id="rId9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2.xml"/><Relationship Id="rId7" Type="http://schemas.microsoft.com/office/2011/relationships/timeline" Target="../timelines/timeline5.xml"/><Relationship Id="rId2" Type="http://schemas.openxmlformats.org/officeDocument/2006/relationships/pivotTable" Target="../pivotTables/pivotTable31.xml"/><Relationship Id="rId1" Type="http://schemas.openxmlformats.org/officeDocument/2006/relationships/pivotTable" Target="../pivotTables/pivotTable30.xml"/><Relationship Id="rId6" Type="http://schemas.openxmlformats.org/officeDocument/2006/relationships/drawing" Target="../drawings/drawing6.xml"/><Relationship Id="rId5" Type="http://schemas.openxmlformats.org/officeDocument/2006/relationships/printerSettings" Target="../printerSettings/printerSettings10.bin"/><Relationship Id="rId4" Type="http://schemas.openxmlformats.org/officeDocument/2006/relationships/pivotTable" Target="../pivotTables/pivotTable3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7" Type="http://schemas.microsoft.com/office/2007/relationships/slicer" Target="../slicers/slicer2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6" Type="http://schemas.microsoft.com/office/2007/relationships/slicer" Target="../slicers/slicer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D2F3-69DD-49EA-B945-66DC477A5DDA}">
  <sheetPr codeName="Planilha1">
    <tabColor rgb="FFFF0000"/>
    <pageSetUpPr fitToPage="1"/>
  </sheetPr>
  <dimension ref="A1:IV853"/>
  <sheetViews>
    <sheetView showGridLines="0" tabSelected="1" zoomScale="60" zoomScaleNormal="60" zoomScaleSheetLayoutView="70" workbookViewId="0">
      <pane ySplit="1" topLeftCell="A172" activePane="bottomLeft" state="frozen"/>
      <selection activeCell="F193" sqref="F193"/>
      <selection pane="bottomLeft" activeCell="H208" sqref="H208"/>
    </sheetView>
  </sheetViews>
  <sheetFormatPr defaultColWidth="10.59765625" defaultRowHeight="17.399999999999999"/>
  <cols>
    <col min="1" max="1" width="19.8984375" style="817" customWidth="1"/>
    <col min="2" max="2" width="24.3984375" style="817" customWidth="1"/>
    <col min="3" max="3" width="27.59765625" style="817" bestFit="1" customWidth="1"/>
    <col min="4" max="4" width="15.59765625" style="817" bestFit="1" customWidth="1"/>
    <col min="5" max="5" width="16.59765625" style="817" bestFit="1" customWidth="1"/>
    <col min="6" max="6" width="20.3984375" style="817" customWidth="1"/>
    <col min="7" max="7" width="30.09765625" style="817" bestFit="1" customWidth="1"/>
    <col min="8" max="8" width="18.69921875" style="817" customWidth="1"/>
    <col min="9" max="9" width="17" style="817" bestFit="1" customWidth="1"/>
    <col min="10" max="10" width="17" style="817" customWidth="1"/>
    <col min="11" max="11" width="19.8984375" style="817" customWidth="1"/>
    <col min="12" max="12" width="12.09765625" style="817" customWidth="1"/>
    <col min="13" max="13" width="26.09765625" style="822" customWidth="1"/>
    <col min="14" max="14" width="24.296875" style="817" customWidth="1"/>
    <col min="15" max="15" width="18.69921875" style="823" customWidth="1"/>
    <col min="16" max="16" width="9.8984375" style="824" bestFit="1" customWidth="1"/>
    <col min="17" max="17" width="24.296875" style="817" bestFit="1" customWidth="1"/>
    <col min="18" max="18" width="24.296875" style="817" customWidth="1"/>
    <col min="19" max="19" width="24.296875" style="817" bestFit="1" customWidth="1"/>
    <col min="20" max="23" width="24.296875" style="817" customWidth="1"/>
    <col min="24" max="24" width="23.8984375" style="817" bestFit="1" customWidth="1"/>
    <col min="25" max="53" width="24.296875" style="817" bestFit="1" customWidth="1"/>
    <col min="54" max="54" width="11.59765625" style="817" bestFit="1" customWidth="1"/>
    <col min="55" max="113" width="9.8984375" style="817" bestFit="1" customWidth="1"/>
    <col min="114" max="114" width="8.09765625" style="817" bestFit="1" customWidth="1"/>
    <col min="115" max="150" width="9.8984375" style="817" bestFit="1" customWidth="1"/>
    <col min="151" max="151" width="8.3984375" style="817" bestFit="1" customWidth="1"/>
    <col min="152" max="157" width="9.8984375" style="817" bestFit="1" customWidth="1"/>
    <col min="158" max="158" width="8.3984375" style="817" bestFit="1" customWidth="1"/>
    <col min="159" max="254" width="9.8984375" style="817" bestFit="1" customWidth="1"/>
    <col min="255" max="255" width="7.8984375" style="817" bestFit="1" customWidth="1"/>
    <col min="256" max="256" width="11.59765625" style="817" bestFit="1" customWidth="1"/>
    <col min="257" max="16383" width="10.59765625" style="817"/>
    <col min="16384" max="16384" width="10.59765625" style="817" bestFit="1"/>
  </cols>
  <sheetData>
    <row r="1" spans="1:32" ht="31.2">
      <c r="A1" s="797" t="s">
        <v>0</v>
      </c>
      <c r="B1" s="797" t="s">
        <v>1</v>
      </c>
      <c r="C1" s="797" t="s">
        <v>2</v>
      </c>
      <c r="D1" s="797" t="s">
        <v>3</v>
      </c>
      <c r="E1" s="797" t="s">
        <v>4</v>
      </c>
      <c r="F1" s="797" t="s">
        <v>5</v>
      </c>
      <c r="G1" s="797" t="s">
        <v>6</v>
      </c>
      <c r="H1" s="797" t="s">
        <v>7</v>
      </c>
      <c r="I1" s="797" t="s">
        <v>8</v>
      </c>
      <c r="J1" s="797" t="s">
        <v>9</v>
      </c>
      <c r="K1" s="797" t="s">
        <v>10</v>
      </c>
      <c r="L1" s="797" t="s">
        <v>11</v>
      </c>
      <c r="M1" s="797" t="s">
        <v>12</v>
      </c>
      <c r="N1" s="798" t="s">
        <v>13</v>
      </c>
      <c r="O1" s="797" t="s">
        <v>3</v>
      </c>
      <c r="P1" s="797" t="s">
        <v>5</v>
      </c>
      <c r="Q1" s="797" t="s">
        <v>775</v>
      </c>
      <c r="R1" s="797" t="s">
        <v>7</v>
      </c>
      <c r="S1" s="799" t="s">
        <v>8</v>
      </c>
      <c r="T1" s="797" t="s">
        <v>14</v>
      </c>
      <c r="U1" s="797" t="s">
        <v>15</v>
      </c>
      <c r="V1" s="800" t="s">
        <v>10</v>
      </c>
      <c r="W1" s="801" t="s">
        <v>16</v>
      </c>
      <c r="X1" s="802"/>
      <c r="Y1" s="802"/>
    </row>
    <row r="2" spans="1:32">
      <c r="A2" s="640" t="s">
        <v>17</v>
      </c>
      <c r="B2" s="641">
        <v>45702</v>
      </c>
      <c r="C2" s="642">
        <v>45701</v>
      </c>
      <c r="D2" s="673" t="s">
        <v>18</v>
      </c>
      <c r="E2" s="643">
        <f t="shared" ref="E2:E5" ca="1" si="0">IF((TODAY()-C2)/7&gt;U2,U2,(TODAY()-C2)/7)</f>
        <v>68</v>
      </c>
      <c r="F2" s="643" t="str">
        <f>IFERROR(VLOOKUP(G2,Recria[[Granja Recria]:[Emp+CC]],4,0),"")</f>
        <v>10_1295</v>
      </c>
      <c r="G2" s="644" t="s">
        <v>19</v>
      </c>
      <c r="H2" s="645" t="str">
        <f>IFERROR(VLOOKUP(G2,Recria[[Granja Recria]:[Núcleo]],2,0),"")</f>
        <v>(N3)</v>
      </c>
      <c r="I2" s="646">
        <v>0</v>
      </c>
      <c r="J2" s="640" t="s">
        <v>20</v>
      </c>
      <c r="K2" s="640">
        <v>43</v>
      </c>
      <c r="L2" s="803" t="str">
        <f>VLOOKUP(M2,Raca_Linhagem[],2,0)</f>
        <v>COBB</v>
      </c>
      <c r="M2" s="803" t="s">
        <v>21</v>
      </c>
      <c r="N2" s="674">
        <f t="shared" ref="N2:N21" si="1">C2+(22*7)-7</f>
        <v>45848</v>
      </c>
      <c r="O2" s="675"/>
      <c r="P2" s="675" t="str">
        <f>IFERROR(VLOOKUP(Q2,Producao[[Granja Produção]:[Emp+CC]],4,0),"")</f>
        <v>126_2244</v>
      </c>
      <c r="Q2" s="649" t="s">
        <v>22</v>
      </c>
      <c r="R2" s="677" t="str">
        <f>IFERROR(VLOOKUP(Q2,Producao[[Granja Produção]:[Núcleo]],2,0),"")</f>
        <v>(N1)</v>
      </c>
      <c r="S2" s="678" t="s">
        <v>23</v>
      </c>
      <c r="T2" s="679">
        <f t="shared" ref="T2:T5" si="2">C2+(U2*7)-1</f>
        <v>46176</v>
      </c>
      <c r="U2" s="680">
        <v>68</v>
      </c>
      <c r="V2" s="653">
        <f>N126-T2</f>
        <v>50</v>
      </c>
      <c r="W2" s="681">
        <f t="shared" ref="W2:W14" si="3">IFERROR(T2+V2," ")</f>
        <v>46226</v>
      </c>
      <c r="X2" s="802" t="str">
        <f>VLOOKUP(Q2,Q52:Q186,1,0)</f>
        <v>Beltrame - SP</v>
      </c>
      <c r="Y2" s="1070"/>
      <c r="AA2" s="818"/>
      <c r="AD2" s="1312"/>
      <c r="AE2" s="1312"/>
      <c r="AF2" s="1312"/>
    </row>
    <row r="3" spans="1:32">
      <c r="A3" s="640" t="s">
        <v>17</v>
      </c>
      <c r="B3" s="641">
        <v>45709</v>
      </c>
      <c r="C3" s="642">
        <v>45708</v>
      </c>
      <c r="D3" s="673" t="s">
        <v>24</v>
      </c>
      <c r="E3" s="643">
        <f t="shared" ca="1" si="0"/>
        <v>67</v>
      </c>
      <c r="F3" s="643" t="str">
        <f>IFERROR(VLOOKUP(G3,Recria[[Granja Recria]:[Emp+CC]],4,0),"")</f>
        <v>10_203</v>
      </c>
      <c r="G3" s="644" t="s">
        <v>25</v>
      </c>
      <c r="H3" s="645" t="str">
        <f>IFERROR(VLOOKUP(G3,Recria[[Granja Recria]:[Núcleo]],2,0),"")</f>
        <v>(N1)</v>
      </c>
      <c r="I3" s="646">
        <v>60000</v>
      </c>
      <c r="J3" s="640" t="s">
        <v>20</v>
      </c>
      <c r="K3" s="640">
        <v>28</v>
      </c>
      <c r="L3" s="804" t="str">
        <f>VLOOKUP(M3,Raca_Linhagem[],2,0)</f>
        <v>ROSS</v>
      </c>
      <c r="M3" s="804" t="s">
        <v>26</v>
      </c>
      <c r="N3" s="647">
        <f t="shared" si="1"/>
        <v>45855</v>
      </c>
      <c r="O3" s="648" t="s">
        <v>27</v>
      </c>
      <c r="P3" s="648" t="str">
        <f>IFERROR(VLOOKUP(Q3,Producao[[Granja Produção]:[Emp+CC]],4,0),"")</f>
        <v>10_330</v>
      </c>
      <c r="Q3" s="649" t="s">
        <v>28</v>
      </c>
      <c r="R3" s="640" t="str">
        <f>IFERROR(VLOOKUP(Q3,Producao[[Granja Produção]:[Núcleo]],2,0),"")</f>
        <v>(N1)</v>
      </c>
      <c r="S3" s="650">
        <v>57000</v>
      </c>
      <c r="T3" s="651">
        <f t="shared" si="2"/>
        <v>46176</v>
      </c>
      <c r="U3" s="652">
        <v>67</v>
      </c>
      <c r="V3" s="653">
        <f>N129-T3</f>
        <v>57</v>
      </c>
      <c r="W3" s="654">
        <f t="shared" si="3"/>
        <v>46233</v>
      </c>
      <c r="X3" s="1083" t="str">
        <f>VLOOKUP(Q3,Q53:Q185,1,0)</f>
        <v>Darlan - PR</v>
      </c>
      <c r="Y3" s="1070"/>
      <c r="AA3" s="818"/>
      <c r="AD3" s="1312"/>
      <c r="AE3" s="1312"/>
      <c r="AF3" s="1312"/>
    </row>
    <row r="4" spans="1:32">
      <c r="A4" s="640" t="s">
        <v>17</v>
      </c>
      <c r="B4" s="641">
        <v>45714</v>
      </c>
      <c r="C4" s="642">
        <v>45715</v>
      </c>
      <c r="D4" s="673" t="s">
        <v>29</v>
      </c>
      <c r="E4" s="643">
        <f t="shared" ca="1" si="0"/>
        <v>66</v>
      </c>
      <c r="F4" s="643" t="str">
        <f>IFERROR(VLOOKUP(G4,Recria[[Granja Recria]:[Emp+CC]],4,0),"")</f>
        <v>117_139</v>
      </c>
      <c r="G4" s="644" t="s">
        <v>30</v>
      </c>
      <c r="H4" s="645" t="str">
        <f>IFERROR(VLOOKUP(G4,Recria[[Granja Recria]:[Núcleo]],2,0),"")</f>
        <v>(N4)</v>
      </c>
      <c r="I4" s="646">
        <v>40000</v>
      </c>
      <c r="J4" s="640" t="s">
        <v>20</v>
      </c>
      <c r="K4" s="640">
        <v>33</v>
      </c>
      <c r="L4" s="807" t="str">
        <f>VLOOKUP(M4,Raca_Linhagem[],2,0)</f>
        <v>ROSS</v>
      </c>
      <c r="M4" s="807" t="s">
        <v>31</v>
      </c>
      <c r="N4" s="674">
        <f t="shared" si="1"/>
        <v>45862</v>
      </c>
      <c r="O4" s="675"/>
      <c r="P4" s="675" t="str">
        <f>IFERROR(VLOOKUP(Q4,Producao[[Granja Produção]:[Emp+CC]],4,0),"")</f>
        <v>126_2244</v>
      </c>
      <c r="Q4" s="649" t="s">
        <v>22</v>
      </c>
      <c r="R4" s="677" t="str">
        <f>IFERROR(VLOOKUP(Q4,Producao[[Granja Produção]:[Núcleo]],2,0),"")</f>
        <v>(N1)</v>
      </c>
      <c r="S4" s="678" t="s">
        <v>32</v>
      </c>
      <c r="T4" s="679">
        <f t="shared" si="2"/>
        <v>46176</v>
      </c>
      <c r="U4" s="680">
        <v>66</v>
      </c>
      <c r="V4" s="682">
        <f>N126-T2</f>
        <v>50</v>
      </c>
      <c r="W4" s="681">
        <f t="shared" si="3"/>
        <v>46226</v>
      </c>
      <c r="X4" s="802" t="str">
        <f>VLOOKUP(Q4,Q54:Q186,1,0)</f>
        <v>Beltrame - SP</v>
      </c>
      <c r="Y4" s="1070"/>
      <c r="AA4" s="818"/>
      <c r="AD4" s="1312"/>
      <c r="AE4" s="1312"/>
      <c r="AF4" s="1312"/>
    </row>
    <row r="5" spans="1:32">
      <c r="A5" s="640" t="s">
        <v>17</v>
      </c>
      <c r="B5" s="641">
        <v>45714</v>
      </c>
      <c r="C5" s="642">
        <v>45715</v>
      </c>
      <c r="D5" s="673" t="s">
        <v>29</v>
      </c>
      <c r="E5" s="643">
        <f t="shared" ca="1" si="0"/>
        <v>68</v>
      </c>
      <c r="F5" s="643" t="str">
        <f>IFERROR(VLOOKUP(G5,Recria[[Granja Recria]:[Emp+CC]],4,0),"")</f>
        <v>117_139</v>
      </c>
      <c r="G5" s="644" t="s">
        <v>30</v>
      </c>
      <c r="H5" s="645" t="str">
        <f>IFERROR(VLOOKUP(G5,Recria[[Granja Recria]:[Núcleo]],2,0),"")</f>
        <v>(N4)</v>
      </c>
      <c r="I5" s="646"/>
      <c r="J5" s="640" t="s">
        <v>20</v>
      </c>
      <c r="K5" s="640">
        <v>33</v>
      </c>
      <c r="L5" s="807" t="str">
        <f>VLOOKUP(M5,Raca_Linhagem[],2,0)</f>
        <v>ROSS</v>
      </c>
      <c r="M5" s="807" t="s">
        <v>31</v>
      </c>
      <c r="N5" s="647">
        <f t="shared" si="1"/>
        <v>45862</v>
      </c>
      <c r="O5" s="648" t="s">
        <v>33</v>
      </c>
      <c r="P5" s="648" t="str">
        <f>IFERROR(VLOOKUP(Q5,Producao[[Granja Produção]:[Emp+CC]],4,0),"")</f>
        <v>10_859</v>
      </c>
      <c r="Q5" s="649" t="s">
        <v>34</v>
      </c>
      <c r="R5" s="640" t="str">
        <f>IFERROR(VLOOKUP(Q5,Producao[[Granja Produção]:[Núcleo]],2,0),"")</f>
        <v>(N1)</v>
      </c>
      <c r="S5" s="650">
        <v>24000</v>
      </c>
      <c r="T5" s="651">
        <f t="shared" si="2"/>
        <v>46190</v>
      </c>
      <c r="U5" s="652">
        <v>68</v>
      </c>
      <c r="V5" s="653">
        <f>N131-T5</f>
        <v>50</v>
      </c>
      <c r="W5" s="654">
        <f t="shared" si="3"/>
        <v>46240</v>
      </c>
      <c r="X5" s="1083" t="str">
        <f>VLOOKUP(Q5,Q55:Q186,1,0)</f>
        <v>Iguaçu 1 - PR</v>
      </c>
      <c r="Y5" s="1070"/>
      <c r="AA5" s="818"/>
      <c r="AD5" s="1312"/>
      <c r="AE5" s="1312"/>
      <c r="AF5" s="1312"/>
    </row>
    <row r="6" spans="1:32">
      <c r="A6" s="640" t="s">
        <v>17</v>
      </c>
      <c r="B6" s="641">
        <v>45720</v>
      </c>
      <c r="C6" s="642">
        <v>45722</v>
      </c>
      <c r="D6" s="683" t="s">
        <v>35</v>
      </c>
      <c r="E6" s="643">
        <f t="shared" ref="E6:E37" ca="1" si="4">IF((TODAY()-C6)/7&gt;U6,U6,(TODAY()-C6)/7)</f>
        <v>71</v>
      </c>
      <c r="F6" s="643" t="str">
        <f>IFERROR(VLOOKUP(G6,Recria[[Granja Recria]:[Emp+CC]],4,0),"")</f>
        <v>128_1367</v>
      </c>
      <c r="G6" s="644" t="s">
        <v>36</v>
      </c>
      <c r="H6" s="645" t="str">
        <f>IFERROR(VLOOKUP(G6,Recria[[Granja Recria]:[Núcleo]],2,0),"")</f>
        <v>(N1)</v>
      </c>
      <c r="I6" s="646">
        <v>54000</v>
      </c>
      <c r="J6" s="640" t="s">
        <v>20</v>
      </c>
      <c r="K6" s="640">
        <v>29</v>
      </c>
      <c r="L6" s="806" t="str">
        <f>VLOOKUP(M6,Raca_Linhagem[],2,0)</f>
        <v>COBB</v>
      </c>
      <c r="M6" s="806" t="s">
        <v>37</v>
      </c>
      <c r="N6" s="647">
        <f t="shared" si="1"/>
        <v>45869</v>
      </c>
      <c r="O6" s="648" t="s">
        <v>38</v>
      </c>
      <c r="P6" s="648" t="str">
        <f>IFERROR(VLOOKUP(Q6,Producao[[Granja Produção]:[Emp+CC]],4,0),"")</f>
        <v>10_735</v>
      </c>
      <c r="Q6" s="649" t="s">
        <v>39</v>
      </c>
      <c r="R6" s="640" t="str">
        <f>IFERROR(VLOOKUP(Q6,Producao[[Granja Produção]:[Núcleo]],2,0),"")</f>
        <v>(N1)</v>
      </c>
      <c r="S6" s="650">
        <v>23000</v>
      </c>
      <c r="T6" s="881">
        <f t="shared" ref="T6:T37" si="5">C6+(U6*7)-1</f>
        <v>46218</v>
      </c>
      <c r="U6" s="672">
        <v>71</v>
      </c>
      <c r="V6" s="880" t="s">
        <v>40</v>
      </c>
      <c r="W6" s="880" t="str">
        <f t="shared" si="3"/>
        <v xml:space="preserve"> </v>
      </c>
      <c r="X6" s="882" t="e">
        <f>VLOOKUP(Q6,Q56:Q187,1,0)</f>
        <v>#N/A</v>
      </c>
      <c r="Y6" s="1070"/>
      <c r="AA6" s="818"/>
      <c r="AD6" s="1312"/>
      <c r="AE6" s="1312"/>
      <c r="AF6" s="1312"/>
    </row>
    <row r="7" spans="1:32">
      <c r="A7" s="640" t="s">
        <v>17</v>
      </c>
      <c r="B7" s="641">
        <v>45720</v>
      </c>
      <c r="C7" s="642">
        <v>45722</v>
      </c>
      <c r="D7" s="683" t="s">
        <v>35</v>
      </c>
      <c r="E7" s="643">
        <f t="shared" ca="1" si="4"/>
        <v>65</v>
      </c>
      <c r="F7" s="643" t="str">
        <f>IFERROR(VLOOKUP(G7,Recria[[Granja Recria]:[Emp+CC]],4,0),"")</f>
        <v>128_1367</v>
      </c>
      <c r="G7" s="644" t="s">
        <v>36</v>
      </c>
      <c r="H7" s="645" t="str">
        <f>IFERROR(VLOOKUP(G7,Recria[[Granja Recria]:[Núcleo]],2,0),"")</f>
        <v>(N1)</v>
      </c>
      <c r="I7" s="646"/>
      <c r="J7" s="640" t="s">
        <v>20</v>
      </c>
      <c r="K7" s="640">
        <v>28</v>
      </c>
      <c r="L7" s="806" t="str">
        <f>VLOOKUP(M7,Raca_Linhagem[],2,0)</f>
        <v>COBB</v>
      </c>
      <c r="M7" s="806" t="s">
        <v>37</v>
      </c>
      <c r="N7" s="647">
        <f t="shared" si="1"/>
        <v>45869</v>
      </c>
      <c r="O7" s="648" t="s">
        <v>41</v>
      </c>
      <c r="P7" s="648" t="str">
        <f>IFERROR(VLOOKUP(Q7,Producao[[Granja Produção]:[Emp+CC]],4,0),"")</f>
        <v>96_1029</v>
      </c>
      <c r="Q7" s="649" t="s">
        <v>42</v>
      </c>
      <c r="R7" s="640" t="str">
        <f>IFERROR(VLOOKUP(Q7,Producao[[Granja Produção]:[Núcleo]],2,0),"")</f>
        <v>(N1)</v>
      </c>
      <c r="S7" s="650">
        <v>28000</v>
      </c>
      <c r="T7" s="651">
        <f t="shared" si="5"/>
        <v>46176</v>
      </c>
      <c r="U7" s="652">
        <v>65</v>
      </c>
      <c r="V7" s="653">
        <f>N126-T7</f>
        <v>50</v>
      </c>
      <c r="W7" s="654">
        <f t="shared" si="3"/>
        <v>46226</v>
      </c>
      <c r="X7" s="1083" t="str">
        <f>VLOOKUP(Q7,Q57:Q197,1,0)</f>
        <v>Bem-te-vi - SC</v>
      </c>
      <c r="Y7" s="1229">
        <f>SUMIF($Q$115:Q197,X7,$S$115:S197)</f>
        <v>29680</v>
      </c>
      <c r="AA7" s="818"/>
      <c r="AD7" s="1312"/>
      <c r="AE7" s="1312"/>
      <c r="AF7" s="1312"/>
    </row>
    <row r="8" spans="1:32" s="1188" customFormat="1">
      <c r="A8" s="640" t="s">
        <v>17</v>
      </c>
      <c r="B8" s="641">
        <v>45724</v>
      </c>
      <c r="C8" s="642">
        <v>45729</v>
      </c>
      <c r="D8" s="673" t="s">
        <v>43</v>
      </c>
      <c r="E8" s="643">
        <f t="shared" ca="1" si="4"/>
        <v>66</v>
      </c>
      <c r="F8" s="643" t="str">
        <f>IFERROR(VLOOKUP(G8,Recria[[Granja Recria]:[Emp+CC]],4,0),"")</f>
        <v>10_328</v>
      </c>
      <c r="G8" s="644" t="s">
        <v>44</v>
      </c>
      <c r="H8" s="645" t="str">
        <f>IFERROR(VLOOKUP(G8,Recria[[Granja Recria]:[Núcleo]],2,0),"")</f>
        <v>(N3)</v>
      </c>
      <c r="I8" s="646">
        <v>38000</v>
      </c>
      <c r="J8" s="640" t="s">
        <v>45</v>
      </c>
      <c r="K8" s="640">
        <v>55</v>
      </c>
      <c r="L8" s="804" t="str">
        <f>VLOOKUP(M8,Raca_Linhagem[],2,0)</f>
        <v>ROSS</v>
      </c>
      <c r="M8" s="804" t="s">
        <v>26</v>
      </c>
      <c r="N8" s="647">
        <f t="shared" si="1"/>
        <v>45876</v>
      </c>
      <c r="O8" s="648" t="s">
        <v>33</v>
      </c>
      <c r="P8" s="648" t="str">
        <f>IFERROR(VLOOKUP(Q8,Producao[[Granja Produção]:[Emp+CC]],4,0),"")</f>
        <v>10_859</v>
      </c>
      <c r="Q8" s="649" t="s">
        <v>34</v>
      </c>
      <c r="R8" s="640" t="str">
        <f>IFERROR(VLOOKUP(Q8,Producao[[Granja Produção]:[Núcleo]],2,0),"")</f>
        <v>(N1)</v>
      </c>
      <c r="S8" s="650">
        <v>36000</v>
      </c>
      <c r="T8" s="651">
        <f t="shared" si="5"/>
        <v>46190</v>
      </c>
      <c r="U8" s="652">
        <v>66</v>
      </c>
      <c r="V8" s="653">
        <f>N133-T5</f>
        <v>57</v>
      </c>
      <c r="W8" s="654">
        <f t="shared" si="3"/>
        <v>46247</v>
      </c>
      <c r="X8" s="1083" t="str">
        <f>VLOOKUP(Q8,Q59:Q196,1,0)</f>
        <v>Iguaçu 1 - PR</v>
      </c>
      <c r="Y8" s="1229">
        <f>SUMIF($Q$115:Q196,X8,$S$115:S196)</f>
        <v>57000</v>
      </c>
      <c r="Z8" s="817"/>
      <c r="AA8" s="818"/>
      <c r="AB8" s="817"/>
      <c r="AC8" s="817"/>
      <c r="AD8" s="1312"/>
      <c r="AE8" s="1312"/>
      <c r="AF8" s="1312"/>
    </row>
    <row r="9" spans="1:32">
      <c r="A9" s="640" t="s">
        <v>17</v>
      </c>
      <c r="B9" s="641">
        <v>45730</v>
      </c>
      <c r="C9" s="642">
        <v>45729</v>
      </c>
      <c r="D9" s="673" t="s">
        <v>46</v>
      </c>
      <c r="E9" s="643">
        <f t="shared" ca="1" si="4"/>
        <v>66</v>
      </c>
      <c r="F9" s="643" t="str">
        <f>IFERROR(VLOOKUP(G9,Recria[[Granja Recria]:[Emp+CC]],4,0),"")</f>
        <v>10_857</v>
      </c>
      <c r="G9" s="644" t="s">
        <v>47</v>
      </c>
      <c r="H9" s="645" t="str">
        <f>IFERROR(VLOOKUP(G9,Recria[[Granja Recria]:[Núcleo]],2,0),"")</f>
        <v>(N2)</v>
      </c>
      <c r="I9" s="646">
        <v>60000</v>
      </c>
      <c r="J9" s="640" t="s">
        <v>48</v>
      </c>
      <c r="K9" s="640">
        <v>28</v>
      </c>
      <c r="L9" s="803" t="str">
        <f>VLOOKUP(M9,Raca_Linhagem[],2,0)</f>
        <v>COBB</v>
      </c>
      <c r="M9" s="803" t="s">
        <v>21</v>
      </c>
      <c r="N9" s="647">
        <f t="shared" si="1"/>
        <v>45876</v>
      </c>
      <c r="O9" s="648" t="s">
        <v>49</v>
      </c>
      <c r="P9" s="648" t="str">
        <f>IFERROR(VLOOKUP(Q9,Producao[[Granja Produção]:[Emp+CC]],4,0),"")</f>
        <v>10_329</v>
      </c>
      <c r="Q9" s="649" t="s">
        <v>50</v>
      </c>
      <c r="R9" s="640" t="str">
        <f>IFERROR(VLOOKUP(Q9,Producao[[Granja Produção]:[Núcleo]],2,0),"")</f>
        <v>(N1)</v>
      </c>
      <c r="S9" s="650">
        <v>57000</v>
      </c>
      <c r="T9" s="651">
        <f t="shared" si="5"/>
        <v>46190</v>
      </c>
      <c r="U9" s="652">
        <v>66</v>
      </c>
      <c r="V9" s="653">
        <f>N133-T9</f>
        <v>57</v>
      </c>
      <c r="W9" s="654">
        <f t="shared" si="3"/>
        <v>46247</v>
      </c>
      <c r="X9" s="1083" t="str">
        <f>VLOOKUP(Q9,Q60:Q196,1,0)</f>
        <v>Rossi 1 - PR</v>
      </c>
      <c r="Y9" s="1229">
        <f>SUMIF($Q$115:Q196,X9,$S$115:S196)</f>
        <v>57000</v>
      </c>
      <c r="AA9" s="818"/>
      <c r="AD9" s="1312"/>
      <c r="AE9" s="1312"/>
      <c r="AF9" s="1312"/>
    </row>
    <row r="10" spans="1:32">
      <c r="A10" s="684" t="s">
        <v>17</v>
      </c>
      <c r="B10" s="685">
        <v>45744</v>
      </c>
      <c r="C10" s="686">
        <v>45743</v>
      </c>
      <c r="D10" s="687" t="s">
        <v>51</v>
      </c>
      <c r="E10" s="687">
        <f t="shared" ca="1" si="4"/>
        <v>66</v>
      </c>
      <c r="F10" s="687" t="str">
        <f>IFERROR(VLOOKUP(G10,Recria[[Granja Recria]:[Emp+CC]],4,0),"")</f>
        <v>124_47</v>
      </c>
      <c r="G10" s="688" t="s">
        <v>52</v>
      </c>
      <c r="H10" s="689" t="str">
        <f>IFERROR(VLOOKUP(G10,Recria[[Granja Recria]:[Núcleo]],2,0),"")</f>
        <v>(N1)</v>
      </c>
      <c r="I10" s="690">
        <v>15000</v>
      </c>
      <c r="J10" s="684" t="s">
        <v>20</v>
      </c>
      <c r="K10" s="691">
        <v>15</v>
      </c>
      <c r="L10" s="803" t="str">
        <f>VLOOKUP(M10,Raca_Linhagem[],2,0)</f>
        <v>COBB</v>
      </c>
      <c r="M10" s="803" t="s">
        <v>21</v>
      </c>
      <c r="N10" s="647">
        <f t="shared" si="1"/>
        <v>45890</v>
      </c>
      <c r="O10" s="648" t="s">
        <v>53</v>
      </c>
      <c r="P10" s="648" t="str">
        <f>IFERROR(VLOOKUP(Q10,Producao[[Granja Produção]:[Emp+CC]],4,0),"")</f>
        <v>11_150</v>
      </c>
      <c r="Q10" s="649" t="s">
        <v>54</v>
      </c>
      <c r="R10" s="640" t="str">
        <f>IFERROR(VLOOKUP(Q10,Producao[[Granja Produção]:[Núcleo]],2,0),"")</f>
        <v>(N1)</v>
      </c>
      <c r="S10" s="650">
        <v>13950</v>
      </c>
      <c r="T10" s="651">
        <f t="shared" si="5"/>
        <v>46204</v>
      </c>
      <c r="U10" s="652">
        <v>66</v>
      </c>
      <c r="V10" s="1300">
        <f>N134-T10</f>
        <v>43</v>
      </c>
      <c r="W10" s="654">
        <f t="shared" si="3"/>
        <v>46247</v>
      </c>
      <c r="X10" s="1083" t="str">
        <f>VLOOKUP(Q10,Q61:Q196,1,0)</f>
        <v>São Roque - PR</v>
      </c>
      <c r="Y10" s="1229">
        <f>SUMIF($Q$115:Q199,X10,$S$115:S199)</f>
        <v>38744</v>
      </c>
      <c r="AA10" s="818"/>
      <c r="AD10" s="1312"/>
      <c r="AE10" s="1312"/>
      <c r="AF10" s="1312"/>
    </row>
    <row r="11" spans="1:32">
      <c r="A11" s="640" t="s">
        <v>17</v>
      </c>
      <c r="B11" s="641">
        <v>45744</v>
      </c>
      <c r="C11" s="642">
        <v>45743</v>
      </c>
      <c r="D11" s="643" t="s">
        <v>55</v>
      </c>
      <c r="E11" s="643">
        <f t="shared" ca="1" si="4"/>
        <v>64</v>
      </c>
      <c r="F11" s="643" t="str">
        <f>IFERROR(VLOOKUP(G11,Recria[[Granja Recria]:[Emp+CC]],4,0),"")</f>
        <v>124_47</v>
      </c>
      <c r="G11" s="644" t="s">
        <v>52</v>
      </c>
      <c r="H11" s="645" t="str">
        <f>IFERROR(VLOOKUP(G11,Recria[[Granja Recria]:[Núcleo]],2,0),"")</f>
        <v>(N1)</v>
      </c>
      <c r="I11" s="646">
        <v>30000</v>
      </c>
      <c r="J11" s="640" t="s">
        <v>20</v>
      </c>
      <c r="K11" s="640">
        <v>15</v>
      </c>
      <c r="L11" s="803" t="str">
        <f>VLOOKUP(M11,Raca_Linhagem[],2,0)</f>
        <v>COBB</v>
      </c>
      <c r="M11" s="803" t="s">
        <v>21</v>
      </c>
      <c r="N11" s="647">
        <f t="shared" si="1"/>
        <v>45890</v>
      </c>
      <c r="O11" s="648" t="s">
        <v>56</v>
      </c>
      <c r="P11" s="648" t="str">
        <f>IFERROR(VLOOKUP(Q11,Producao[[Granja Produção]:[Emp+CC]],4,0),"")</f>
        <v>10_860</v>
      </c>
      <c r="Q11" s="649" t="s">
        <v>57</v>
      </c>
      <c r="R11" s="640" t="str">
        <f>IFERROR(VLOOKUP(Q11,Producao[[Granja Produção]:[Núcleo]],2,0),"")</f>
        <v>(N1)</v>
      </c>
      <c r="S11" s="650">
        <f>I11*0.96</f>
        <v>28800</v>
      </c>
      <c r="T11" s="651">
        <f t="shared" si="5"/>
        <v>46190</v>
      </c>
      <c r="U11" s="652">
        <v>64</v>
      </c>
      <c r="V11" s="1300">
        <f>N136-T11</f>
        <v>71</v>
      </c>
      <c r="W11" s="654">
        <f t="shared" si="3"/>
        <v>46261</v>
      </c>
      <c r="X11" s="1083" t="str">
        <f>VLOOKUP(Q11,Q61:Q196,1,0)</f>
        <v>Canguçu 1 - PR</v>
      </c>
      <c r="Y11" s="1229">
        <f>SUMIF($Q$115:Q200,X11,$S$115:S200)</f>
        <v>58000</v>
      </c>
      <c r="AA11" s="818"/>
      <c r="AD11" s="1312"/>
      <c r="AE11" s="1312"/>
      <c r="AF11" s="1312"/>
    </row>
    <row r="12" spans="1:32">
      <c r="A12" s="640" t="s">
        <v>17</v>
      </c>
      <c r="B12" s="641">
        <v>45750</v>
      </c>
      <c r="C12" s="642">
        <v>45750</v>
      </c>
      <c r="D12" s="643" t="s">
        <v>58</v>
      </c>
      <c r="E12" s="643">
        <f t="shared" ca="1" si="4"/>
        <v>63</v>
      </c>
      <c r="F12" s="643" t="str">
        <f>IFERROR(VLOOKUP(G12,Recria[[Granja Recria]:[Emp+CC]],4,0),"")</f>
        <v>139_49</v>
      </c>
      <c r="G12" s="644" t="s">
        <v>59</v>
      </c>
      <c r="H12" s="645" t="str">
        <f>IFERROR(VLOOKUP(G12,Recria[[Granja Recria]:[Núcleo]],2,0),"")</f>
        <v>(N1)</v>
      </c>
      <c r="I12" s="646">
        <v>60000</v>
      </c>
      <c r="J12" s="640" t="s">
        <v>60</v>
      </c>
      <c r="K12" s="640">
        <v>27</v>
      </c>
      <c r="L12" s="803" t="str">
        <f>VLOOKUP(M12,Raca_Linhagem[],2,0)</f>
        <v>COBB</v>
      </c>
      <c r="M12" s="803" t="s">
        <v>21</v>
      </c>
      <c r="N12" s="647">
        <f t="shared" si="1"/>
        <v>45897</v>
      </c>
      <c r="O12" s="648" t="s">
        <v>56</v>
      </c>
      <c r="P12" s="648" t="str">
        <f>IFERROR(VLOOKUP(Q12,Producao[[Granja Produção]:[Emp+CC]],4,0),"")</f>
        <v>10_860</v>
      </c>
      <c r="Q12" s="649" t="s">
        <v>57</v>
      </c>
      <c r="R12" s="640" t="str">
        <f>IFERROR(VLOOKUP(Q12,Producao[[Granja Produção]:[Núcleo]],2,0),"")</f>
        <v>(N1)</v>
      </c>
      <c r="S12" s="650">
        <v>29984</v>
      </c>
      <c r="T12" s="651">
        <f t="shared" si="5"/>
        <v>46190</v>
      </c>
      <c r="U12" s="652">
        <v>63</v>
      </c>
      <c r="V12" s="1300">
        <f>N136-T11</f>
        <v>71</v>
      </c>
      <c r="W12" s="654">
        <f t="shared" si="3"/>
        <v>46261</v>
      </c>
      <c r="X12" s="1083" t="str">
        <f>VLOOKUP(Q12,Q62:Q235,1,0)</f>
        <v>Canguçu 1 - PR</v>
      </c>
      <c r="Y12" s="1229">
        <f>SUMIF($Q$115:Q219,X12,$S$115:S219)</f>
        <v>58000</v>
      </c>
      <c r="AA12" s="818"/>
      <c r="AD12" s="1312"/>
      <c r="AE12" s="1312"/>
      <c r="AF12" s="1312"/>
    </row>
    <row r="13" spans="1:32">
      <c r="A13" s="640" t="s">
        <v>17</v>
      </c>
      <c r="B13" s="641">
        <v>45750</v>
      </c>
      <c r="C13" s="642">
        <v>45750</v>
      </c>
      <c r="D13" s="643" t="s">
        <v>58</v>
      </c>
      <c r="E13" s="643">
        <f t="shared" ca="1" si="4"/>
        <v>65</v>
      </c>
      <c r="F13" s="643" t="str">
        <f>IFERROR(VLOOKUP(G13,Recria[[Granja Recria]:[Emp+CC]],4,0),"")</f>
        <v>139_49</v>
      </c>
      <c r="G13" s="644" t="s">
        <v>59</v>
      </c>
      <c r="H13" s="645" t="str">
        <f>IFERROR(VLOOKUP(G13,Recria[[Granja Recria]:[Núcleo]],2,0),"")</f>
        <v>(N1)</v>
      </c>
      <c r="I13" s="646"/>
      <c r="J13" s="640" t="s">
        <v>60</v>
      </c>
      <c r="K13" s="640">
        <v>27</v>
      </c>
      <c r="L13" s="803" t="str">
        <f>VLOOKUP(M13,Raca_Linhagem[],2,0)</f>
        <v>COBB</v>
      </c>
      <c r="M13" s="803" t="s">
        <v>21</v>
      </c>
      <c r="N13" s="647">
        <f t="shared" si="1"/>
        <v>45897</v>
      </c>
      <c r="O13" s="648" t="s">
        <v>53</v>
      </c>
      <c r="P13" s="648" t="str">
        <f>IFERROR(VLOOKUP(Q13,Producao[[Granja Produção]:[Emp+CC]],4,0),"")</f>
        <v>11_150</v>
      </c>
      <c r="Q13" s="649" t="s">
        <v>54</v>
      </c>
      <c r="R13" s="640" t="str">
        <f>IFERROR(VLOOKUP(Q13,Producao[[Granja Produção]:[Núcleo]],2,0),"")</f>
        <v>(N1)</v>
      </c>
      <c r="S13" s="650">
        <v>10566</v>
      </c>
      <c r="T13" s="651">
        <f t="shared" si="5"/>
        <v>46204</v>
      </c>
      <c r="U13" s="652">
        <v>65</v>
      </c>
      <c r="V13" s="1300">
        <f>N134-T10</f>
        <v>43</v>
      </c>
      <c r="W13" s="654">
        <f t="shared" si="3"/>
        <v>46247</v>
      </c>
      <c r="X13" s="1083" t="str">
        <f>VLOOKUP(Q13,Q63:Q235,1,0)</f>
        <v>São Roque - PR</v>
      </c>
      <c r="Y13" s="1229">
        <f>SUMIF($Q$115:Q201,X13,$S$115:S201)</f>
        <v>38744</v>
      </c>
      <c r="AA13" s="818"/>
      <c r="AD13" s="1312"/>
      <c r="AE13" s="1312"/>
      <c r="AF13" s="1312"/>
    </row>
    <row r="14" spans="1:32">
      <c r="A14" s="640" t="s">
        <v>17</v>
      </c>
      <c r="B14" s="641">
        <v>45750</v>
      </c>
      <c r="C14" s="642">
        <v>45750</v>
      </c>
      <c r="D14" s="643" t="s">
        <v>58</v>
      </c>
      <c r="E14" s="643">
        <f t="shared" ca="1" si="4"/>
        <v>64</v>
      </c>
      <c r="F14" s="643" t="str">
        <f>IFERROR(VLOOKUP(G14,Recria[[Granja Recria]:[Emp+CC]],4,0),"")</f>
        <v>139_49</v>
      </c>
      <c r="G14" s="644" t="s">
        <v>59</v>
      </c>
      <c r="H14" s="645" t="str">
        <f>IFERROR(VLOOKUP(G14,Recria[[Granja Recria]:[Núcleo]],2,0),"")</f>
        <v>(N1)</v>
      </c>
      <c r="I14" s="646"/>
      <c r="J14" s="640" t="s">
        <v>60</v>
      </c>
      <c r="K14" s="640">
        <v>27</v>
      </c>
      <c r="L14" s="803" t="str">
        <f>VLOOKUP(M14,Raca_Linhagem[],2,0)</f>
        <v>COBB</v>
      </c>
      <c r="M14" s="803" t="s">
        <v>21</v>
      </c>
      <c r="N14" s="647">
        <f t="shared" si="1"/>
        <v>45897</v>
      </c>
      <c r="O14" s="648" t="s">
        <v>61</v>
      </c>
      <c r="P14" s="648" t="str">
        <f>IFERROR(VLOOKUP(Q14,Producao[[Granja Produção]:[Emp+CC]],4,0),"")</f>
        <v>120_45</v>
      </c>
      <c r="Q14" s="649" t="s">
        <v>62</v>
      </c>
      <c r="R14" s="640" t="str">
        <f>IFERROR(VLOOKUP(Q14,Producao[[Granja Produção]:[Núcleo]],2,0),"")</f>
        <v>(N1)</v>
      </c>
      <c r="S14" s="650">
        <v>4246</v>
      </c>
      <c r="T14" s="651">
        <f t="shared" si="5"/>
        <v>46197</v>
      </c>
      <c r="U14" s="652">
        <v>64</v>
      </c>
      <c r="V14" s="1300">
        <f>N132-T14</f>
        <v>43</v>
      </c>
      <c r="W14" s="654">
        <f t="shared" si="3"/>
        <v>46240</v>
      </c>
      <c r="X14" s="1083" t="str">
        <f>VLOOKUP(Q14,Q65:Q201,1,0)</f>
        <v>São Pedro - PR</v>
      </c>
      <c r="Y14" s="1229">
        <f>SUMIF($Q$115:Q204,X14,$S$115:S204)</f>
        <v>26000</v>
      </c>
      <c r="AA14" s="818"/>
      <c r="AD14" s="1312"/>
      <c r="AE14" s="1312"/>
      <c r="AF14" s="1312"/>
    </row>
    <row r="15" spans="1:32">
      <c r="A15" s="640" t="s">
        <v>17</v>
      </c>
      <c r="B15" s="641">
        <v>45750</v>
      </c>
      <c r="C15" s="642">
        <v>45750</v>
      </c>
      <c r="D15" s="643" t="s">
        <v>58</v>
      </c>
      <c r="E15" s="643">
        <f t="shared" ca="1" si="4"/>
        <v>65</v>
      </c>
      <c r="F15" s="643" t="str">
        <f>IFERROR(VLOOKUP(G15,Recria[[Granja Recria]:[Emp+CC]],4,0),"")</f>
        <v>139_49</v>
      </c>
      <c r="G15" s="644" t="s">
        <v>59</v>
      </c>
      <c r="H15" s="645" t="str">
        <f>IFERROR(VLOOKUP(G15,Recria[[Granja Recria]:[Núcleo]],2,0),"")</f>
        <v>(N1)</v>
      </c>
      <c r="I15" s="646"/>
      <c r="J15" s="640" t="s">
        <v>60</v>
      </c>
      <c r="K15" s="640">
        <v>27</v>
      </c>
      <c r="L15" s="803" t="str">
        <f>VLOOKUP(M15,Raca_Linhagem[],2,0)</f>
        <v>COBB</v>
      </c>
      <c r="M15" s="803" t="s">
        <v>21</v>
      </c>
      <c r="N15" s="647">
        <f t="shared" si="1"/>
        <v>45897</v>
      </c>
      <c r="O15" s="648" t="s">
        <v>63</v>
      </c>
      <c r="P15" s="648" t="str">
        <f>IFERROR(VLOOKUP(Q15,Producao[[Granja Produção]:[Emp+CC]],4,0),"")</f>
        <v>102_351</v>
      </c>
      <c r="Q15" s="649" t="s">
        <v>64</v>
      </c>
      <c r="R15" s="640" t="str">
        <f>IFERROR(VLOOKUP(Q15,Producao[[Granja Produção]:[Núcleo]],2,0),"")</f>
        <v>(N1)</v>
      </c>
      <c r="S15" s="650">
        <v>6648</v>
      </c>
      <c r="T15" s="881">
        <f t="shared" si="5"/>
        <v>46204</v>
      </c>
      <c r="U15" s="672">
        <v>65</v>
      </c>
      <c r="V15" s="880" t="s">
        <v>40</v>
      </c>
      <c r="W15" s="880" t="s">
        <v>40</v>
      </c>
      <c r="X15" s="882" t="e">
        <f>VLOOKUP(Q15,Q65:Q220,1,0)</f>
        <v>#N/A</v>
      </c>
      <c r="Y15" s="1229">
        <f>SUMIF($Q$115:Q204,X15,$S$115:S204)</f>
        <v>0</v>
      </c>
      <c r="AA15" s="818"/>
      <c r="AD15" s="1312"/>
      <c r="AE15" s="1312"/>
      <c r="AF15" s="1312"/>
    </row>
    <row r="16" spans="1:32">
      <c r="A16" s="640" t="s">
        <v>17</v>
      </c>
      <c r="B16" s="641">
        <v>45750</v>
      </c>
      <c r="C16" s="642">
        <v>45750</v>
      </c>
      <c r="D16" s="643" t="s">
        <v>58</v>
      </c>
      <c r="E16" s="643">
        <f t="shared" ca="1" si="4"/>
        <v>66</v>
      </c>
      <c r="F16" s="643" t="str">
        <f>IFERROR(VLOOKUP(G16,Recria[[Granja Recria]:[Emp+CC]],4,0),"")</f>
        <v>139_49</v>
      </c>
      <c r="G16" s="644" t="s">
        <v>59</v>
      </c>
      <c r="H16" s="645" t="str">
        <f>IFERROR(VLOOKUP(G16,Recria[[Granja Recria]:[Núcleo]],2,0),"")</f>
        <v>(N1)</v>
      </c>
      <c r="I16" s="646"/>
      <c r="J16" s="640" t="s">
        <v>60</v>
      </c>
      <c r="K16" s="640">
        <v>27</v>
      </c>
      <c r="L16" s="803" t="str">
        <f>VLOOKUP(M16,Raca_Linhagem[],2,0)</f>
        <v>COBB</v>
      </c>
      <c r="M16" s="803" t="s">
        <v>21</v>
      </c>
      <c r="N16" s="647">
        <f t="shared" si="1"/>
        <v>45897</v>
      </c>
      <c r="O16" s="675"/>
      <c r="P16" s="675" t="str">
        <f>IFERROR(VLOOKUP(Q16,Producao[[Granja Produção]:[Emp+CC]],4,0),"")</f>
        <v>130_451</v>
      </c>
      <c r="Q16" s="649" t="s">
        <v>65</v>
      </c>
      <c r="R16" s="640" t="str">
        <f>IFERROR(VLOOKUP(Q16,Producao[[Granja Produção]:[Núcleo]],2,0),"")</f>
        <v>(N1)</v>
      </c>
      <c r="S16" s="650">
        <v>5992</v>
      </c>
      <c r="T16" s="679">
        <f t="shared" si="5"/>
        <v>46211</v>
      </c>
      <c r="U16" s="680">
        <v>66</v>
      </c>
      <c r="V16" s="682">
        <v>43</v>
      </c>
      <c r="W16" s="681">
        <f>IFERROR(T16+V16," ")</f>
        <v>46254</v>
      </c>
      <c r="X16" s="802" t="str">
        <f>VLOOKUP(Q16,Q66:Q206,1,0)</f>
        <v>Brodoski - SP</v>
      </c>
      <c r="Y16" s="1229">
        <f>SUMIF($Q$115:Q206,X16,$S$115:S206)</f>
        <v>8000</v>
      </c>
      <c r="AA16" s="818"/>
      <c r="AD16" s="1312"/>
      <c r="AE16" s="1312"/>
      <c r="AF16" s="1312"/>
    </row>
    <row r="17" spans="1:36">
      <c r="A17" s="684" t="s">
        <v>17</v>
      </c>
      <c r="B17" s="685">
        <v>45750</v>
      </c>
      <c r="C17" s="686">
        <v>45750</v>
      </c>
      <c r="D17" s="687" t="s">
        <v>66</v>
      </c>
      <c r="E17" s="687">
        <f t="shared" ca="1" si="4"/>
        <v>64</v>
      </c>
      <c r="F17" s="687" t="str">
        <f>IFERROR(VLOOKUP(G17,Recria[[Granja Recria]:[Emp+CC]],4,0),"")</f>
        <v>139_49</v>
      </c>
      <c r="G17" s="688" t="s">
        <v>59</v>
      </c>
      <c r="H17" s="689" t="str">
        <f>IFERROR(VLOOKUP(G17,Recria[[Granja Recria]:[Núcleo]],2,0),"")</f>
        <v>(N1)</v>
      </c>
      <c r="I17" s="690">
        <v>45000</v>
      </c>
      <c r="J17" s="684" t="s">
        <v>60</v>
      </c>
      <c r="K17" s="691">
        <v>27</v>
      </c>
      <c r="L17" s="803" t="str">
        <f>VLOOKUP(M17,Raca_Linhagem[],2,0)</f>
        <v>COBB</v>
      </c>
      <c r="M17" s="803" t="s">
        <v>21</v>
      </c>
      <c r="N17" s="647">
        <f t="shared" si="1"/>
        <v>45897</v>
      </c>
      <c r="O17" s="648" t="s">
        <v>61</v>
      </c>
      <c r="P17" s="648" t="str">
        <f>IFERROR(VLOOKUP(Q17,Producao[[Granja Produção]:[Emp+CC]],4,0),"")</f>
        <v>120_45</v>
      </c>
      <c r="Q17" s="649" t="s">
        <v>62</v>
      </c>
      <c r="R17" s="640" t="str">
        <f>IFERROR(VLOOKUP(Q17,Producao[[Granja Produção]:[Núcleo]],2,0),"")</f>
        <v>(N1)</v>
      </c>
      <c r="S17" s="650">
        <v>23000</v>
      </c>
      <c r="T17" s="651">
        <f t="shared" si="5"/>
        <v>46197</v>
      </c>
      <c r="U17" s="652">
        <v>64</v>
      </c>
      <c r="V17" s="1300">
        <f>N132-T14</f>
        <v>43</v>
      </c>
      <c r="W17" s="654">
        <f>IFERROR(T17+V17," ")</f>
        <v>46240</v>
      </c>
      <c r="X17" s="1083" t="str">
        <f>VLOOKUP(Q17,Q67:Q208,1,0)</f>
        <v>São Pedro - PR</v>
      </c>
      <c r="Y17" s="1229">
        <f>SUMIF($Q$115:Q208,X17,$S$115:S208)</f>
        <v>26000</v>
      </c>
      <c r="AA17" s="818"/>
      <c r="AD17" s="1312"/>
      <c r="AE17" s="1312"/>
      <c r="AF17" s="1312"/>
    </row>
    <row r="18" spans="1:36">
      <c r="A18" s="684" t="s">
        <v>17</v>
      </c>
      <c r="B18" s="685">
        <v>45750</v>
      </c>
      <c r="C18" s="686">
        <v>45750</v>
      </c>
      <c r="D18" s="687" t="s">
        <v>66</v>
      </c>
      <c r="E18" s="687">
        <f t="shared" ca="1" si="4"/>
        <v>66</v>
      </c>
      <c r="F18" s="687" t="str">
        <f>IFERROR(VLOOKUP(G18,Recria[[Granja Recria]:[Emp+CC]],4,0),"")</f>
        <v>139_49</v>
      </c>
      <c r="G18" s="688" t="s">
        <v>59</v>
      </c>
      <c r="H18" s="689" t="str">
        <f>IFERROR(VLOOKUP(G18,Recria[[Granja Recria]:[Núcleo]],2,0),"")</f>
        <v>(N1)</v>
      </c>
      <c r="I18" s="690"/>
      <c r="J18" s="684" t="s">
        <v>60</v>
      </c>
      <c r="K18" s="691">
        <v>27</v>
      </c>
      <c r="L18" s="803" t="str">
        <f>VLOOKUP(M18,Raca_Linhagem[],2,0)</f>
        <v>COBB</v>
      </c>
      <c r="M18" s="803" t="s">
        <v>21</v>
      </c>
      <c r="N18" s="647">
        <f t="shared" si="1"/>
        <v>45897</v>
      </c>
      <c r="O18" s="648" t="s">
        <v>63</v>
      </c>
      <c r="P18" s="648" t="str">
        <f>IFERROR(VLOOKUP(Q18,Producao[[Granja Produção]:[Emp+CC]],4,0),"")</f>
        <v>102_351</v>
      </c>
      <c r="Q18" s="649" t="s">
        <v>64</v>
      </c>
      <c r="R18" s="640" t="str">
        <f>IFERROR(VLOOKUP(Q18,Producao[[Granja Produção]:[Núcleo]],2,0),"")</f>
        <v>(N1)</v>
      </c>
      <c r="S18" s="650">
        <v>18000</v>
      </c>
      <c r="T18" s="881">
        <f t="shared" si="5"/>
        <v>46211</v>
      </c>
      <c r="U18" s="672">
        <v>66</v>
      </c>
      <c r="V18" s="880" t="s">
        <v>40</v>
      </c>
      <c r="W18" s="880" t="s">
        <v>40</v>
      </c>
      <c r="X18" s="882" t="e">
        <f>VLOOKUP(Q18,Q69:Q208,1,0)</f>
        <v>#N/A</v>
      </c>
      <c r="Y18" s="1229">
        <f>SUMIF($Q$115:Q210,X18,$S$115:S210)</f>
        <v>0</v>
      </c>
      <c r="AA18" s="818"/>
      <c r="AD18" s="1312"/>
      <c r="AE18" s="1312"/>
      <c r="AF18" s="1312"/>
    </row>
    <row r="19" spans="1:36">
      <c r="A19" s="684" t="s">
        <v>17</v>
      </c>
      <c r="B19" s="685">
        <v>45749</v>
      </c>
      <c r="C19" s="686">
        <v>45750</v>
      </c>
      <c r="D19" s="687" t="s">
        <v>67</v>
      </c>
      <c r="E19" s="687">
        <f t="shared" ca="1" si="4"/>
        <v>65</v>
      </c>
      <c r="F19" s="687" t="str">
        <f>IFERROR(VLOOKUP(G19,Recria[[Granja Recria]:[Emp+CC]],4,0),"")</f>
        <v>112_29</v>
      </c>
      <c r="G19" s="688" t="s">
        <v>68</v>
      </c>
      <c r="H19" s="689" t="str">
        <f>IFERROR(VLOOKUP(G19,Recria[[Granja Recria]:[Núcleo]],2,0),"")</f>
        <v>(N1)</v>
      </c>
      <c r="I19" s="690">
        <v>16000</v>
      </c>
      <c r="J19" s="684" t="s">
        <v>60</v>
      </c>
      <c r="K19" s="691">
        <v>22</v>
      </c>
      <c r="L19" s="803" t="str">
        <f>VLOOKUP(M19,Raca_Linhagem[],2,0)</f>
        <v>COBB</v>
      </c>
      <c r="M19" s="803" t="s">
        <v>21</v>
      </c>
      <c r="N19" s="647">
        <f t="shared" si="1"/>
        <v>45897</v>
      </c>
      <c r="O19" s="648" t="s">
        <v>53</v>
      </c>
      <c r="P19" s="648" t="str">
        <f>IFERROR(VLOOKUP(Q19,Producao[[Granja Produção]:[Emp+CC]],4,0),"")</f>
        <v>11_150</v>
      </c>
      <c r="Q19" s="649" t="s">
        <v>54</v>
      </c>
      <c r="R19" s="640" t="str">
        <f>IFERROR(VLOOKUP(Q19,Producao[[Granja Produção]:[Núcleo]],2,0),"")</f>
        <v>(N1)</v>
      </c>
      <c r="S19" s="650">
        <v>14900</v>
      </c>
      <c r="T19" s="651">
        <f t="shared" si="5"/>
        <v>46204</v>
      </c>
      <c r="U19" s="652">
        <v>65</v>
      </c>
      <c r="V19" s="1300">
        <f>N134-T10</f>
        <v>43</v>
      </c>
      <c r="W19" s="654">
        <f t="shared" ref="W19:W33" si="6">IFERROR(T19+V19," ")</f>
        <v>46247</v>
      </c>
      <c r="X19" s="1083" t="str">
        <f>VLOOKUP(Q19,Q70:Q259,1,0)</f>
        <v>São Roque - PR</v>
      </c>
      <c r="Y19" s="1229">
        <f>SUMIF($Q$115:Q211,X19,$S$115:S211)</f>
        <v>38744</v>
      </c>
      <c r="AA19" s="818"/>
      <c r="AD19" s="1312"/>
      <c r="AE19" s="1312"/>
      <c r="AF19" s="1312"/>
    </row>
    <row r="20" spans="1:36">
      <c r="A20" s="640" t="s">
        <v>17</v>
      </c>
      <c r="B20" s="641">
        <v>45758</v>
      </c>
      <c r="C20" s="642">
        <v>45757</v>
      </c>
      <c r="D20" s="643" t="s">
        <v>69</v>
      </c>
      <c r="E20" s="643">
        <f t="shared" ca="1" si="4"/>
        <v>64</v>
      </c>
      <c r="F20" s="643" t="str">
        <f>IFERROR(VLOOKUP(G20,Recria[[Granja Recria]:[Emp+CC]],4,0),"")</f>
        <v>112_29</v>
      </c>
      <c r="G20" s="644" t="s">
        <v>68</v>
      </c>
      <c r="H20" s="645" t="str">
        <f>IFERROR(VLOOKUP(G20,Recria[[Granja Recria]:[Núcleo]],2,0),"")</f>
        <v>(N1)</v>
      </c>
      <c r="I20" s="646">
        <v>107000</v>
      </c>
      <c r="J20" s="640" t="s">
        <v>60</v>
      </c>
      <c r="K20" s="640">
        <v>22</v>
      </c>
      <c r="L20" s="804" t="str">
        <f>VLOOKUP(M20,Raca_Linhagem[],2,0)</f>
        <v>ROSS</v>
      </c>
      <c r="M20" s="804" t="s">
        <v>26</v>
      </c>
      <c r="N20" s="647">
        <f t="shared" si="1"/>
        <v>45904</v>
      </c>
      <c r="O20" s="648" t="s">
        <v>70</v>
      </c>
      <c r="P20" s="648" t="str">
        <f>IFERROR(VLOOKUP(Q20,Producao[[Granja Produção]:[Emp+CC]],4,0),"")</f>
        <v>10_1027</v>
      </c>
      <c r="Q20" s="649" t="s">
        <v>71</v>
      </c>
      <c r="R20" s="640" t="str">
        <f>IFERROR(VLOOKUP(Q20,Producao[[Granja Produção]:[Núcleo]],2,0),"")</f>
        <v>(N1)</v>
      </c>
      <c r="S20" s="650">
        <v>69984</v>
      </c>
      <c r="T20" s="651">
        <f t="shared" si="5"/>
        <v>46204</v>
      </c>
      <c r="U20" s="652">
        <v>64</v>
      </c>
      <c r="V20" s="1300">
        <f>N141-T20</f>
        <v>64</v>
      </c>
      <c r="W20" s="654">
        <f t="shared" si="6"/>
        <v>46268</v>
      </c>
      <c r="X20" s="1083" t="str">
        <f>VLOOKUP(Q20,Q72:Q259,1,0)</f>
        <v>Bragapolis - PR</v>
      </c>
      <c r="Y20" s="1229">
        <f>SUMIF($Q$115:Q219,X20,$S$115:S219)</f>
        <v>71625</v>
      </c>
      <c r="AA20" s="818"/>
      <c r="AD20" s="1312"/>
      <c r="AE20" s="1312"/>
      <c r="AF20" s="1312"/>
    </row>
    <row r="21" spans="1:36">
      <c r="A21" s="640" t="s">
        <v>17</v>
      </c>
      <c r="B21" s="641">
        <v>45758</v>
      </c>
      <c r="C21" s="642">
        <v>45757</v>
      </c>
      <c r="D21" s="643" t="s">
        <v>69</v>
      </c>
      <c r="E21" s="643">
        <f t="shared" ca="1" si="4"/>
        <v>61</v>
      </c>
      <c r="F21" s="643" t="str">
        <f>IFERROR(VLOOKUP(G21,Recria[[Granja Recria]:[Emp+CC]],4,0),"")</f>
        <v>112_29</v>
      </c>
      <c r="G21" s="644" t="s">
        <v>68</v>
      </c>
      <c r="H21" s="645" t="str">
        <f>IFERROR(VLOOKUP(G21,Recria[[Granja Recria]:[Núcleo]],2,0),"")</f>
        <v>(N1)</v>
      </c>
      <c r="I21" s="646"/>
      <c r="J21" s="640" t="s">
        <v>60</v>
      </c>
      <c r="K21" s="640">
        <v>22</v>
      </c>
      <c r="L21" s="804" t="str">
        <f>VLOOKUP(M21,Raca_Linhagem[],2,0)</f>
        <v>ROSS</v>
      </c>
      <c r="M21" s="804" t="s">
        <v>26</v>
      </c>
      <c r="N21" s="647">
        <f t="shared" si="1"/>
        <v>45904</v>
      </c>
      <c r="O21" s="648" t="s">
        <v>72</v>
      </c>
      <c r="P21" s="648" t="str">
        <f>IFERROR(VLOOKUP(Q21,Producao[[Granja Produção]:[Emp+CC]],4,0),"")</f>
        <v>84_159</v>
      </c>
      <c r="Q21" s="649" t="s">
        <v>73</v>
      </c>
      <c r="R21" s="640" t="str">
        <f>IFERROR(VLOOKUP(Q21,Producao[[Granja Produção]:[Núcleo]],2,0),"")</f>
        <v>(N1)</v>
      </c>
      <c r="S21" s="650">
        <v>29848</v>
      </c>
      <c r="T21" s="651">
        <f t="shared" si="5"/>
        <v>46183</v>
      </c>
      <c r="U21" s="652">
        <v>61</v>
      </c>
      <c r="V21" s="1300">
        <f>N137-T21</f>
        <v>78</v>
      </c>
      <c r="W21" s="654">
        <f t="shared" si="6"/>
        <v>46261</v>
      </c>
      <c r="X21" s="1083" t="str">
        <f>VLOOKUP(Q21,Q72:Q213,1,0)</f>
        <v>Faxinal 1 - SC</v>
      </c>
      <c r="Y21" s="1229">
        <f>SUMIF($Q$115:Q212,X21,$S$115:S212)</f>
        <v>28000</v>
      </c>
      <c r="AA21" s="818"/>
      <c r="AD21" s="1312"/>
      <c r="AE21" s="1312"/>
      <c r="AF21" s="1312"/>
    </row>
    <row r="22" spans="1:36">
      <c r="A22" s="684" t="s">
        <v>17</v>
      </c>
      <c r="B22" s="685">
        <v>45763</v>
      </c>
      <c r="C22" s="686">
        <v>45764</v>
      </c>
      <c r="D22" s="687" t="s">
        <v>74</v>
      </c>
      <c r="E22" s="687">
        <f t="shared" ca="1" si="4"/>
        <v>67</v>
      </c>
      <c r="F22" s="687" t="str">
        <f>IFERROR(VLOOKUP(G22,Recria[[Granja Recria]:[Emp+CC]],4,0),"")</f>
        <v>10_1938</v>
      </c>
      <c r="G22" s="688" t="s">
        <v>75</v>
      </c>
      <c r="H22" s="689" t="str">
        <f>IFERROR(VLOOKUP(G22,Recria[[Granja Recria]:[Núcleo]],2,0),"")</f>
        <v>(N1)</v>
      </c>
      <c r="I22" s="690">
        <v>28000</v>
      </c>
      <c r="J22" s="684" t="s">
        <v>20</v>
      </c>
      <c r="K22" s="691">
        <v>26</v>
      </c>
      <c r="L22" s="803" t="str">
        <f>VLOOKUP(M22,Raca_Linhagem[],2,0)</f>
        <v>COBB</v>
      </c>
      <c r="M22" s="803" t="s">
        <v>21</v>
      </c>
      <c r="N22" s="647">
        <f>C22+(24*7)-7+4</f>
        <v>45929</v>
      </c>
      <c r="O22" s="648" t="s">
        <v>76</v>
      </c>
      <c r="P22" s="648" t="str">
        <f>IFERROR(VLOOKUP(Q22,Producao[[Granja Produção]:[Emp+CC]],4,0),"")</f>
        <v>25_53</v>
      </c>
      <c r="Q22" s="649" t="s">
        <v>77</v>
      </c>
      <c r="R22" s="640" t="str">
        <f>IFERROR(VLOOKUP(Q22,Producao[[Granja Produção]:[Núcleo]],2,0),"")</f>
        <v>(N1)</v>
      </c>
      <c r="S22" s="650">
        <v>21763</v>
      </c>
      <c r="T22" s="651">
        <f t="shared" si="5"/>
        <v>46232</v>
      </c>
      <c r="U22" s="652">
        <v>67</v>
      </c>
      <c r="V22" s="1361">
        <f>N149-T22</f>
        <v>64</v>
      </c>
      <c r="W22" s="654">
        <f t="shared" si="6"/>
        <v>46296</v>
      </c>
      <c r="X22" s="1083" t="str">
        <f>VLOOKUP(Q22,Q73:Q214,1,0)</f>
        <v>Mariott - PR</v>
      </c>
      <c r="Y22" s="1229">
        <f>SUMIF($Q$115:Q213,X22,$S$115:S213)</f>
        <v>40000</v>
      </c>
      <c r="AA22" s="818"/>
      <c r="AB22" s="819"/>
      <c r="AD22" s="1312"/>
      <c r="AE22" s="1312"/>
      <c r="AF22" s="1312"/>
    </row>
    <row r="23" spans="1:36">
      <c r="A23" s="640" t="s">
        <v>17</v>
      </c>
      <c r="B23" s="641">
        <v>45773</v>
      </c>
      <c r="C23" s="642">
        <v>45771</v>
      </c>
      <c r="D23" s="643" t="s">
        <v>78</v>
      </c>
      <c r="E23" s="643">
        <f t="shared" ca="1" si="4"/>
        <v>66</v>
      </c>
      <c r="F23" s="643" t="str">
        <f>IFERROR(VLOOKUP(G23,Recria[[Granja Recria]:[Emp+CC]],4,0),"")</f>
        <v>112_16</v>
      </c>
      <c r="G23" s="644" t="s">
        <v>79</v>
      </c>
      <c r="H23" s="645" t="str">
        <f>IFERROR(VLOOKUP(G23,Recria[[Granja Recria]:[Núcleo]],2,0),"")</f>
        <v>(N3)</v>
      </c>
      <c r="I23" s="646">
        <v>60000</v>
      </c>
      <c r="J23" s="640" t="s">
        <v>60</v>
      </c>
      <c r="K23" s="640">
        <v>16</v>
      </c>
      <c r="L23" s="806" t="str">
        <f>VLOOKUP(M23,Raca_Linhagem[],2,0)</f>
        <v>COBB</v>
      </c>
      <c r="M23" s="806" t="s">
        <v>37</v>
      </c>
      <c r="N23" s="647">
        <f>C23+(22*7)-7</f>
        <v>45918</v>
      </c>
      <c r="O23" s="648" t="s">
        <v>80</v>
      </c>
      <c r="P23" s="648" t="str">
        <f>IFERROR(VLOOKUP(Q23,Producao[[Granja Produção]:[Emp+CC]],4,0),"")</f>
        <v>10_1296</v>
      </c>
      <c r="Q23" s="649" t="s">
        <v>81</v>
      </c>
      <c r="R23" s="640" t="str">
        <f>IFERROR(VLOOKUP(Q23,Producao[[Granja Produção]:[Núcleo]],2,0),"")</f>
        <v>(N2)</v>
      </c>
      <c r="S23" s="650">
        <v>60600</v>
      </c>
      <c r="T23" s="651">
        <f t="shared" si="5"/>
        <v>46232</v>
      </c>
      <c r="U23" s="652">
        <v>66</v>
      </c>
      <c r="V23" s="1300">
        <f>N142-T23</f>
        <v>50</v>
      </c>
      <c r="W23" s="654">
        <f t="shared" si="6"/>
        <v>46282</v>
      </c>
      <c r="X23" s="1083" t="str">
        <f>VLOOKUP(Q23,Q75:Q214,1,0)</f>
        <v>Canguçu 2 - PR</v>
      </c>
      <c r="Y23" s="1229">
        <f>SUMIF($Q$115:Q214,X23,$S$115:S214)</f>
        <v>57000</v>
      </c>
      <c r="AA23" s="818"/>
      <c r="AD23" s="1312"/>
      <c r="AE23" s="1312"/>
      <c r="AF23" s="1312"/>
    </row>
    <row r="24" spans="1:36">
      <c r="A24" s="640" t="s">
        <v>17</v>
      </c>
      <c r="B24" s="641">
        <v>45771</v>
      </c>
      <c r="C24" s="642">
        <v>45771</v>
      </c>
      <c r="D24" s="643" t="s">
        <v>82</v>
      </c>
      <c r="E24" s="643">
        <f t="shared" ca="1" si="4"/>
        <v>66</v>
      </c>
      <c r="F24" s="643" t="str">
        <f>IFERROR(VLOOKUP(G24,Recria[[Granja Recria]:[Emp+CC]],4,0),"")</f>
        <v>112_1939</v>
      </c>
      <c r="G24" s="644" t="s">
        <v>83</v>
      </c>
      <c r="H24" s="645" t="str">
        <f>IFERROR(VLOOKUP(G24,Recria[[Granja Recria]:[Núcleo]],2,0),"")</f>
        <v>(N4)</v>
      </c>
      <c r="I24" s="646">
        <v>44000</v>
      </c>
      <c r="J24" s="640" t="s">
        <v>60</v>
      </c>
      <c r="K24" s="640">
        <v>35</v>
      </c>
      <c r="L24" s="803" t="str">
        <f>VLOOKUP(M24,Raca_Linhagem[],2,0)</f>
        <v>COBB</v>
      </c>
      <c r="M24" s="803" t="s">
        <v>21</v>
      </c>
      <c r="N24" s="647">
        <f>C24+(22*7)-7</f>
        <v>45918</v>
      </c>
      <c r="O24" s="648" t="s">
        <v>84</v>
      </c>
      <c r="P24" s="648" t="str">
        <f>IFERROR(VLOOKUP(Q24,Producao[[Granja Produção]:[Emp+CC]],4,0),"")</f>
        <v>17_105</v>
      </c>
      <c r="Q24" s="649" t="s">
        <v>85</v>
      </c>
      <c r="R24" s="640" t="str">
        <f>IFERROR(VLOOKUP(Q24,Producao[[Granja Produção]:[Núcleo]],2,0),"")</f>
        <v>(N2)</v>
      </c>
      <c r="S24" s="650">
        <v>42933</v>
      </c>
      <c r="T24" s="651">
        <f t="shared" si="5"/>
        <v>46232</v>
      </c>
      <c r="U24" s="652">
        <v>66</v>
      </c>
      <c r="V24" s="1300">
        <f>N140-T24</f>
        <v>36</v>
      </c>
      <c r="W24" s="654">
        <f t="shared" si="6"/>
        <v>46268</v>
      </c>
      <c r="X24" s="1083" t="str">
        <f>VLOOKUP(Q24,Q75:Q220,1,0)</f>
        <v>Bela Vista 2 - PR</v>
      </c>
      <c r="Y24" s="1229">
        <f>SUMIF($Q$115:Q215,X24,$S$115:S215)</f>
        <v>42000</v>
      </c>
      <c r="AA24" s="818"/>
      <c r="AD24" s="1312"/>
      <c r="AE24" s="1312"/>
      <c r="AF24" s="1312"/>
    </row>
    <row r="25" spans="1:36">
      <c r="A25" s="640" t="s">
        <v>17</v>
      </c>
      <c r="B25" s="641">
        <v>45780</v>
      </c>
      <c r="C25" s="642">
        <v>45778</v>
      </c>
      <c r="D25" s="643" t="s">
        <v>82</v>
      </c>
      <c r="E25" s="643">
        <f t="shared" ca="1" si="4"/>
        <v>67</v>
      </c>
      <c r="F25" s="643" t="str">
        <f>IFERROR(VLOOKUP(G25,Recria[[Granja Recria]:[Emp+CC]],4,0),"")</f>
        <v>112_1939</v>
      </c>
      <c r="G25" s="644" t="s">
        <v>83</v>
      </c>
      <c r="H25" s="645" t="str">
        <f>IFERROR(VLOOKUP(G25,Recria[[Granja Recria]:[Núcleo]],2,0),"")</f>
        <v>(N4)</v>
      </c>
      <c r="I25" s="646">
        <v>40000</v>
      </c>
      <c r="J25" s="640" t="s">
        <v>60</v>
      </c>
      <c r="K25" s="640">
        <v>35</v>
      </c>
      <c r="L25" s="803" t="str">
        <f>VLOOKUP(M25,Raca_Linhagem[],2,0)</f>
        <v>COBB</v>
      </c>
      <c r="M25" s="803" t="s">
        <v>21</v>
      </c>
      <c r="N25" s="647">
        <f>C25+(22*7)-7</f>
        <v>45925</v>
      </c>
      <c r="O25" s="648" t="s">
        <v>86</v>
      </c>
      <c r="P25" s="648" t="str">
        <f>IFERROR(VLOOKUP(Q25,Producao[[Granja Produção]:[Emp+CC]],4,0),"")</f>
        <v>118_832</v>
      </c>
      <c r="Q25" s="649" t="s">
        <v>87</v>
      </c>
      <c r="R25" s="640" t="str">
        <f>IFERROR(VLOOKUP(Q25,Producao[[Granja Produção]:[Núcleo]],2,0),"")</f>
        <v>(N1)</v>
      </c>
      <c r="S25" s="650">
        <v>38624</v>
      </c>
      <c r="T25" s="651">
        <f t="shared" si="5"/>
        <v>46246</v>
      </c>
      <c r="U25" s="652">
        <v>67</v>
      </c>
      <c r="V25" s="1300">
        <f>N155-T25</f>
        <v>78</v>
      </c>
      <c r="W25" s="654">
        <f t="shared" si="6"/>
        <v>46324</v>
      </c>
      <c r="X25" s="1083" t="str">
        <f>VLOOKUP(Q25,Q76:Q220,1,0)</f>
        <v>Renascença 1 - PR</v>
      </c>
      <c r="Y25" s="1229">
        <f>SUMIF($Q$115:Q218,X25,$S$115:S218)</f>
        <v>57000</v>
      </c>
      <c r="AA25" s="818"/>
      <c r="AD25" s="1312"/>
      <c r="AE25" s="1312"/>
      <c r="AF25" s="1312"/>
    </row>
    <row r="26" spans="1:36">
      <c r="A26" s="684" t="s">
        <v>17</v>
      </c>
      <c r="B26" s="685">
        <v>45778</v>
      </c>
      <c r="C26" s="686">
        <v>45778</v>
      </c>
      <c r="D26" s="687" t="s">
        <v>88</v>
      </c>
      <c r="E26" s="687">
        <f t="shared" ca="1" si="4"/>
        <v>65</v>
      </c>
      <c r="F26" s="687" t="str">
        <f>IFERROR(VLOOKUP(G26,Recria[[Granja Recria]:[Emp+CC]],4,0),"")</f>
        <v>10_776</v>
      </c>
      <c r="G26" s="688" t="s">
        <v>89</v>
      </c>
      <c r="H26" s="689" t="str">
        <f>IFERROR(VLOOKUP(G26,Recria[[Granja Recria]:[Núcleo]],2,0),"")</f>
        <v>(N3)</v>
      </c>
      <c r="I26" s="690">
        <v>28000</v>
      </c>
      <c r="J26" s="684" t="s">
        <v>60</v>
      </c>
      <c r="K26" s="691">
        <v>16</v>
      </c>
      <c r="L26" s="803" t="str">
        <f>VLOOKUP(M26,Raca_Linhagem[],2,0)</f>
        <v>COBB</v>
      </c>
      <c r="M26" s="803" t="s">
        <v>21</v>
      </c>
      <c r="N26" s="647">
        <f>C26+(8*7)-7</f>
        <v>45827</v>
      </c>
      <c r="O26" s="648" t="s">
        <v>76</v>
      </c>
      <c r="P26" s="648" t="str">
        <f>IFERROR(VLOOKUP(Q26,Producao[[Granja Produção]:[Emp+CC]],4,0),"")</f>
        <v>25_53</v>
      </c>
      <c r="Q26" s="649" t="s">
        <v>77</v>
      </c>
      <c r="R26" s="640" t="str">
        <f>IFERROR(VLOOKUP(Q26,Producao[[Granja Produção]:[Núcleo]],2,0),"")</f>
        <v>(N1)</v>
      </c>
      <c r="S26" s="650">
        <v>21661</v>
      </c>
      <c r="T26" s="651">
        <f t="shared" si="5"/>
        <v>46232</v>
      </c>
      <c r="U26" s="652">
        <v>65</v>
      </c>
      <c r="V26" s="1361">
        <f>N149-T22</f>
        <v>64</v>
      </c>
      <c r="W26" s="654">
        <f t="shared" si="6"/>
        <v>46296</v>
      </c>
      <c r="X26" s="1083" t="str">
        <f>VLOOKUP(Q26,Q77:Q220,1,0)</f>
        <v>Mariott - PR</v>
      </c>
      <c r="Y26" s="1229">
        <f>SUMIF($Q$115:Q220,X26,$S$115:S220)</f>
        <v>40000</v>
      </c>
      <c r="AA26" s="818"/>
      <c r="AD26" s="1312"/>
      <c r="AE26" s="1312"/>
      <c r="AF26" s="1312"/>
    </row>
    <row r="27" spans="1:36">
      <c r="A27" s="640" t="s">
        <v>17</v>
      </c>
      <c r="B27" s="641">
        <v>45779</v>
      </c>
      <c r="C27" s="642">
        <v>45778</v>
      </c>
      <c r="D27" s="643" t="s">
        <v>90</v>
      </c>
      <c r="E27" s="643">
        <f t="shared" ca="1" si="4"/>
        <v>66</v>
      </c>
      <c r="F27" s="643" t="str">
        <f>IFERROR(VLOOKUP(G27,Recria[[Granja Recria]:[Emp+CC]],4,0),"")</f>
        <v>10_776</v>
      </c>
      <c r="G27" s="644" t="s">
        <v>89</v>
      </c>
      <c r="H27" s="645" t="str">
        <f>IFERROR(VLOOKUP(G27,Recria[[Granja Recria]:[Núcleo]],2,0),"")</f>
        <v>(N3)</v>
      </c>
      <c r="I27" s="646">
        <v>67392</v>
      </c>
      <c r="J27" s="640" t="s">
        <v>60</v>
      </c>
      <c r="K27" s="640">
        <v>15</v>
      </c>
      <c r="L27" s="804" t="str">
        <f>VLOOKUP(M27,Raca_Linhagem[],2,0)</f>
        <v>ROSS</v>
      </c>
      <c r="M27" s="804" t="s">
        <v>26</v>
      </c>
      <c r="N27" s="647">
        <f t="shared" ref="N27:N43" si="7">C27+(22*7)-7</f>
        <v>45925</v>
      </c>
      <c r="O27" s="648" t="s">
        <v>91</v>
      </c>
      <c r="P27" s="648" t="str">
        <f>IFERROR(VLOOKUP(Q27,Producao[[Granja Produção]:[Emp+CC]],4,0),"")</f>
        <v>10_1460</v>
      </c>
      <c r="Q27" s="649" t="s">
        <v>92</v>
      </c>
      <c r="R27" s="640" t="str">
        <f>IFERROR(VLOOKUP(Q27,Producao[[Granja Produção]:[Núcleo]],2,0),"")</f>
        <v>(N3)</v>
      </c>
      <c r="S27" s="650">
        <v>63000</v>
      </c>
      <c r="T27" s="651">
        <f t="shared" si="5"/>
        <v>46239</v>
      </c>
      <c r="U27" s="652">
        <v>66</v>
      </c>
      <c r="V27" s="1300">
        <f>N145-T27</f>
        <v>43</v>
      </c>
      <c r="W27" s="654">
        <f t="shared" si="6"/>
        <v>46282</v>
      </c>
      <c r="X27" s="1083" t="str">
        <f>VLOOKUP(Q27,Q78:Q303,1,0)</f>
        <v>Iguaçu 2 - PR</v>
      </c>
      <c r="Y27" s="1229">
        <f>SUMIF($Q$115:Q220,X27,$S$115:S220)</f>
        <v>59000</v>
      </c>
      <c r="AA27" s="818"/>
      <c r="AD27" s="1312"/>
      <c r="AE27" s="1312"/>
      <c r="AF27" s="1312"/>
    </row>
    <row r="28" spans="1:36">
      <c r="A28" s="640" t="s">
        <v>17</v>
      </c>
      <c r="B28" s="641">
        <v>45779</v>
      </c>
      <c r="C28" s="642">
        <v>45778</v>
      </c>
      <c r="D28" s="643" t="s">
        <v>90</v>
      </c>
      <c r="E28" s="643">
        <f t="shared" ca="1" si="4"/>
        <v>65</v>
      </c>
      <c r="F28" s="643" t="str">
        <f>IFERROR(VLOOKUP(G28,Recria[[Granja Recria]:[Emp+CC]],4,0),"")</f>
        <v>10_776</v>
      </c>
      <c r="G28" s="644" t="s">
        <v>89</v>
      </c>
      <c r="H28" s="645" t="str">
        <f>IFERROR(VLOOKUP(G28,Recria[[Granja Recria]:[Núcleo]],2,0),"")</f>
        <v>(N3)</v>
      </c>
      <c r="I28" s="646">
        <v>0</v>
      </c>
      <c r="J28" s="640" t="s">
        <v>60</v>
      </c>
      <c r="K28" s="640">
        <v>15</v>
      </c>
      <c r="L28" s="803" t="str">
        <f>VLOOKUP(M28,Raca_Linhagem[],2,0)</f>
        <v>COBB</v>
      </c>
      <c r="M28" s="803" t="s">
        <v>21</v>
      </c>
      <c r="N28" s="647">
        <f t="shared" si="7"/>
        <v>45925</v>
      </c>
      <c r="O28" s="692">
        <v>130025</v>
      </c>
      <c r="P28" s="648" t="str">
        <f>IFERROR(VLOOKUP(Q28,Producao[[Granja Produção]:[Emp+CC]],4,0),"")</f>
        <v>84_162</v>
      </c>
      <c r="Q28" s="649" t="s">
        <v>93</v>
      </c>
      <c r="R28" s="640" t="str">
        <f>IFERROR(VLOOKUP(Q28,Producao[[Granja Produção]:[Núcleo]],2,0),"")</f>
        <v>(N2)</v>
      </c>
      <c r="S28" s="650">
        <v>6000</v>
      </c>
      <c r="T28" s="651">
        <f t="shared" si="5"/>
        <v>46232</v>
      </c>
      <c r="U28" s="652">
        <v>65</v>
      </c>
      <c r="V28" s="1300">
        <f>N147-T28</f>
        <v>57</v>
      </c>
      <c r="W28" s="654">
        <f t="shared" si="6"/>
        <v>46289</v>
      </c>
      <c r="X28" s="1083" t="str">
        <f>VLOOKUP(Q28,Q80:Q303,1,0)</f>
        <v>Faxinal 2 - SC</v>
      </c>
      <c r="Y28" s="1229">
        <f>SUMIF($Q$115:Q220,X28,$S$115:S220)</f>
        <v>15000</v>
      </c>
      <c r="AA28" s="818"/>
      <c r="AD28" s="1312"/>
      <c r="AE28" s="1312"/>
      <c r="AF28" s="1312"/>
    </row>
    <row r="29" spans="1:36">
      <c r="A29" s="684" t="s">
        <v>17</v>
      </c>
      <c r="B29" s="685">
        <v>45780</v>
      </c>
      <c r="C29" s="686">
        <v>45785</v>
      </c>
      <c r="D29" s="687" t="s">
        <v>94</v>
      </c>
      <c r="E29" s="687">
        <f t="shared" ca="1" si="4"/>
        <v>68</v>
      </c>
      <c r="F29" s="687" t="str">
        <f>IFERROR(VLOOKUP(G29,Recria[[Granja Recria]:[Emp+CC]],4,0),"")</f>
        <v>10_169</v>
      </c>
      <c r="G29" s="688" t="s">
        <v>95</v>
      </c>
      <c r="H29" s="689" t="str">
        <f>IFERROR(VLOOKUP(G29,Recria[[Granja Recria]:[Núcleo]],2,0),"")</f>
        <v>(N1)</v>
      </c>
      <c r="I29" s="690">
        <v>16000</v>
      </c>
      <c r="J29" s="684" t="s">
        <v>48</v>
      </c>
      <c r="K29" s="691">
        <v>33</v>
      </c>
      <c r="L29" s="803" t="str">
        <f>VLOOKUP(M29,Raca_Linhagem[],2,0)</f>
        <v>COBB</v>
      </c>
      <c r="M29" s="803" t="s">
        <v>21</v>
      </c>
      <c r="N29" s="647">
        <f t="shared" si="7"/>
        <v>45932</v>
      </c>
      <c r="O29" s="648" t="s">
        <v>96</v>
      </c>
      <c r="P29" s="648" t="str">
        <f>IFERROR(VLOOKUP(Q29,Producao[[Granja Produção]:[Emp+CC]],4,0),"")</f>
        <v>10_734</v>
      </c>
      <c r="Q29" s="649" t="s">
        <v>97</v>
      </c>
      <c r="R29" s="640" t="str">
        <f>IFERROR(VLOOKUP(Q29,Producao[[Granja Produção]:[Núcleo]],2,0),"")</f>
        <v>(N1)</v>
      </c>
      <c r="S29" s="650">
        <v>13000</v>
      </c>
      <c r="T29" s="881">
        <f t="shared" si="5"/>
        <v>46260</v>
      </c>
      <c r="U29" s="672">
        <v>68</v>
      </c>
      <c r="V29" s="1226" t="s">
        <v>40</v>
      </c>
      <c r="W29" s="1227" t="str">
        <f t="shared" si="6"/>
        <v xml:space="preserve"> </v>
      </c>
      <c r="X29" s="1228" t="e">
        <f>VLOOKUP(Q29,Q81:Q303,1,0)</f>
        <v>#N/A</v>
      </c>
      <c r="Y29" s="1229">
        <f>SUMIF($Q$115:Q222,X29,$S$115:S222)</f>
        <v>0</v>
      </c>
      <c r="AA29" s="818"/>
      <c r="AD29" s="1312"/>
      <c r="AE29" s="1312"/>
      <c r="AF29" s="1312"/>
    </row>
    <row r="30" spans="1:36">
      <c r="A30" s="640" t="s">
        <v>17</v>
      </c>
      <c r="B30" s="641">
        <v>45783</v>
      </c>
      <c r="C30" s="642">
        <v>45785</v>
      </c>
      <c r="D30" s="643" t="s">
        <v>98</v>
      </c>
      <c r="E30" s="643">
        <f t="shared" ca="1" si="4"/>
        <v>66</v>
      </c>
      <c r="F30" s="643" t="str">
        <f>IFERROR(VLOOKUP(G30,Recria[[Granja Recria]:[Emp+CC]],4,0),"")</f>
        <v>10_169</v>
      </c>
      <c r="G30" s="644" t="s">
        <v>95</v>
      </c>
      <c r="H30" s="645" t="str">
        <f>IFERROR(VLOOKUP(G30,Recria[[Granja Recria]:[Núcleo]],2,0),"")</f>
        <v>(N1)</v>
      </c>
      <c r="I30" s="646">
        <v>42000</v>
      </c>
      <c r="J30" s="640" t="s">
        <v>48</v>
      </c>
      <c r="K30" s="640">
        <v>33</v>
      </c>
      <c r="L30" s="803" t="str">
        <f>VLOOKUP(M30,Raca_Linhagem[],2,0)</f>
        <v>COBB</v>
      </c>
      <c r="M30" s="803" t="s">
        <v>21</v>
      </c>
      <c r="N30" s="647">
        <f t="shared" si="7"/>
        <v>45932</v>
      </c>
      <c r="O30" s="648" t="s">
        <v>86</v>
      </c>
      <c r="P30" s="648" t="str">
        <f>IFERROR(VLOOKUP(Q30,Producao[[Granja Produção]:[Emp+CC]],4,0),"")</f>
        <v>118_832</v>
      </c>
      <c r="Q30" s="649" t="s">
        <v>87</v>
      </c>
      <c r="R30" s="640" t="str">
        <f>IFERROR(VLOOKUP(Q30,Producao[[Granja Produção]:[Núcleo]],2,0),"")</f>
        <v>(N1)</v>
      </c>
      <c r="S30" s="650">
        <v>22000</v>
      </c>
      <c r="T30" s="651">
        <f t="shared" si="5"/>
        <v>46246</v>
      </c>
      <c r="U30" s="652">
        <v>66</v>
      </c>
      <c r="V30" s="1300">
        <f>N155-T25</f>
        <v>78</v>
      </c>
      <c r="W30" s="654">
        <f t="shared" si="6"/>
        <v>46324</v>
      </c>
      <c r="X30" s="1083" t="str">
        <f>VLOOKUP(Q30,Q83:Q303,1,0)</f>
        <v>Renascença 1 - PR</v>
      </c>
      <c r="Y30" s="1229">
        <f>SUMIF($Q$115:Q224,X30,$S$115:S224)</f>
        <v>57000</v>
      </c>
      <c r="AA30" s="818"/>
      <c r="AD30" s="1312"/>
      <c r="AE30" s="1312"/>
      <c r="AF30" s="1312"/>
    </row>
    <row r="31" spans="1:36">
      <c r="A31" s="640" t="s">
        <v>17</v>
      </c>
      <c r="B31" s="641">
        <v>45783</v>
      </c>
      <c r="C31" s="642">
        <v>45785</v>
      </c>
      <c r="D31" s="643" t="s">
        <v>98</v>
      </c>
      <c r="E31" s="643">
        <f t="shared" ca="1" si="4"/>
        <v>64</v>
      </c>
      <c r="F31" s="643" t="str">
        <f>IFERROR(VLOOKUP(G31,Recria[[Granja Recria]:[Emp+CC]],4,0),"")</f>
        <v>10_169</v>
      </c>
      <c r="G31" s="644" t="s">
        <v>95</v>
      </c>
      <c r="H31" s="645" t="str">
        <f>IFERROR(VLOOKUP(G31,Recria[[Granja Recria]:[Núcleo]],2,0),"")</f>
        <v>(N1)</v>
      </c>
      <c r="I31" s="646"/>
      <c r="J31" s="640" t="s">
        <v>48</v>
      </c>
      <c r="K31" s="640">
        <v>33</v>
      </c>
      <c r="L31" s="803" t="str">
        <f>VLOOKUP(M31,Raca_Linhagem[],2,0)</f>
        <v>COBB</v>
      </c>
      <c r="M31" s="803" t="s">
        <v>21</v>
      </c>
      <c r="N31" s="647">
        <f t="shared" si="7"/>
        <v>45932</v>
      </c>
      <c r="O31" s="692">
        <v>130025</v>
      </c>
      <c r="P31" s="648" t="str">
        <f>IFERROR(VLOOKUP(Q31,Producao[[Granja Produção]:[Emp+CC]],4,0),"")</f>
        <v>84_162</v>
      </c>
      <c r="Q31" s="649" t="s">
        <v>93</v>
      </c>
      <c r="R31" s="640" t="str">
        <f>IFERROR(VLOOKUP(Q31,Producao[[Granja Produção]:[Núcleo]],2,0),"")</f>
        <v>(N2)</v>
      </c>
      <c r="S31" s="650">
        <v>9000</v>
      </c>
      <c r="T31" s="651">
        <f t="shared" si="5"/>
        <v>46232</v>
      </c>
      <c r="U31" s="652">
        <v>64</v>
      </c>
      <c r="V31" s="1300">
        <f>N147-T28</f>
        <v>57</v>
      </c>
      <c r="W31" s="654">
        <f t="shared" si="6"/>
        <v>46289</v>
      </c>
      <c r="X31" s="1083" t="str">
        <f>VLOOKUP(Q31,Q85:Q303,1,0)</f>
        <v>Faxinal 2 - SC</v>
      </c>
      <c r="Y31" s="1229">
        <f>SUMIF($Q$115:Q225,X31,$S$115:S225)</f>
        <v>15000</v>
      </c>
      <c r="AA31" s="818"/>
      <c r="AD31" s="1312"/>
      <c r="AE31" s="1312"/>
      <c r="AF31" s="1312"/>
    </row>
    <row r="32" spans="1:36">
      <c r="A32" s="640" t="s">
        <v>17</v>
      </c>
      <c r="B32" s="641">
        <v>45783</v>
      </c>
      <c r="C32" s="642">
        <v>45785</v>
      </c>
      <c r="D32" s="643" t="s">
        <v>98</v>
      </c>
      <c r="E32" s="643">
        <f t="shared" ca="1" si="4"/>
        <v>67</v>
      </c>
      <c r="F32" s="643" t="str">
        <f>IFERROR(VLOOKUP(G32,Recria[[Granja Recria]:[Emp+CC]],4,0),"")</f>
        <v>10_169</v>
      </c>
      <c r="G32" s="644" t="s">
        <v>95</v>
      </c>
      <c r="H32" s="645" t="str">
        <f>IFERROR(VLOOKUP(G32,Recria[[Granja Recria]:[Núcleo]],2,0),"")</f>
        <v>(N1)</v>
      </c>
      <c r="I32" s="646"/>
      <c r="J32" s="640" t="s">
        <v>48</v>
      </c>
      <c r="K32" s="640">
        <v>33</v>
      </c>
      <c r="L32" s="803" t="str">
        <f>VLOOKUP(M32,Raca_Linhagem[],2,0)</f>
        <v>COBB</v>
      </c>
      <c r="M32" s="803" t="s">
        <v>21</v>
      </c>
      <c r="N32" s="647">
        <f t="shared" si="7"/>
        <v>45932</v>
      </c>
      <c r="O32" s="692">
        <v>130125</v>
      </c>
      <c r="P32" s="648" t="str">
        <f>IFERROR(VLOOKUP(Q32,Producao[[Granja Produção]:[Emp+CC]],4,0),"")</f>
        <v>10_397</v>
      </c>
      <c r="Q32" s="649" t="s">
        <v>99</v>
      </c>
      <c r="R32" s="640" t="str">
        <f>IFERROR(VLOOKUP(Q32,Producao[[Granja Produção]:[Núcleo]],2,0),"")</f>
        <v>(N1)</v>
      </c>
      <c r="S32" s="650">
        <v>12600</v>
      </c>
      <c r="T32" s="669">
        <f t="shared" si="5"/>
        <v>46253</v>
      </c>
      <c r="U32" s="670">
        <v>67</v>
      </c>
      <c r="V32" s="1300">
        <f>N156-T32</f>
        <v>71</v>
      </c>
      <c r="W32" s="671">
        <f t="shared" si="6"/>
        <v>46324</v>
      </c>
      <c r="X32" s="1083" t="str">
        <f>VLOOKUP(Q32,Q86:Q303,1,0)</f>
        <v>Nona Tere - PR</v>
      </c>
      <c r="Y32" s="1229">
        <f>SUMIF($Q$115:Q226,X32,$S$115:S226)</f>
        <v>57000</v>
      </c>
      <c r="AA32" s="818"/>
      <c r="AD32" s="1312"/>
      <c r="AE32" s="1312"/>
      <c r="AF32" s="1312"/>
      <c r="AI32" s="1319"/>
      <c r="AJ32" s="818"/>
    </row>
    <row r="33" spans="1:36">
      <c r="A33" s="640" t="s">
        <v>17</v>
      </c>
      <c r="B33" s="641">
        <v>45804</v>
      </c>
      <c r="C33" s="642">
        <v>45799</v>
      </c>
      <c r="D33" s="643" t="s">
        <v>100</v>
      </c>
      <c r="E33" s="643">
        <f t="shared" ca="1" si="4"/>
        <v>65</v>
      </c>
      <c r="F33" s="643" t="str">
        <f>IFERROR(VLOOKUP(G33,Recria[[Granja Recria]:[Emp+CC]],4,0),"")</f>
        <v>10_1250</v>
      </c>
      <c r="G33" s="644" t="s">
        <v>101</v>
      </c>
      <c r="H33" s="645" t="str">
        <f>IFERROR(VLOOKUP(G33,Recria[[Granja Recria]:[Núcleo]],2,0),"")</f>
        <v>(N2)</v>
      </c>
      <c r="I33" s="646">
        <v>60000</v>
      </c>
      <c r="J33" s="640" t="s">
        <v>45</v>
      </c>
      <c r="K33" s="640">
        <v>49</v>
      </c>
      <c r="L33" s="803" t="str">
        <f>VLOOKUP(M33,Raca_Linhagem[],2,0)</f>
        <v>COBB</v>
      </c>
      <c r="M33" s="803" t="s">
        <v>21</v>
      </c>
      <c r="N33" s="647">
        <f t="shared" si="7"/>
        <v>45946</v>
      </c>
      <c r="O33" s="692">
        <v>130125</v>
      </c>
      <c r="P33" s="648" t="str">
        <f>IFERROR(VLOOKUP(Q33,Producao[[Granja Produção]:[Emp+CC]],4,0),"")</f>
        <v>10_397</v>
      </c>
      <c r="Q33" s="649" t="s">
        <v>99</v>
      </c>
      <c r="R33" s="640" t="str">
        <f>IFERROR(VLOOKUP(Q33,Producao[[Granja Produção]:[Núcleo]],2,0),"")</f>
        <v>(N1)</v>
      </c>
      <c r="S33" s="650">
        <v>47400</v>
      </c>
      <c r="T33" s="669">
        <f t="shared" si="5"/>
        <v>46253</v>
      </c>
      <c r="U33" s="670">
        <v>65</v>
      </c>
      <c r="V33" s="1300">
        <f>N156-T32</f>
        <v>71</v>
      </c>
      <c r="W33" s="671">
        <f t="shared" si="6"/>
        <v>46324</v>
      </c>
      <c r="X33" s="1083" t="str">
        <f>VLOOKUP(Q33,Q89:Q303,1,0)</f>
        <v>Nona Tere - PR</v>
      </c>
      <c r="Y33" s="1229">
        <f>SUMIF($Q$115:Q231,X33,$S$115:S231)</f>
        <v>57000</v>
      </c>
      <c r="AA33" s="818"/>
      <c r="AD33" s="1312"/>
      <c r="AE33" s="1312"/>
      <c r="AF33" s="1312"/>
      <c r="AI33" s="1319"/>
      <c r="AJ33" s="818"/>
    </row>
    <row r="34" spans="1:36">
      <c r="A34" s="640" t="s">
        <v>17</v>
      </c>
      <c r="B34" s="641">
        <v>45804</v>
      </c>
      <c r="C34" s="642">
        <v>45799</v>
      </c>
      <c r="D34" s="643" t="s">
        <v>100</v>
      </c>
      <c r="E34" s="643">
        <f t="shared" ca="1" si="4"/>
        <v>66</v>
      </c>
      <c r="F34" s="643" t="str">
        <f>IFERROR(VLOOKUP(G34,Recria[[Granja Recria]:[Emp+CC]],4,0),"")</f>
        <v>10_1250</v>
      </c>
      <c r="G34" s="644" t="s">
        <v>101</v>
      </c>
      <c r="H34" s="645" t="str">
        <f>IFERROR(VLOOKUP(G34,Recria[[Granja Recria]:[Núcleo]],2,0),"")</f>
        <v>(N2)</v>
      </c>
      <c r="I34" s="646">
        <v>0</v>
      </c>
      <c r="J34" s="640" t="s">
        <v>45</v>
      </c>
      <c r="K34" s="640">
        <v>49</v>
      </c>
      <c r="L34" s="804" t="str">
        <f>VLOOKUP(M34,Raca_Linhagem[],2,0)</f>
        <v>ROSS</v>
      </c>
      <c r="M34" s="804" t="s">
        <v>26</v>
      </c>
      <c r="N34" s="647">
        <f t="shared" si="7"/>
        <v>45946</v>
      </c>
      <c r="O34" s="692">
        <v>130225</v>
      </c>
      <c r="P34" s="648" t="str">
        <f>IFERROR(VLOOKUP(Q34,Producao[[Granja Produção]:[Emp+CC]],4,0),"")</f>
        <v>10_179</v>
      </c>
      <c r="Q34" s="649" t="s">
        <v>102</v>
      </c>
      <c r="R34" s="640" t="str">
        <f>IFERROR(VLOOKUP(Q34,Producao[[Granja Produção]:[Núcleo]],2,0),"")</f>
        <v>(N1)</v>
      </c>
      <c r="S34" s="650">
        <v>9600</v>
      </c>
      <c r="T34" s="881">
        <f t="shared" si="5"/>
        <v>46260</v>
      </c>
      <c r="U34" s="672">
        <v>66</v>
      </c>
      <c r="V34" s="880" t="s">
        <v>40</v>
      </c>
      <c r="W34" s="880" t="s">
        <v>40</v>
      </c>
      <c r="X34" s="882" t="e">
        <f>VLOOKUP(Q34,Q90:Q288,1,0)</f>
        <v>#N/A</v>
      </c>
      <c r="Y34" s="1229">
        <f>SUMIF($Q$115:Q231,X34,$S$115:S231)</f>
        <v>0</v>
      </c>
      <c r="AA34" s="818"/>
      <c r="AD34" s="1312"/>
      <c r="AE34" s="1312"/>
      <c r="AF34" s="1312"/>
      <c r="AI34" s="1319"/>
      <c r="AJ34" s="818"/>
    </row>
    <row r="35" spans="1:36">
      <c r="A35" s="640" t="s">
        <v>17</v>
      </c>
      <c r="B35" s="641">
        <v>45805</v>
      </c>
      <c r="C35" s="642">
        <v>45806</v>
      </c>
      <c r="D35" s="643" t="s">
        <v>103</v>
      </c>
      <c r="E35" s="643">
        <f t="shared" ca="1" si="4"/>
        <v>67</v>
      </c>
      <c r="F35" s="643" t="str">
        <f>IFERROR(VLOOKUP(G35,Recria[[Granja Recria]:[Emp+CC]],4,0),"")</f>
        <v>10_369</v>
      </c>
      <c r="G35" s="644" t="s">
        <v>104</v>
      </c>
      <c r="H35" s="645" t="str">
        <f>IFERROR(VLOOKUP(G35,Recria[[Granja Recria]:[Núcleo]],2,0),"")</f>
        <v>(N2)</v>
      </c>
      <c r="I35" s="646">
        <v>72000</v>
      </c>
      <c r="J35" s="640" t="s">
        <v>60</v>
      </c>
      <c r="K35" s="640">
        <v>12</v>
      </c>
      <c r="L35" s="804" t="str">
        <f>VLOOKUP(M35,Raca_Linhagem[],2,0)</f>
        <v>ROSS</v>
      </c>
      <c r="M35" s="804" t="s">
        <v>26</v>
      </c>
      <c r="N35" s="647">
        <f t="shared" si="7"/>
        <v>45953</v>
      </c>
      <c r="O35" s="692">
        <v>130325</v>
      </c>
      <c r="P35" s="648" t="str">
        <f>IFERROR(VLOOKUP(Q35,Producao[[Granja Produção]:[Emp+CC]],4,0),"")</f>
        <v>10_48</v>
      </c>
      <c r="Q35" s="649" t="s">
        <v>105</v>
      </c>
      <c r="R35" s="640" t="str">
        <f>IFERROR(VLOOKUP(Q35,Producao[[Granja Produção]:[Núcleo]],2,0),"")</f>
        <v>(N1)</v>
      </c>
      <c r="S35" s="650">
        <v>42000</v>
      </c>
      <c r="T35" s="669">
        <f t="shared" si="5"/>
        <v>46274</v>
      </c>
      <c r="U35" s="670">
        <v>67</v>
      </c>
      <c r="V35" s="1301">
        <f>N153-T35</f>
        <v>29</v>
      </c>
      <c r="W35" s="671">
        <f>IFERROR(T35+V35," ")</f>
        <v>46303</v>
      </c>
      <c r="X35" s="1083" t="str">
        <f>VLOOKUP(Q35,Q91:Q288,1,0)</f>
        <v>São Miguel - PR</v>
      </c>
      <c r="Y35" s="1229">
        <f>SUMIF($Q$115:Q235,X35,$S$115:S235)</f>
        <v>40000</v>
      </c>
      <c r="AA35" s="818"/>
      <c r="AD35" s="1312"/>
      <c r="AE35" s="1312"/>
      <c r="AF35" s="1312"/>
      <c r="AI35" s="1319"/>
      <c r="AJ35" s="818"/>
    </row>
    <row r="36" spans="1:36">
      <c r="A36" s="640" t="s">
        <v>17</v>
      </c>
      <c r="B36" s="641">
        <v>45805</v>
      </c>
      <c r="C36" s="642">
        <v>45806</v>
      </c>
      <c r="D36" s="643" t="s">
        <v>103</v>
      </c>
      <c r="E36" s="643">
        <f t="shared" ca="1" si="4"/>
        <v>66</v>
      </c>
      <c r="F36" s="643" t="str">
        <f>IFERROR(VLOOKUP(G36,Recria[[Granja Recria]:[Emp+CC]],4,0),"")</f>
        <v>10_369</v>
      </c>
      <c r="G36" s="644" t="s">
        <v>104</v>
      </c>
      <c r="H36" s="645" t="str">
        <f>IFERROR(VLOOKUP(G36,Recria[[Granja Recria]:[Núcleo]],2,0),"")</f>
        <v>(N2)</v>
      </c>
      <c r="I36" s="646"/>
      <c r="J36" s="640" t="s">
        <v>60</v>
      </c>
      <c r="K36" s="640">
        <v>12</v>
      </c>
      <c r="L36" s="804" t="str">
        <f>VLOOKUP(M36,Raca_Linhagem[],2,0)</f>
        <v>ROSS</v>
      </c>
      <c r="M36" s="804" t="s">
        <v>26</v>
      </c>
      <c r="N36" s="647">
        <f t="shared" si="7"/>
        <v>45953</v>
      </c>
      <c r="O36" s="692">
        <v>130225</v>
      </c>
      <c r="P36" s="648" t="str">
        <f>IFERROR(VLOOKUP(Q36,Producao[[Granja Produção]:[Emp+CC]],4,0),"")</f>
        <v>10_179</v>
      </c>
      <c r="Q36" s="649" t="s">
        <v>102</v>
      </c>
      <c r="R36" s="640" t="str">
        <f>IFERROR(VLOOKUP(Q36,Producao[[Granja Produção]:[Núcleo]],2,0),"")</f>
        <v>(N1)</v>
      </c>
      <c r="S36" s="650">
        <v>27000</v>
      </c>
      <c r="T36" s="881">
        <f t="shared" si="5"/>
        <v>46267</v>
      </c>
      <c r="U36" s="672">
        <v>66</v>
      </c>
      <c r="V36" s="880" t="s">
        <v>40</v>
      </c>
      <c r="W36" s="880" t="s">
        <v>40</v>
      </c>
      <c r="X36" s="882" t="e">
        <f>VLOOKUP(Q36,Q92:Q288,1,0)</f>
        <v>#N/A</v>
      </c>
      <c r="Y36" s="1229">
        <f>SUMIF($Q$115:Q229,X36,$S$115:S229)</f>
        <v>0</v>
      </c>
      <c r="AA36" s="818"/>
      <c r="AD36" s="1312"/>
      <c r="AE36" s="1312"/>
      <c r="AF36" s="1312"/>
      <c r="AI36" s="1319"/>
      <c r="AJ36" s="818"/>
    </row>
    <row r="37" spans="1:36">
      <c r="A37" s="640" t="s">
        <v>17</v>
      </c>
      <c r="B37" s="641">
        <v>45807</v>
      </c>
      <c r="C37" s="642">
        <v>45806</v>
      </c>
      <c r="D37" s="643" t="s">
        <v>106</v>
      </c>
      <c r="E37" s="643">
        <f t="shared" ca="1" si="4"/>
        <v>66</v>
      </c>
      <c r="F37" s="643" t="str">
        <f>IFERROR(VLOOKUP(G37,Recria[[Granja Recria]:[Emp+CC]],4,0),"")</f>
        <v>10_140</v>
      </c>
      <c r="G37" s="644" t="s">
        <v>107</v>
      </c>
      <c r="H37" s="645" t="str">
        <f>IFERROR(VLOOKUP(G37,Recria[[Granja Recria]:[Núcleo]],2,0),"")</f>
        <v>(N1)</v>
      </c>
      <c r="I37" s="646">
        <v>42000</v>
      </c>
      <c r="J37" s="640" t="s">
        <v>45</v>
      </c>
      <c r="K37" s="640">
        <v>44</v>
      </c>
      <c r="L37" s="803" t="str">
        <f>VLOOKUP(M37,Raca_Linhagem[],2,0)</f>
        <v>COBB</v>
      </c>
      <c r="M37" s="803" t="s">
        <v>21</v>
      </c>
      <c r="N37" s="647">
        <f t="shared" si="7"/>
        <v>45953</v>
      </c>
      <c r="O37" s="692">
        <v>130425</v>
      </c>
      <c r="P37" s="648" t="str">
        <f>IFERROR(VLOOKUP(Q37,Producao[[Granja Produção]:[Emp+CC]],4,0),"")</f>
        <v>13_1458</v>
      </c>
      <c r="Q37" s="649" t="s">
        <v>108</v>
      </c>
      <c r="R37" s="640" t="str">
        <f>IFERROR(VLOOKUP(Q37,Producao[[Granja Produção]:[Núcleo]],2,0),"")</f>
        <v>(N1)</v>
      </c>
      <c r="S37" s="650">
        <v>23000</v>
      </c>
      <c r="T37" s="669">
        <f t="shared" si="5"/>
        <v>46267</v>
      </c>
      <c r="U37" s="670">
        <v>66</v>
      </c>
      <c r="V37" s="1301">
        <f>N151-T37</f>
        <v>36</v>
      </c>
      <c r="W37" s="671">
        <f t="shared" ref="W37:W68" si="8">IFERROR(T37+V37," ")</f>
        <v>46303</v>
      </c>
      <c r="X37" s="1083" t="str">
        <f>VLOOKUP(Q37,Q93:Q296,1,0)</f>
        <v>Fiorin - SC</v>
      </c>
      <c r="Y37" s="1229">
        <f>SUMIF($Q$115:Q236,X37,$S$115:S236)</f>
        <v>23000</v>
      </c>
      <c r="AA37" s="818"/>
      <c r="AD37" s="1312"/>
      <c r="AE37" s="1312"/>
      <c r="AF37" s="1312"/>
      <c r="AI37" s="1319"/>
      <c r="AJ37" s="818"/>
    </row>
    <row r="38" spans="1:36">
      <c r="A38" s="640" t="s">
        <v>17</v>
      </c>
      <c r="B38" s="641">
        <v>45807</v>
      </c>
      <c r="C38" s="642">
        <v>45806</v>
      </c>
      <c r="D38" s="643" t="s">
        <v>106</v>
      </c>
      <c r="E38" s="643">
        <f t="shared" ref="E38:E60" ca="1" si="9">IF((TODAY()-C38)/7&gt;U38,U38,(TODAY()-C38)/7)</f>
        <v>62</v>
      </c>
      <c r="F38" s="643" t="str">
        <f>IFERROR(VLOOKUP(G38,Recria[[Granja Recria]:[Emp+CC]],4,0),"")</f>
        <v>10_140</v>
      </c>
      <c r="G38" s="644" t="s">
        <v>107</v>
      </c>
      <c r="H38" s="645" t="str">
        <f>IFERROR(VLOOKUP(G38,Recria[[Granja Recria]:[Núcleo]],2,0),"")</f>
        <v>(N1)</v>
      </c>
      <c r="I38" s="646"/>
      <c r="J38" s="640" t="s">
        <v>45</v>
      </c>
      <c r="K38" s="640">
        <v>44</v>
      </c>
      <c r="L38" s="803" t="str">
        <f>VLOOKUP(M38,Raca_Linhagem[],2,0)</f>
        <v>COBB</v>
      </c>
      <c r="M38" s="803" t="s">
        <v>21</v>
      </c>
      <c r="N38" s="647">
        <f t="shared" si="7"/>
        <v>45953</v>
      </c>
      <c r="O38" s="692">
        <v>130525</v>
      </c>
      <c r="P38" s="648" t="str">
        <f>IFERROR(VLOOKUP(Q38,Producao[[Granja Produção]:[Emp+CC]],4,0),"")</f>
        <v>85_158</v>
      </c>
      <c r="Q38" s="649" t="s">
        <v>109</v>
      </c>
      <c r="R38" s="640" t="str">
        <f>IFERROR(VLOOKUP(Q38,Producao[[Granja Produção]:[Núcleo]],2,0),"")</f>
        <v>(N1)</v>
      </c>
      <c r="S38" s="650">
        <v>17000</v>
      </c>
      <c r="T38" s="669">
        <f t="shared" ref="T38:T69" si="10">C38+(U38*7)-1</f>
        <v>46239</v>
      </c>
      <c r="U38" s="670">
        <v>62</v>
      </c>
      <c r="V38" s="1301">
        <f>N150-T38</f>
        <v>64</v>
      </c>
      <c r="W38" s="671">
        <f t="shared" si="8"/>
        <v>46303</v>
      </c>
      <c r="X38" s="1083" t="str">
        <f>VLOOKUP(Q38,Q94:Q310,1,0)</f>
        <v>Tortato - SC</v>
      </c>
      <c r="Y38" s="1229">
        <f>SUMIF($Q$115:Q232,X38,$S$115:S232)</f>
        <v>18000</v>
      </c>
      <c r="AA38" s="818"/>
      <c r="AD38" s="1312"/>
      <c r="AE38" s="1312"/>
      <c r="AF38" s="1312"/>
      <c r="AI38" s="1319"/>
      <c r="AJ38" s="818"/>
    </row>
    <row r="39" spans="1:36">
      <c r="A39" s="640" t="s">
        <v>17</v>
      </c>
      <c r="B39" s="641">
        <v>45808</v>
      </c>
      <c r="C39" s="642">
        <v>45806</v>
      </c>
      <c r="D39" s="643" t="s">
        <v>110</v>
      </c>
      <c r="E39" s="643">
        <f t="shared" ca="1" si="9"/>
        <v>60</v>
      </c>
      <c r="F39" s="643" t="str">
        <f>IFERROR(VLOOKUP(G39,Recria[[Granja Recria]:[Emp+CC]],4,0),"")</f>
        <v>27_181</v>
      </c>
      <c r="G39" s="644" t="s">
        <v>111</v>
      </c>
      <c r="H39" s="645" t="str">
        <f>IFERROR(VLOOKUP(G39,Recria[[Granja Recria]:[Núcleo]],2,0),"")</f>
        <v>(N2)</v>
      </c>
      <c r="I39" s="646">
        <v>42000</v>
      </c>
      <c r="J39" s="640" t="s">
        <v>60</v>
      </c>
      <c r="K39" s="640">
        <v>20</v>
      </c>
      <c r="L39" s="803" t="str">
        <f>VLOOKUP(M39,Raca_Linhagem[],2,0)</f>
        <v>COBB</v>
      </c>
      <c r="M39" s="803" t="s">
        <v>112</v>
      </c>
      <c r="N39" s="647">
        <f t="shared" si="7"/>
        <v>45953</v>
      </c>
      <c r="O39" s="692">
        <v>130625</v>
      </c>
      <c r="P39" s="648" t="str">
        <f>IFERROR(VLOOKUP(Q39,Producao[[Granja Produção]:[Emp+CC]],4,0),"")</f>
        <v>117_202</v>
      </c>
      <c r="Q39" s="649" t="s">
        <v>113</v>
      </c>
      <c r="R39" s="640" t="str">
        <f>IFERROR(VLOOKUP(Q39,Producao[[Granja Produção]:[Núcleo]],2,0),"")</f>
        <v>(N5)</v>
      </c>
      <c r="S39" s="650">
        <v>40000</v>
      </c>
      <c r="T39" s="651">
        <f t="shared" si="10"/>
        <v>46225</v>
      </c>
      <c r="U39" s="652">
        <v>60</v>
      </c>
      <c r="V39" s="1361">
        <f>N169-T39</f>
        <v>134</v>
      </c>
      <c r="W39" s="654">
        <f t="shared" si="8"/>
        <v>46359</v>
      </c>
      <c r="X39" s="1083" t="str">
        <f>VLOOKUP(Q39,Q95:Q296,1,0)</f>
        <v>Bom sucesso 4 - PR</v>
      </c>
      <c r="Y39" s="1229">
        <f>SUMIF($Q$115:Q233,X39,$S$115:S233)</f>
        <v>44000</v>
      </c>
      <c r="AA39" s="818"/>
      <c r="AD39" s="1312"/>
      <c r="AE39" s="1312"/>
      <c r="AF39" s="1312"/>
      <c r="AI39" s="1319"/>
      <c r="AJ39" s="818"/>
    </row>
    <row r="40" spans="1:36">
      <c r="A40" s="640" t="s">
        <v>17</v>
      </c>
      <c r="B40" s="641">
        <v>45814</v>
      </c>
      <c r="C40" s="642">
        <v>45813</v>
      </c>
      <c r="D40" s="643" t="s">
        <v>114</v>
      </c>
      <c r="E40" s="643">
        <f t="shared" ca="1" si="9"/>
        <v>66</v>
      </c>
      <c r="F40" s="643" t="str">
        <f>IFERROR(VLOOKUP(G40,Recria[[Granja Recria]:[Emp+CC]],4,0),"")</f>
        <v>10_267</v>
      </c>
      <c r="G40" s="644" t="s">
        <v>115</v>
      </c>
      <c r="H40" s="645" t="str">
        <f>IFERROR(VLOOKUP(G40,Recria[[Granja Recria]:[Núcleo]],2,0),"")</f>
        <v>(N1)</v>
      </c>
      <c r="I40" s="646">
        <v>63000</v>
      </c>
      <c r="J40" s="640" t="s">
        <v>20</v>
      </c>
      <c r="K40" s="640">
        <v>28</v>
      </c>
      <c r="L40" s="803" t="str">
        <f>VLOOKUP(M40,Raca_Linhagem[],2,0)</f>
        <v>COBB</v>
      </c>
      <c r="M40" s="803" t="s">
        <v>21</v>
      </c>
      <c r="N40" s="647">
        <f t="shared" si="7"/>
        <v>45960</v>
      </c>
      <c r="O40" s="692">
        <v>130725</v>
      </c>
      <c r="P40" s="648" t="str">
        <f>IFERROR(VLOOKUP(Q40,Producao[[Granja Produção]:[Emp+CC]],4,0),"")</f>
        <v>84_170</v>
      </c>
      <c r="Q40" s="649" t="s">
        <v>116</v>
      </c>
      <c r="R40" s="640" t="str">
        <f>IFERROR(VLOOKUP(Q40,Producao[[Granja Produção]:[Núcleo]],2,0),"")</f>
        <v>(N3)</v>
      </c>
      <c r="S40" s="650">
        <v>54000</v>
      </c>
      <c r="T40" s="669">
        <f t="shared" si="10"/>
        <v>46274</v>
      </c>
      <c r="U40" s="670">
        <v>66</v>
      </c>
      <c r="V40" s="1301">
        <f>N159-T40</f>
        <v>57</v>
      </c>
      <c r="W40" s="671">
        <f t="shared" si="8"/>
        <v>46331</v>
      </c>
      <c r="X40" s="1083" t="str">
        <f>VLOOKUP(Q40,Q96:Q296,1,0)</f>
        <v>Faxinal 3 - SC</v>
      </c>
      <c r="Y40" s="1229">
        <f>SUMIF($Q$115:Q237,X40,$S$115:S237)</f>
        <v>56000</v>
      </c>
      <c r="AA40" s="818"/>
      <c r="AD40" s="1312"/>
      <c r="AE40" s="1312"/>
      <c r="AF40" s="1312"/>
      <c r="AI40" s="1319"/>
      <c r="AJ40" s="818"/>
    </row>
    <row r="41" spans="1:36">
      <c r="A41" s="640" t="s">
        <v>17</v>
      </c>
      <c r="B41" s="641">
        <v>45821</v>
      </c>
      <c r="C41" s="642">
        <v>45820</v>
      </c>
      <c r="D41" s="643" t="s">
        <v>114</v>
      </c>
      <c r="E41" s="643">
        <f t="shared" ca="1" si="9"/>
        <v>64</v>
      </c>
      <c r="F41" s="643" t="str">
        <f>IFERROR(VLOOKUP(G41,Recria[[Granja Recria]:[Emp+CC]],4,0),"")</f>
        <v>10_267</v>
      </c>
      <c r="G41" s="644" t="s">
        <v>115</v>
      </c>
      <c r="H41" s="645" t="str">
        <f>IFERROR(VLOOKUP(G41,Recria[[Granja Recria]:[Núcleo]],2,0),"")</f>
        <v>(N1)</v>
      </c>
      <c r="I41" s="646">
        <v>63000</v>
      </c>
      <c r="J41" s="640" t="s">
        <v>20</v>
      </c>
      <c r="K41" s="640">
        <v>29</v>
      </c>
      <c r="L41" s="803" t="str">
        <f>VLOOKUP(M41,Raca_Linhagem[],2,0)</f>
        <v>COBB</v>
      </c>
      <c r="M41" s="803" t="s">
        <v>21</v>
      </c>
      <c r="N41" s="647">
        <f t="shared" si="7"/>
        <v>45967</v>
      </c>
      <c r="O41" s="692">
        <v>130825</v>
      </c>
      <c r="P41" s="648" t="str">
        <f>IFERROR(VLOOKUP(Q41,Producao[[Granja Produção]:[Emp+CC]],4,0),"")</f>
        <v>13_1080</v>
      </c>
      <c r="Q41" s="649" t="s">
        <v>117</v>
      </c>
      <c r="R41" s="640" t="str">
        <f>IFERROR(VLOOKUP(Q41,Producao[[Granja Produção]:[Núcleo]],2,0),"")</f>
        <v>(N1)</v>
      </c>
      <c r="S41" s="650">
        <v>45000</v>
      </c>
      <c r="T41" s="669">
        <f t="shared" si="10"/>
        <v>46267</v>
      </c>
      <c r="U41" s="670">
        <v>64</v>
      </c>
      <c r="V41" s="1301">
        <f>N152-T41</f>
        <v>36</v>
      </c>
      <c r="W41" s="671">
        <f t="shared" si="8"/>
        <v>46303</v>
      </c>
      <c r="X41" s="1083" t="str">
        <f>VLOOKUP(Q41,Q97:Q292,1,0)</f>
        <v>Ponte serrada 2 - SC</v>
      </c>
      <c r="Y41" s="1229">
        <f>SUMIF($Q$115:Q239,X41,$S$115:S239)</f>
        <v>57000</v>
      </c>
      <c r="AA41" s="818"/>
      <c r="AD41" s="1312"/>
      <c r="AE41" s="1312"/>
      <c r="AF41" s="1312"/>
      <c r="AI41" s="1319"/>
      <c r="AJ41" s="818"/>
    </row>
    <row r="42" spans="1:36">
      <c r="A42" s="640" t="s">
        <v>17</v>
      </c>
      <c r="B42" s="641">
        <v>45821</v>
      </c>
      <c r="C42" s="642">
        <v>45820</v>
      </c>
      <c r="D42" s="643" t="s">
        <v>114</v>
      </c>
      <c r="E42" s="643">
        <f t="shared" ca="1" si="9"/>
        <v>65</v>
      </c>
      <c r="F42" s="643" t="str">
        <f>IFERROR(VLOOKUP(G42,Recria[[Granja Recria]:[Emp+CC]],4,0),"")</f>
        <v>10_267</v>
      </c>
      <c r="G42" s="644" t="s">
        <v>115</v>
      </c>
      <c r="H42" s="645" t="str">
        <f>IFERROR(VLOOKUP(G42,Recria[[Granja Recria]:[Núcleo]],2,0),"")</f>
        <v>(N1)</v>
      </c>
      <c r="I42" s="646"/>
      <c r="J42" s="640" t="s">
        <v>20</v>
      </c>
      <c r="K42" s="640">
        <v>29</v>
      </c>
      <c r="L42" s="803" t="str">
        <f>VLOOKUP(M42,Raca_Linhagem[],2,0)</f>
        <v>COBB</v>
      </c>
      <c r="M42" s="803" t="s">
        <v>21</v>
      </c>
      <c r="N42" s="647">
        <f t="shared" si="7"/>
        <v>45967</v>
      </c>
      <c r="O42" s="692">
        <v>130925</v>
      </c>
      <c r="P42" s="648" t="str">
        <f>IFERROR(VLOOKUP(Q42,Producao[[Granja Produção]:[Emp+CC]],4,0),"")</f>
        <v>10_69</v>
      </c>
      <c r="Q42" s="649" t="s">
        <v>118</v>
      </c>
      <c r="R42" s="640" t="str">
        <f>IFERROR(VLOOKUP(Q42,Producao[[Granja Produção]:[Núcleo]],2,0),"")</f>
        <v>(N1)</v>
      </c>
      <c r="S42" s="650">
        <v>22000</v>
      </c>
      <c r="T42" s="669">
        <f t="shared" si="10"/>
        <v>46274</v>
      </c>
      <c r="U42" s="670">
        <v>65</v>
      </c>
      <c r="V42" s="1301">
        <f>N153-T42</f>
        <v>29</v>
      </c>
      <c r="W42" s="671">
        <f t="shared" si="8"/>
        <v>46303</v>
      </c>
      <c r="X42" s="1083" t="str">
        <f>VLOOKUP(Q42,Q98:Q295,1,0)</f>
        <v>Flor da serra - PR</v>
      </c>
      <c r="Y42" s="1229">
        <f>SUMIF($Q$115:Q240,X42,$S$115:S240)</f>
        <v>23000</v>
      </c>
      <c r="AA42" s="818"/>
      <c r="AD42" s="1312"/>
      <c r="AE42" s="1312"/>
      <c r="AF42" s="1312"/>
      <c r="AI42" s="1319"/>
      <c r="AJ42" s="818"/>
    </row>
    <row r="43" spans="1:36">
      <c r="A43" s="640" t="s">
        <v>17</v>
      </c>
      <c r="B43" s="641">
        <v>45818</v>
      </c>
      <c r="C43" s="642">
        <v>45820</v>
      </c>
      <c r="D43" s="643" t="s">
        <v>119</v>
      </c>
      <c r="E43" s="643">
        <f t="shared" ca="1" si="9"/>
        <v>64</v>
      </c>
      <c r="F43" s="643" t="str">
        <f>IFERROR(VLOOKUP(G43,Recria[[Granja Recria]:[Emp+CC]],4,0),"")</f>
        <v>10_775</v>
      </c>
      <c r="G43" s="644" t="s">
        <v>120</v>
      </c>
      <c r="H43" s="645" t="str">
        <f>IFERROR(VLOOKUP(G43,Recria[[Granja Recria]:[Núcleo]],2,0),"")</f>
        <v>(N1)</v>
      </c>
      <c r="I43" s="646">
        <v>50000</v>
      </c>
      <c r="J43" s="640" t="s">
        <v>20</v>
      </c>
      <c r="K43" s="640">
        <v>22</v>
      </c>
      <c r="L43" s="804" t="str">
        <f>VLOOKUP(M43,Raca_Linhagem[],2,0)</f>
        <v>ROSS</v>
      </c>
      <c r="M43" s="804" t="s">
        <v>26</v>
      </c>
      <c r="N43" s="647">
        <f t="shared" si="7"/>
        <v>45967</v>
      </c>
      <c r="O43" s="692">
        <v>131025</v>
      </c>
      <c r="P43" s="648" t="str">
        <f>IFERROR(VLOOKUP(Q43,Producao[[Granja Produção]:[Emp+CC]],4,0),"")</f>
        <v>10_858</v>
      </c>
      <c r="Q43" s="649" t="s">
        <v>121</v>
      </c>
      <c r="R43" s="640" t="str">
        <f>IFERROR(VLOOKUP(Q43,Producao[[Granja Produção]:[Núcleo]],2,0),"")</f>
        <v>(N3)</v>
      </c>
      <c r="S43" s="650">
        <f>I43*0.96</f>
        <v>48000</v>
      </c>
      <c r="T43" s="669">
        <f t="shared" si="10"/>
        <v>46267</v>
      </c>
      <c r="U43" s="670">
        <v>64</v>
      </c>
      <c r="V43" s="1301">
        <f>N158-T43</f>
        <v>64</v>
      </c>
      <c r="W43" s="671">
        <f t="shared" si="8"/>
        <v>46331</v>
      </c>
      <c r="X43" s="1083" t="str">
        <f>VLOOKUP(Q43,Q99:Q296,1,0)</f>
        <v>Salto Caxias Prod. 2 - PR</v>
      </c>
      <c r="Y43" s="1229">
        <f>SUMIF($Q$115:Q241,X43,$S$115:S241)</f>
        <v>48000</v>
      </c>
      <c r="AA43" s="818"/>
      <c r="AD43" s="1312"/>
      <c r="AE43" s="1312"/>
      <c r="AF43" s="1312"/>
      <c r="AI43" s="1319"/>
      <c r="AJ43" s="818"/>
    </row>
    <row r="44" spans="1:36">
      <c r="A44" s="684" t="s">
        <v>17</v>
      </c>
      <c r="B44" s="685">
        <v>45828</v>
      </c>
      <c r="C44" s="686">
        <v>45827</v>
      </c>
      <c r="D44" s="687" t="s">
        <v>122</v>
      </c>
      <c r="E44" s="687">
        <f t="shared" ca="1" si="9"/>
        <v>60</v>
      </c>
      <c r="F44" s="687" t="str">
        <f>IFERROR(VLOOKUP(G44,Recria[[Granja Recria]:[Emp+CC]],4,0),"")</f>
        <v>10_130</v>
      </c>
      <c r="G44" s="688" t="s">
        <v>123</v>
      </c>
      <c r="H44" s="689" t="str">
        <f>IFERROR(VLOOKUP(G44,Recria[[Granja Recria]:[Núcleo]],2,0),"")</f>
        <v>(N1)</v>
      </c>
      <c r="I44" s="690">
        <v>42000</v>
      </c>
      <c r="J44" s="684" t="s">
        <v>45</v>
      </c>
      <c r="K44" s="691">
        <v>57</v>
      </c>
      <c r="L44" s="806" t="str">
        <f>VLOOKUP(M44,Raca_Linhagem[],2,0)</f>
        <v>COBB</v>
      </c>
      <c r="M44" s="806" t="s">
        <v>37</v>
      </c>
      <c r="N44" s="647">
        <f>C44+(7*7)-7</f>
        <v>45869</v>
      </c>
      <c r="O44" s="692">
        <v>131625</v>
      </c>
      <c r="P44" s="648" t="str">
        <f>IFERROR(VLOOKUP(Q44,Producao[[Granja Produção]:[Emp+CC]],4,0),"")</f>
        <v>117_157</v>
      </c>
      <c r="Q44" s="649" t="s">
        <v>124</v>
      </c>
      <c r="R44" s="640" t="str">
        <f>IFERROR(VLOOKUP(Q44,Producao[[Granja Produção]:[Núcleo]],2,0),"")</f>
        <v>(N3)</v>
      </c>
      <c r="S44" s="650">
        <f>I44*0.98</f>
        <v>41160</v>
      </c>
      <c r="T44" s="669">
        <f t="shared" si="10"/>
        <v>46246</v>
      </c>
      <c r="U44" s="670">
        <v>60</v>
      </c>
      <c r="V44" s="1361">
        <f>N157-T44</f>
        <v>78</v>
      </c>
      <c r="W44" s="671">
        <f t="shared" si="8"/>
        <v>46324</v>
      </c>
      <c r="X44" s="1083" t="str">
        <f>VLOOKUP(Q44,Q100:Q296,1,0)</f>
        <v>Bom sucesso 3 - PR</v>
      </c>
      <c r="Y44" s="1229">
        <f>SUMIF($Q$115:Q242,X44,$S$115:S242)</f>
        <v>40320</v>
      </c>
      <c r="AA44" s="818"/>
      <c r="AD44" s="1312"/>
      <c r="AE44" s="1312"/>
      <c r="AF44" s="1312"/>
      <c r="AI44" s="1319"/>
      <c r="AJ44" s="818"/>
    </row>
    <row r="45" spans="1:36">
      <c r="A45" s="640" t="s">
        <v>17</v>
      </c>
      <c r="B45" s="641">
        <v>45827</v>
      </c>
      <c r="C45" s="642">
        <v>45827</v>
      </c>
      <c r="D45" s="643" t="s">
        <v>125</v>
      </c>
      <c r="E45" s="643">
        <f t="shared" ca="1" si="9"/>
        <v>60</v>
      </c>
      <c r="F45" s="643" t="str">
        <f>IFERROR(VLOOKUP(G45,Recria[[Granja Recria]:[Emp+CC]],4,0),"")</f>
        <v>10_130</v>
      </c>
      <c r="G45" s="644" t="s">
        <v>123</v>
      </c>
      <c r="H45" s="645" t="str">
        <f>IFERROR(VLOOKUP(G45,Recria[[Granja Recria]:[Núcleo]],2,0),"")</f>
        <v>(N1)</v>
      </c>
      <c r="I45" s="646">
        <v>42000</v>
      </c>
      <c r="J45" s="640" t="s">
        <v>45</v>
      </c>
      <c r="K45" s="640">
        <v>57</v>
      </c>
      <c r="L45" s="806" t="str">
        <f>VLOOKUP(M45,Raca_Linhagem[],2,0)</f>
        <v>COBB</v>
      </c>
      <c r="M45" s="806" t="s">
        <v>37</v>
      </c>
      <c r="N45" s="647">
        <f t="shared" ref="N45:N76" si="11">C45+(22*7)-7</f>
        <v>45974</v>
      </c>
      <c r="O45" s="692">
        <v>131125</v>
      </c>
      <c r="P45" s="648" t="str">
        <f>IFERROR(VLOOKUP(Q45,Producao[[Granja Produção]:[Emp+CC]],4,0),"")</f>
        <v>101_1079</v>
      </c>
      <c r="Q45" s="649" t="s">
        <v>126</v>
      </c>
      <c r="R45" s="640" t="str">
        <f>IFERROR(VLOOKUP(Q45,Producao[[Granja Produção]:[Núcleo]],2,0),"")</f>
        <v>(N1)</v>
      </c>
      <c r="S45" s="650">
        <v>30000</v>
      </c>
      <c r="T45" s="669">
        <f t="shared" si="10"/>
        <v>46246</v>
      </c>
      <c r="U45" s="670">
        <v>60</v>
      </c>
      <c r="V45" s="1301">
        <f>N148-T45</f>
        <v>43</v>
      </c>
      <c r="W45" s="671">
        <f t="shared" si="8"/>
        <v>46289</v>
      </c>
      <c r="X45" s="1083" t="str">
        <f>VLOOKUP(Q45,Q101:Q311,1,0)</f>
        <v>Ponte serrada 1 - SC</v>
      </c>
      <c r="Y45" s="1229">
        <f>SUMIF($Q$115:Q243,X45,$S$115:S243)</f>
        <v>30000</v>
      </c>
      <c r="AA45" s="818"/>
      <c r="AD45" s="1312"/>
      <c r="AE45" s="1312"/>
      <c r="AF45" s="1312"/>
      <c r="AI45" s="1319"/>
      <c r="AJ45" s="818"/>
    </row>
    <row r="46" spans="1:36">
      <c r="A46" s="640" t="s">
        <v>17</v>
      </c>
      <c r="B46" s="641">
        <v>45827</v>
      </c>
      <c r="C46" s="642">
        <v>45827</v>
      </c>
      <c r="D46" s="643" t="s">
        <v>125</v>
      </c>
      <c r="E46" s="643">
        <f t="shared" ca="1" si="9"/>
        <v>61</v>
      </c>
      <c r="F46" s="643" t="str">
        <f>IFERROR(VLOOKUP(G46,Recria[[Granja Recria]:[Emp+CC]],4,0),"")</f>
        <v>10_130</v>
      </c>
      <c r="G46" s="644" t="s">
        <v>123</v>
      </c>
      <c r="H46" s="645" t="str">
        <f>IFERROR(VLOOKUP(G46,Recria[[Granja Recria]:[Núcleo]],2,0),"")</f>
        <v>(N1)</v>
      </c>
      <c r="I46" s="646"/>
      <c r="J46" s="640" t="s">
        <v>45</v>
      </c>
      <c r="K46" s="640">
        <v>57</v>
      </c>
      <c r="L46" s="806" t="str">
        <f>VLOOKUP(M46,Raca_Linhagem[],2,0)</f>
        <v>COBB</v>
      </c>
      <c r="M46" s="806" t="s">
        <v>37</v>
      </c>
      <c r="N46" s="647">
        <f t="shared" si="11"/>
        <v>45974</v>
      </c>
      <c r="O46" s="692">
        <v>131225</v>
      </c>
      <c r="P46" s="648" t="str">
        <f>IFERROR(VLOOKUP(Q46,Producao[[Granja Produção]:[Emp+CC]],4,0),"")</f>
        <v>10_44</v>
      </c>
      <c r="Q46" s="649" t="s">
        <v>127</v>
      </c>
      <c r="R46" s="640" t="str">
        <f>IFERROR(VLOOKUP(Q46,Producao[[Granja Produção]:[Núcleo]],2,0),"")</f>
        <v>(N1)</v>
      </c>
      <c r="S46" s="650">
        <v>10000</v>
      </c>
      <c r="T46" s="669">
        <f t="shared" si="10"/>
        <v>46253</v>
      </c>
      <c r="U46" s="670">
        <v>61</v>
      </c>
      <c r="V46" s="1301">
        <f>N152-T46</f>
        <v>50</v>
      </c>
      <c r="W46" s="671">
        <f t="shared" si="8"/>
        <v>46303</v>
      </c>
      <c r="X46" s="1083" t="str">
        <f>VLOOKUP(Q46,Q101:Q299,1,0)</f>
        <v>São José - PR</v>
      </c>
      <c r="Y46" s="1229">
        <f>SUMIF($Q$115:Q244,X46,$S$115:S244)</f>
        <v>29000</v>
      </c>
      <c r="AA46" s="818"/>
      <c r="AD46" s="1312"/>
      <c r="AE46" s="1312"/>
      <c r="AF46" s="1312"/>
      <c r="AI46" s="1319"/>
      <c r="AJ46" s="818"/>
    </row>
    <row r="47" spans="1:36">
      <c r="A47" s="640" t="s">
        <v>17</v>
      </c>
      <c r="B47" s="641">
        <v>45828</v>
      </c>
      <c r="C47" s="642">
        <v>45827</v>
      </c>
      <c r="D47" s="643" t="s">
        <v>128</v>
      </c>
      <c r="E47" s="643">
        <f t="shared" ca="1" si="9"/>
        <v>62</v>
      </c>
      <c r="F47" s="643" t="str">
        <f>IFERROR(VLOOKUP(G47,Recria[[Granja Recria]:[Emp+CC]],4,0),"")</f>
        <v>10_326</v>
      </c>
      <c r="G47" s="644" t="s">
        <v>129</v>
      </c>
      <c r="H47" s="645" t="str">
        <f>IFERROR(VLOOKUP(G47,Recria[[Granja Recria]:[Núcleo]],2,0),"")</f>
        <v>(N1)</v>
      </c>
      <c r="I47" s="646">
        <v>38000</v>
      </c>
      <c r="J47" s="640" t="s">
        <v>20</v>
      </c>
      <c r="K47" s="640">
        <v>8</v>
      </c>
      <c r="L47" s="804" t="str">
        <f>VLOOKUP(M47,Raca_Linhagem[],2,0)</f>
        <v>ROSS</v>
      </c>
      <c r="M47" s="804" t="s">
        <v>26</v>
      </c>
      <c r="N47" s="647">
        <f t="shared" si="11"/>
        <v>45974</v>
      </c>
      <c r="O47" s="692">
        <v>131425</v>
      </c>
      <c r="P47" s="648" t="str">
        <f>IFERROR(VLOOKUP(Q47,Producao[[Granja Produção]:[Emp+CC]],4,0),"")</f>
        <v>117_219</v>
      </c>
      <c r="Q47" s="649" t="s">
        <v>130</v>
      </c>
      <c r="R47" s="640" t="str">
        <f>IFERROR(VLOOKUP(Q47,Producao[[Granja Produção]:[Núcleo]],2,0),"")</f>
        <v>(N6)</v>
      </c>
      <c r="S47" s="650">
        <v>36000</v>
      </c>
      <c r="T47" s="669">
        <f t="shared" si="10"/>
        <v>46260</v>
      </c>
      <c r="U47" s="670">
        <v>62</v>
      </c>
      <c r="V47" s="1361">
        <f>N172-T47</f>
        <v>120</v>
      </c>
      <c r="W47" s="671">
        <f t="shared" si="8"/>
        <v>46380</v>
      </c>
      <c r="X47" s="1083" t="str">
        <f>VLOOKUP(Q47,Q102:Q297,1,0)</f>
        <v>Bom sucesso 5 - PR</v>
      </c>
      <c r="Y47" s="1229">
        <f>SUMIF($Q$115:Q245,X47,$S$115:S245)</f>
        <v>40320</v>
      </c>
      <c r="AA47" s="818"/>
      <c r="AD47" s="1312"/>
      <c r="AE47" s="1312"/>
      <c r="AF47" s="1312"/>
      <c r="AI47" s="1319"/>
      <c r="AJ47" s="818"/>
    </row>
    <row r="48" spans="1:36">
      <c r="A48" s="640" t="s">
        <v>17</v>
      </c>
      <c r="B48" s="641">
        <v>45827</v>
      </c>
      <c r="C48" s="642">
        <v>45827</v>
      </c>
      <c r="D48" s="643" t="s">
        <v>131</v>
      </c>
      <c r="E48" s="643">
        <f t="shared" ca="1" si="9"/>
        <v>66.714285714285708</v>
      </c>
      <c r="F48" s="643" t="str">
        <f>IFERROR(VLOOKUP(G48,Recria[[Granja Recria]:[Emp+CC]],4,0),"")</f>
        <v>112_67</v>
      </c>
      <c r="G48" s="644" t="s">
        <v>132</v>
      </c>
      <c r="H48" s="645" t="str">
        <f>IFERROR(VLOOKUP(G48,Recria[[Granja Recria]:[Núcleo]],2,0),"")</f>
        <v>(N2)</v>
      </c>
      <c r="I48" s="646">
        <v>72000</v>
      </c>
      <c r="J48" s="640" t="s">
        <v>20</v>
      </c>
      <c r="K48" s="640">
        <v>27</v>
      </c>
      <c r="L48" s="804" t="str">
        <f>VLOOKUP(M48,Raca_Linhagem[],2,0)</f>
        <v>ROSS</v>
      </c>
      <c r="M48" s="804" t="s">
        <v>26</v>
      </c>
      <c r="N48" s="647">
        <f t="shared" si="11"/>
        <v>45974</v>
      </c>
      <c r="O48" s="692">
        <v>131525</v>
      </c>
      <c r="P48" s="648" t="str">
        <f>IFERROR(VLOOKUP(Q48,Producao[[Granja Produção]:[Emp+CC]],4,0),"")</f>
        <v>116_2297</v>
      </c>
      <c r="Q48" s="649" t="s">
        <v>133</v>
      </c>
      <c r="R48" s="640" t="str">
        <f>IFERROR(VLOOKUP(Q48,Producao[[Granja Produção]:[Núcleo]],2,0),"")</f>
        <v>(N1)</v>
      </c>
      <c r="S48" s="650">
        <v>64100</v>
      </c>
      <c r="T48" s="669">
        <f t="shared" si="10"/>
        <v>46309</v>
      </c>
      <c r="U48" s="670">
        <v>69</v>
      </c>
      <c r="V48" s="1301">
        <f>N170-T48</f>
        <v>50</v>
      </c>
      <c r="W48" s="671">
        <f t="shared" si="8"/>
        <v>46359</v>
      </c>
      <c r="X48" s="1083" t="str">
        <f>VLOOKUP(Q48,Q103:Q300,1,0)</f>
        <v>Vora 1 - PR</v>
      </c>
      <c r="Y48" s="1229">
        <f>SUMIF($Q$115:Q246,X48,$S$115:S246)</f>
        <v>80000</v>
      </c>
      <c r="AA48" s="818"/>
      <c r="AD48" s="1312"/>
      <c r="AE48" s="1312"/>
      <c r="AF48" s="1312"/>
      <c r="AI48" s="1319"/>
      <c r="AJ48" s="818"/>
    </row>
    <row r="49" spans="1:36">
      <c r="A49" s="640" t="s">
        <v>17</v>
      </c>
      <c r="B49" s="641">
        <v>45836</v>
      </c>
      <c r="C49" s="642">
        <v>45834</v>
      </c>
      <c r="D49" s="643" t="s">
        <v>134</v>
      </c>
      <c r="E49" s="643">
        <f t="shared" ca="1" si="9"/>
        <v>65.714285714285708</v>
      </c>
      <c r="F49" s="643" t="str">
        <f>IFERROR(VLOOKUP(G49,Recria[[Granja Recria]:[Emp+CC]],4,0),"")</f>
        <v>10_180</v>
      </c>
      <c r="G49" s="644" t="s">
        <v>135</v>
      </c>
      <c r="H49" s="645" t="str">
        <f>IFERROR(VLOOKUP(G49,Recria[[Granja Recria]:[Núcleo]],2,0),"")</f>
        <v>(N1)</v>
      </c>
      <c r="I49" s="646">
        <v>46000</v>
      </c>
      <c r="J49" s="640" t="s">
        <v>60</v>
      </c>
      <c r="K49" s="640">
        <v>29</v>
      </c>
      <c r="L49" s="804" t="str">
        <f>VLOOKUP(M49,Raca_Linhagem[],2,0)</f>
        <v>ROSS</v>
      </c>
      <c r="M49" s="804" t="s">
        <v>26</v>
      </c>
      <c r="N49" s="647">
        <f t="shared" si="11"/>
        <v>45981</v>
      </c>
      <c r="O49" s="692">
        <v>131525</v>
      </c>
      <c r="P49" s="648" t="str">
        <f>IFERROR(VLOOKUP(Q49,Producao[[Granja Produção]:[Emp+CC]],4,0),"")</f>
        <v>116_2297</v>
      </c>
      <c r="Q49" s="649" t="s">
        <v>133</v>
      </c>
      <c r="R49" s="640" t="str">
        <f>IFERROR(VLOOKUP(Q49,Producao[[Granja Produção]:[Núcleo]],2,0),"")</f>
        <v>(N1)</v>
      </c>
      <c r="S49" s="650">
        <v>16000</v>
      </c>
      <c r="T49" s="669">
        <f t="shared" si="10"/>
        <v>46309</v>
      </c>
      <c r="U49" s="670">
        <v>68</v>
      </c>
      <c r="V49" s="1301">
        <f>N170-T48</f>
        <v>50</v>
      </c>
      <c r="W49" s="671">
        <f t="shared" si="8"/>
        <v>46359</v>
      </c>
      <c r="X49" s="1083" t="str">
        <f>VLOOKUP(Q49,Q104:Q297,1,0)</f>
        <v>Vora 1 - PR</v>
      </c>
      <c r="Y49" s="1229">
        <f>SUMIF($Q$115:Q252,X49,$S$115:S252)</f>
        <v>80000</v>
      </c>
      <c r="AA49" s="818"/>
      <c r="AD49" s="1312"/>
      <c r="AE49" s="1312"/>
      <c r="AF49" s="1312"/>
      <c r="AI49" s="1319"/>
      <c r="AJ49" s="818"/>
    </row>
    <row r="50" spans="1:36">
      <c r="A50" s="640" t="s">
        <v>17</v>
      </c>
      <c r="B50" s="641">
        <v>45836</v>
      </c>
      <c r="C50" s="642">
        <v>45834</v>
      </c>
      <c r="D50" s="643" t="s">
        <v>134</v>
      </c>
      <c r="E50" s="643">
        <f t="shared" ca="1" si="9"/>
        <v>60</v>
      </c>
      <c r="F50" s="643" t="str">
        <f>IFERROR(VLOOKUP(G50,Recria[[Granja Recria]:[Emp+CC]],4,0),"")</f>
        <v>10_180</v>
      </c>
      <c r="G50" s="644" t="s">
        <v>135</v>
      </c>
      <c r="H50" s="645" t="str">
        <f>IFERROR(VLOOKUP(G50,Recria[[Granja Recria]:[Núcleo]],2,0),"")</f>
        <v>(N1)</v>
      </c>
      <c r="I50" s="646"/>
      <c r="J50" s="640" t="s">
        <v>60</v>
      </c>
      <c r="K50" s="640">
        <v>29</v>
      </c>
      <c r="L50" s="804" t="str">
        <f>VLOOKUP(M50,Raca_Linhagem[],2,0)</f>
        <v>ROSS</v>
      </c>
      <c r="M50" s="804" t="s">
        <v>26</v>
      </c>
      <c r="N50" s="647">
        <f t="shared" si="11"/>
        <v>45981</v>
      </c>
      <c r="O50" s="692">
        <v>131325</v>
      </c>
      <c r="P50" s="648" t="str">
        <f>IFERROR(VLOOKUP(Q50,Producao[[Granja Produção]:[Emp+CC]],4,0),"")</f>
        <v>10_44</v>
      </c>
      <c r="Q50" s="649" t="s">
        <v>127</v>
      </c>
      <c r="R50" s="640" t="str">
        <f>IFERROR(VLOOKUP(Q50,Producao[[Granja Produção]:[Núcleo]],2,0),"")</f>
        <v>(N1)</v>
      </c>
      <c r="S50" s="650">
        <v>20000</v>
      </c>
      <c r="T50" s="669">
        <f t="shared" si="10"/>
        <v>46253</v>
      </c>
      <c r="U50" s="670">
        <v>60</v>
      </c>
      <c r="V50" s="1301">
        <f>N152-T46</f>
        <v>50</v>
      </c>
      <c r="W50" s="671">
        <f t="shared" si="8"/>
        <v>46303</v>
      </c>
      <c r="X50" s="1083" t="str">
        <f>VLOOKUP(Q50,Q105:Q313,1,0)</f>
        <v>São José - PR</v>
      </c>
      <c r="Y50" s="1229">
        <f>SUMIF($Q$115:Q252,X50,$S$115:S252)</f>
        <v>29000</v>
      </c>
      <c r="Z50" s="1229">
        <f>SUMIF($Q$115:R252,Y50,$S$115:T252)</f>
        <v>0</v>
      </c>
      <c r="AA50" s="818"/>
      <c r="AD50" s="1312"/>
      <c r="AE50" s="1312"/>
      <c r="AF50" s="1312"/>
      <c r="AI50" s="1319"/>
      <c r="AJ50" s="818"/>
    </row>
    <row r="51" spans="1:36">
      <c r="A51" s="640" t="s">
        <v>17</v>
      </c>
      <c r="B51" s="641">
        <v>45836</v>
      </c>
      <c r="C51" s="642">
        <v>45834</v>
      </c>
      <c r="D51" s="643" t="s">
        <v>134</v>
      </c>
      <c r="E51" s="643">
        <f t="shared" ca="1" si="9"/>
        <v>65.714285714285708</v>
      </c>
      <c r="F51" s="643" t="str">
        <f>IFERROR(VLOOKUP(G51,Recria[[Granja Recria]:[Emp+CC]],4,0),"")</f>
        <v>10_180</v>
      </c>
      <c r="G51" s="644" t="s">
        <v>135</v>
      </c>
      <c r="H51" s="645" t="str">
        <f>IFERROR(VLOOKUP(G51,Recria[[Granja Recria]:[Núcleo]],2,0),"")</f>
        <v>(N1)</v>
      </c>
      <c r="I51" s="646"/>
      <c r="J51" s="640" t="s">
        <v>60</v>
      </c>
      <c r="K51" s="640">
        <v>29</v>
      </c>
      <c r="L51" s="804" t="str">
        <f>VLOOKUP(M51,Raca_Linhagem[],2,0)</f>
        <v>ROSS</v>
      </c>
      <c r="M51" s="804" t="s">
        <v>26</v>
      </c>
      <c r="N51" s="647">
        <f t="shared" si="11"/>
        <v>45981</v>
      </c>
      <c r="O51" s="692">
        <v>131425</v>
      </c>
      <c r="P51" s="648" t="str">
        <f>IFERROR(VLOOKUP(Q51,Producao[[Granja Produção]:[Emp+CC]],4,0),"")</f>
        <v>117_219</v>
      </c>
      <c r="Q51" s="649" t="s">
        <v>130</v>
      </c>
      <c r="R51" s="640" t="str">
        <f>IFERROR(VLOOKUP(Q51,Producao[[Granja Produção]:[Núcleo]],2,0),"")</f>
        <v>(N6)</v>
      </c>
      <c r="S51" s="650">
        <v>3744</v>
      </c>
      <c r="T51" s="669">
        <f t="shared" si="10"/>
        <v>46295</v>
      </c>
      <c r="U51" s="670">
        <v>66</v>
      </c>
      <c r="V51" s="1361">
        <f>N172-T47</f>
        <v>120</v>
      </c>
      <c r="W51" s="671">
        <f t="shared" si="8"/>
        <v>46415</v>
      </c>
      <c r="X51" s="1083" t="str">
        <f>VLOOKUP(Q51,Q106:Q299,1,0)</f>
        <v>Bom sucesso 5 - PR</v>
      </c>
      <c r="Y51" s="1229">
        <f>SUMIF($Q$115:Q252,X51,$S$115:S252)</f>
        <v>40320</v>
      </c>
      <c r="AA51" s="818"/>
      <c r="AD51" s="1312"/>
      <c r="AE51" s="1312"/>
      <c r="AF51" s="1312"/>
      <c r="AI51" s="1319"/>
      <c r="AJ51" s="818"/>
    </row>
    <row r="52" spans="1:36">
      <c r="A52" s="640" t="s">
        <v>17</v>
      </c>
      <c r="B52" s="641">
        <v>45836</v>
      </c>
      <c r="C52" s="642">
        <v>45834</v>
      </c>
      <c r="D52" s="643" t="s">
        <v>134</v>
      </c>
      <c r="E52" s="643">
        <f t="shared" ca="1" si="9"/>
        <v>65.714285714285708</v>
      </c>
      <c r="F52" s="643" t="str">
        <f>IFERROR(VLOOKUP(G52,Recria[[Granja Recria]:[Emp+CC]],4,0),"")</f>
        <v>10_180</v>
      </c>
      <c r="G52" s="644" t="s">
        <v>135</v>
      </c>
      <c r="H52" s="645" t="str">
        <f>IFERROR(VLOOKUP(G52,Recria[[Granja Recria]:[Núcleo]],2,0),"")</f>
        <v>(N1)</v>
      </c>
      <c r="I52" s="646"/>
      <c r="J52" s="640" t="s">
        <v>60</v>
      </c>
      <c r="K52" s="640">
        <v>29</v>
      </c>
      <c r="L52" s="804" t="str">
        <f>VLOOKUP(M52,Raca_Linhagem[],2,0)</f>
        <v>ROSS</v>
      </c>
      <c r="M52" s="804" t="s">
        <v>26</v>
      </c>
      <c r="N52" s="647">
        <f t="shared" si="11"/>
        <v>45981</v>
      </c>
      <c r="O52" s="692">
        <v>131725</v>
      </c>
      <c r="P52" s="648" t="str">
        <f>IFERROR(VLOOKUP(Q52,Producao[[Granja Produção]:[Emp+CC]],4,0),"")</f>
        <v>26_167</v>
      </c>
      <c r="Q52" s="649" t="s">
        <v>136</v>
      </c>
      <c r="R52" s="640" t="str">
        <f>IFERROR(VLOOKUP(Q52,Producao[[Granja Produção]:[Núcleo]],2,0),"")</f>
        <v>(N2)</v>
      </c>
      <c r="S52" s="650">
        <v>3744</v>
      </c>
      <c r="T52" s="669">
        <f t="shared" si="10"/>
        <v>46295</v>
      </c>
      <c r="U52" s="670">
        <v>66</v>
      </c>
      <c r="V52" s="1301">
        <f>N168-T52</f>
        <v>57</v>
      </c>
      <c r="W52" s="671">
        <f t="shared" si="8"/>
        <v>46352</v>
      </c>
      <c r="X52" s="1083" t="str">
        <f>VLOOKUP(Q52,Q107:Q310,1,0)</f>
        <v>Salto 2 - PR</v>
      </c>
      <c r="Y52" s="1229">
        <f>SUMIF($Q$115:Q250,X52,$S$115:S250)</f>
        <v>38000</v>
      </c>
      <c r="AA52" s="818"/>
      <c r="AD52" s="1312"/>
      <c r="AE52" s="1312"/>
      <c r="AF52" s="1312"/>
      <c r="AI52" s="1319"/>
      <c r="AJ52" s="818"/>
    </row>
    <row r="53" spans="1:36">
      <c r="A53" s="684" t="s">
        <v>17</v>
      </c>
      <c r="B53" s="685">
        <v>45840</v>
      </c>
      <c r="C53" s="686">
        <v>45841</v>
      </c>
      <c r="D53" s="687" t="s">
        <v>137</v>
      </c>
      <c r="E53" s="687">
        <f t="shared" ca="1" si="9"/>
        <v>64.714285714285708</v>
      </c>
      <c r="F53" s="687" t="str">
        <f>IFERROR(VLOOKUP(G53,Recria[[Granja Recria]:[Emp+CC]],4,0),"")</f>
        <v>10_180</v>
      </c>
      <c r="G53" s="688" t="s">
        <v>135</v>
      </c>
      <c r="H53" s="689" t="str">
        <f>IFERROR(VLOOKUP(G53,Recria[[Granja Recria]:[Núcleo]],2,0),"")</f>
        <v>(N1)</v>
      </c>
      <c r="I53" s="690">
        <v>34000</v>
      </c>
      <c r="J53" s="684" t="s">
        <v>60</v>
      </c>
      <c r="K53" s="691">
        <v>29</v>
      </c>
      <c r="L53" s="804" t="str">
        <f>VLOOKUP(M53,Raca_Linhagem[],2,0)</f>
        <v>ROSS</v>
      </c>
      <c r="M53" s="804" t="s">
        <v>26</v>
      </c>
      <c r="N53" s="694">
        <f t="shared" si="11"/>
        <v>45988</v>
      </c>
      <c r="O53" s="695">
        <v>131725</v>
      </c>
      <c r="P53" s="691" t="str">
        <f>IFERROR(VLOOKUP(Q53,Producao[[Granja Produção]:[Emp+CC]],4,0),"")</f>
        <v>26_167</v>
      </c>
      <c r="Q53" s="696" t="s">
        <v>136</v>
      </c>
      <c r="R53" s="684" t="str">
        <f>IFERROR(VLOOKUP(Q53,Producao[[Granja Produção]:[Núcleo]],2,0),"")</f>
        <v>(N2)</v>
      </c>
      <c r="S53" s="697">
        <f>I53*0.98</f>
        <v>33320</v>
      </c>
      <c r="T53" s="698">
        <f t="shared" si="10"/>
        <v>46295</v>
      </c>
      <c r="U53" s="699">
        <v>65</v>
      </c>
      <c r="V53" s="1302">
        <f>N168-T52</f>
        <v>57</v>
      </c>
      <c r="W53" s="693">
        <f t="shared" si="8"/>
        <v>46352</v>
      </c>
      <c r="X53" s="1083" t="str">
        <f>VLOOKUP(Q53,Q109:Q306,1,0)</f>
        <v>Salto 2 - PR</v>
      </c>
      <c r="Y53" s="1229">
        <f>SUMIF($Q$115:Q253,X53,$S$115:S253)</f>
        <v>38000</v>
      </c>
      <c r="AA53" s="818"/>
      <c r="AD53" s="1312"/>
      <c r="AE53" s="1312"/>
      <c r="AF53" s="1312"/>
      <c r="AI53" s="1319"/>
      <c r="AJ53" s="818"/>
    </row>
    <row r="54" spans="1:36" ht="20.399999999999999" customHeight="1">
      <c r="A54" s="640" t="s">
        <v>17</v>
      </c>
      <c r="B54" s="641">
        <v>45839</v>
      </c>
      <c r="C54" s="642">
        <v>45841</v>
      </c>
      <c r="D54" s="643" t="s">
        <v>138</v>
      </c>
      <c r="E54" s="643">
        <f t="shared" ca="1" si="9"/>
        <v>64.714285714285708</v>
      </c>
      <c r="F54" s="643" t="str">
        <f>IFERROR(VLOOKUP(G54,Recria[[Granja Recria]:[Emp+CC]],4,0),"")</f>
        <v>139_149</v>
      </c>
      <c r="G54" s="644" t="s">
        <v>139</v>
      </c>
      <c r="H54" s="645" t="str">
        <f>IFERROR(VLOOKUP(G54,Recria[[Granja Recria]:[Núcleo]],2,0),"")</f>
        <v>(N2)</v>
      </c>
      <c r="I54" s="646">
        <v>60000</v>
      </c>
      <c r="J54" s="640" t="s">
        <v>48</v>
      </c>
      <c r="K54" s="640">
        <v>14</v>
      </c>
      <c r="L54" s="803" t="str">
        <f>VLOOKUP(M54,Raca_Linhagem[],2,0)</f>
        <v>COBB</v>
      </c>
      <c r="M54" s="803" t="s">
        <v>21</v>
      </c>
      <c r="N54" s="647">
        <f t="shared" si="11"/>
        <v>45988</v>
      </c>
      <c r="O54" s="692">
        <v>131825</v>
      </c>
      <c r="P54" s="648" t="str">
        <f>IFERROR(VLOOKUP(Q54,Producao[[Granja Produção]:[Emp+CC]],4,0),"")</f>
        <v>123_1537</v>
      </c>
      <c r="Q54" s="649" t="s">
        <v>140</v>
      </c>
      <c r="R54" s="640" t="str">
        <f>IFERROR(VLOOKUP(Q54,Producao[[Granja Produção]:[Núcleo]],2,0),"")</f>
        <v>(N2)</v>
      </c>
      <c r="S54" s="650">
        <v>57000</v>
      </c>
      <c r="T54" s="669">
        <f t="shared" si="10"/>
        <v>46309</v>
      </c>
      <c r="U54" s="670">
        <v>67</v>
      </c>
      <c r="V54" s="1302">
        <f>N171-T54</f>
        <v>64</v>
      </c>
      <c r="W54" s="671">
        <f t="shared" si="8"/>
        <v>46373</v>
      </c>
      <c r="X54" s="1083" t="str">
        <f>VLOOKUP(Q54,Q109:Q307,1,0)</f>
        <v>Fronteira 2 - PR</v>
      </c>
      <c r="Y54" s="1229">
        <f>SUMIF($Q$115:Q256,X54,$S$115:S256)</f>
        <v>57000</v>
      </c>
      <c r="AA54" s="818"/>
      <c r="AD54" s="1312"/>
      <c r="AE54" s="1312"/>
      <c r="AF54" s="1312"/>
      <c r="AI54" s="1319"/>
      <c r="AJ54" s="818"/>
    </row>
    <row r="55" spans="1:36">
      <c r="A55" s="684" t="s">
        <v>17</v>
      </c>
      <c r="B55" s="685">
        <v>45839</v>
      </c>
      <c r="C55" s="686">
        <v>45841</v>
      </c>
      <c r="D55" s="687" t="s">
        <v>141</v>
      </c>
      <c r="E55" s="687">
        <f t="shared" ca="1" si="9"/>
        <v>63</v>
      </c>
      <c r="F55" s="687" t="str">
        <f>IFERROR(VLOOKUP(G55,Recria[[Granja Recria]:[Emp+CC]],4,0),"")</f>
        <v>139_149</v>
      </c>
      <c r="G55" s="688" t="s">
        <v>139</v>
      </c>
      <c r="H55" s="689" t="str">
        <f>IFERROR(VLOOKUP(G55,Recria[[Granja Recria]:[Núcleo]],2,0),"")</f>
        <v>(N2)</v>
      </c>
      <c r="I55" s="690">
        <v>28000</v>
      </c>
      <c r="J55" s="684" t="s">
        <v>48</v>
      </c>
      <c r="K55" s="691">
        <v>14</v>
      </c>
      <c r="L55" s="803" t="str">
        <f>VLOOKUP(M55,Raca_Linhagem[],2,0)</f>
        <v>COBB</v>
      </c>
      <c r="M55" s="803" t="s">
        <v>21</v>
      </c>
      <c r="N55" s="694">
        <f t="shared" si="11"/>
        <v>45988</v>
      </c>
      <c r="O55" s="695">
        <v>131925</v>
      </c>
      <c r="P55" s="691" t="str">
        <f>IFERROR(VLOOKUP(Q55,Producao[[Granja Produção]:[Emp+CC]],4,0),"")</f>
        <v>10_856</v>
      </c>
      <c r="Q55" s="879" t="s">
        <v>142</v>
      </c>
      <c r="R55" s="691" t="str">
        <f>IFERROR(VLOOKUP(Q55,Producao[[Granja Produção]:[Núcleo]],2,0),"")</f>
        <v>(N1)</v>
      </c>
      <c r="S55" s="697">
        <f>I55*0.98</f>
        <v>27440</v>
      </c>
      <c r="T55" s="698">
        <f t="shared" si="10"/>
        <v>46281</v>
      </c>
      <c r="U55" s="699">
        <v>63</v>
      </c>
      <c r="V55" s="1302">
        <f>N163-T55</f>
        <v>57</v>
      </c>
      <c r="W55" s="693">
        <f t="shared" si="8"/>
        <v>46338</v>
      </c>
      <c r="X55" s="1083" t="str">
        <f>VLOOKUP(Q55,Q110:Q308,1,0)</f>
        <v>JS - PR</v>
      </c>
      <c r="Y55" s="1229">
        <f>SUMIF($Q$115:Q258,X55,$S$115:S258)</f>
        <v>36000</v>
      </c>
      <c r="AA55" s="818"/>
      <c r="AD55" s="1312"/>
      <c r="AE55" s="1312"/>
      <c r="AF55" s="1312"/>
      <c r="AI55" s="1319"/>
      <c r="AJ55" s="818"/>
    </row>
    <row r="56" spans="1:36">
      <c r="A56" s="640" t="s">
        <v>17</v>
      </c>
      <c r="B56" s="641">
        <v>45846</v>
      </c>
      <c r="C56" s="642">
        <v>45848</v>
      </c>
      <c r="D56" s="643" t="s">
        <v>143</v>
      </c>
      <c r="E56" s="643">
        <f t="shared" ca="1" si="9"/>
        <v>63</v>
      </c>
      <c r="F56" s="643" t="str">
        <f>IFERROR(VLOOKUP(G56,Recria[[Granja Recria]:[Emp+CC]],4,0),"")</f>
        <v>10_116</v>
      </c>
      <c r="G56" s="644" t="s">
        <v>144</v>
      </c>
      <c r="H56" s="645" t="str">
        <f>IFERROR(VLOOKUP(G56,Recria[[Granja Recria]:[Núcleo]],2,0),"")</f>
        <v>(N1)</v>
      </c>
      <c r="I56" s="646">
        <v>60000</v>
      </c>
      <c r="J56" s="640" t="s">
        <v>45</v>
      </c>
      <c r="K56" s="640">
        <v>62</v>
      </c>
      <c r="L56" s="803" t="str">
        <f>VLOOKUP(M56,Raca_Linhagem[],2,0)</f>
        <v>COBB</v>
      </c>
      <c r="M56" s="803" t="s">
        <v>21</v>
      </c>
      <c r="N56" s="647">
        <f t="shared" si="11"/>
        <v>45995</v>
      </c>
      <c r="O56" s="692">
        <v>131925</v>
      </c>
      <c r="P56" s="648" t="str">
        <f>IFERROR(VLOOKUP(Q56,Producao[[Granja Produção]:[Emp+CC]],4,0),"")</f>
        <v>10_856</v>
      </c>
      <c r="Q56" s="649" t="s">
        <v>142</v>
      </c>
      <c r="R56" s="640" t="str">
        <f>IFERROR(VLOOKUP(Q56,Producao[[Granja Produção]:[Núcleo]],2,0),"")</f>
        <v>(N1)</v>
      </c>
      <c r="S56" s="650">
        <v>6000</v>
      </c>
      <c r="T56" s="669">
        <f t="shared" si="10"/>
        <v>46288</v>
      </c>
      <c r="U56" s="670">
        <v>63</v>
      </c>
      <c r="V56" s="1301">
        <f>N163-T55</f>
        <v>57</v>
      </c>
      <c r="W56" s="671">
        <f t="shared" si="8"/>
        <v>46345</v>
      </c>
      <c r="X56" s="1083" t="str">
        <f>VLOOKUP(Q56,Q111:Q309,1,0)</f>
        <v>JS - PR</v>
      </c>
      <c r="Y56" s="1229">
        <f>SUMIF($Q$115:Q259,X56,$S$115:S259)</f>
        <v>36000</v>
      </c>
      <c r="AA56" s="818"/>
      <c r="AD56" s="1312"/>
      <c r="AE56" s="1312"/>
      <c r="AF56" s="1312"/>
      <c r="AI56" s="1319"/>
      <c r="AJ56" s="818"/>
    </row>
    <row r="57" spans="1:36">
      <c r="A57" s="640" t="s">
        <v>17</v>
      </c>
      <c r="B57" s="641">
        <v>45846</v>
      </c>
      <c r="C57" s="642">
        <v>45848</v>
      </c>
      <c r="D57" s="643" t="s">
        <v>143</v>
      </c>
      <c r="E57" s="643">
        <f t="shared" ca="1" si="9"/>
        <v>63</v>
      </c>
      <c r="F57" s="643" t="str">
        <f>IFERROR(VLOOKUP(G57,Recria[[Granja Recria]:[Emp+CC]],4,0),"")</f>
        <v>10_116</v>
      </c>
      <c r="G57" s="644" t="s">
        <v>144</v>
      </c>
      <c r="H57" s="645" t="str">
        <f>IFERROR(VLOOKUP(G57,Recria[[Granja Recria]:[Núcleo]],2,0),"")</f>
        <v>(N1)</v>
      </c>
      <c r="I57" s="646"/>
      <c r="J57" s="640" t="s">
        <v>45</v>
      </c>
      <c r="K57" s="640">
        <v>62</v>
      </c>
      <c r="L57" s="803" t="str">
        <f>VLOOKUP(M57,Raca_Linhagem[],2,0)</f>
        <v>COBB</v>
      </c>
      <c r="M57" s="803" t="s">
        <v>21</v>
      </c>
      <c r="N57" s="647">
        <f t="shared" si="11"/>
        <v>45995</v>
      </c>
      <c r="O57" s="692">
        <v>132025</v>
      </c>
      <c r="P57" s="648" t="str">
        <f>IFERROR(VLOOKUP(Q57,Producao[[Granja Produção]:[Emp+CC]],4,0),"")</f>
        <v>90_861</v>
      </c>
      <c r="Q57" s="649" t="s">
        <v>145</v>
      </c>
      <c r="R57" s="640" t="str">
        <f>IFERROR(VLOOKUP(Q57,Producao[[Granja Produção]:[Núcleo]],2,0),"")</f>
        <v>(N1)</v>
      </c>
      <c r="S57" s="650">
        <v>33000</v>
      </c>
      <c r="T57" s="669">
        <f t="shared" si="10"/>
        <v>46288</v>
      </c>
      <c r="U57" s="670">
        <v>63</v>
      </c>
      <c r="V57" s="653">
        <f>N174-T57</f>
        <v>99</v>
      </c>
      <c r="W57" s="671">
        <f t="shared" si="8"/>
        <v>46387</v>
      </c>
      <c r="X57" s="802" t="str">
        <f>VLOOKUP(Q57,Q112:Q313,1,0)</f>
        <v>Marafon - PR</v>
      </c>
      <c r="Y57" s="1229">
        <f>SUMIF($Q$115:Q260,X57,$S$115:S260)</f>
        <v>36000</v>
      </c>
      <c r="AA57" s="818"/>
      <c r="AD57" s="1312"/>
      <c r="AE57" s="1312"/>
      <c r="AF57" s="1312"/>
      <c r="AI57" s="1319"/>
      <c r="AJ57" s="818"/>
    </row>
    <row r="58" spans="1:36">
      <c r="A58" s="640" t="s">
        <v>17</v>
      </c>
      <c r="B58" s="641">
        <v>45846</v>
      </c>
      <c r="C58" s="642">
        <v>45848</v>
      </c>
      <c r="D58" s="643" t="s">
        <v>143</v>
      </c>
      <c r="E58" s="643">
        <f t="shared" ca="1" si="9"/>
        <v>61</v>
      </c>
      <c r="F58" s="643" t="str">
        <f>IFERROR(VLOOKUP(G58,Recria[[Granja Recria]:[Emp+CC]],4,0),"")</f>
        <v>10_116</v>
      </c>
      <c r="G58" s="644" t="s">
        <v>144</v>
      </c>
      <c r="H58" s="645" t="str">
        <f>IFERROR(VLOOKUP(G58,Recria[[Granja Recria]:[Núcleo]],2,0),"")</f>
        <v>(N1)</v>
      </c>
      <c r="I58" s="646"/>
      <c r="J58" s="640" t="s">
        <v>45</v>
      </c>
      <c r="K58" s="640">
        <v>62</v>
      </c>
      <c r="L58" s="803" t="str">
        <f>VLOOKUP(M58,Raca_Linhagem[],2,0)</f>
        <v>COBB</v>
      </c>
      <c r="M58" s="803" t="s">
        <v>21</v>
      </c>
      <c r="N58" s="647">
        <f t="shared" si="11"/>
        <v>45995</v>
      </c>
      <c r="O58" s="692">
        <v>132425</v>
      </c>
      <c r="P58" s="648" t="str">
        <f>IFERROR(VLOOKUP(Q58,Producao[[Granja Produção]:[Emp+CC]],4,0),"")</f>
        <v>10_367</v>
      </c>
      <c r="Q58" s="649" t="s">
        <v>146</v>
      </c>
      <c r="R58" s="640" t="str">
        <f>IFERROR(VLOOKUP(Q58,Producao[[Granja Produção]:[Núcleo]],2,0),"")</f>
        <v>(N1)</v>
      </c>
      <c r="S58" s="650">
        <v>19000</v>
      </c>
      <c r="T58" s="669">
        <f t="shared" si="10"/>
        <v>46274</v>
      </c>
      <c r="U58" s="670">
        <v>61</v>
      </c>
      <c r="V58" s="701">
        <f>N164-T58</f>
        <v>64</v>
      </c>
      <c r="W58" s="671">
        <f t="shared" si="8"/>
        <v>46338</v>
      </c>
      <c r="X58" s="802" t="str">
        <f>VLOOKUP(Q58,Q113:Q311,1,0)</f>
        <v>Ilha Bella 1 - PR</v>
      </c>
      <c r="Y58" s="1229">
        <f>SUMIF($Q$115:Q261,X58,$S$115:S261)</f>
        <v>78000</v>
      </c>
      <c r="AA58" s="818"/>
      <c r="AD58" s="1312"/>
      <c r="AE58" s="1312"/>
      <c r="AF58" s="1312"/>
      <c r="AI58" s="1319"/>
      <c r="AJ58" s="818"/>
    </row>
    <row r="59" spans="1:36">
      <c r="A59" s="640" t="s">
        <v>17</v>
      </c>
      <c r="B59" s="641">
        <v>45863</v>
      </c>
      <c r="C59" s="642">
        <v>45862</v>
      </c>
      <c r="D59" s="643" t="s">
        <v>147</v>
      </c>
      <c r="E59" s="643">
        <f t="shared" ca="1" si="9"/>
        <v>59</v>
      </c>
      <c r="F59" s="643" t="str">
        <f>IFERROR(VLOOKUP(G59,Recria[[Granja Recria]:[Emp+CC]],4,0),"")</f>
        <v>10_1405</v>
      </c>
      <c r="G59" s="644" t="s">
        <v>148</v>
      </c>
      <c r="H59" s="645" t="str">
        <f>IFERROR(VLOOKUP(G59,Recria[[Granja Recria]:[Núcleo]],2,0),"")</f>
        <v>(N1)</v>
      </c>
      <c r="I59" s="646">
        <v>60000</v>
      </c>
      <c r="J59" s="640" t="s">
        <v>20</v>
      </c>
      <c r="K59" s="640">
        <v>23</v>
      </c>
      <c r="L59" s="803" t="str">
        <f>VLOOKUP(M59,Raca_Linhagem[],2,0)</f>
        <v>COBB</v>
      </c>
      <c r="M59" s="638" t="s">
        <v>149</v>
      </c>
      <c r="N59" s="647">
        <f t="shared" si="11"/>
        <v>46009</v>
      </c>
      <c r="O59" s="692">
        <v>132125</v>
      </c>
      <c r="P59" s="648" t="str">
        <f>IFERROR(VLOOKUP(Q59,Producao[[Granja Produção]:[Emp+CC]],4,0),"")</f>
        <v>10_367</v>
      </c>
      <c r="Q59" s="649" t="s">
        <v>146</v>
      </c>
      <c r="R59" s="640" t="str">
        <f>IFERROR(VLOOKUP(Q59,Producao[[Granja Produção]:[Núcleo]],2,0),"")</f>
        <v>(N1)</v>
      </c>
      <c r="S59" s="650">
        <v>57000</v>
      </c>
      <c r="T59" s="669">
        <f t="shared" si="10"/>
        <v>46274</v>
      </c>
      <c r="U59" s="670">
        <v>59</v>
      </c>
      <c r="V59" s="701">
        <f>N164-T58</f>
        <v>64</v>
      </c>
      <c r="W59" s="671">
        <f t="shared" si="8"/>
        <v>46338</v>
      </c>
      <c r="X59" s="802" t="str">
        <f>VLOOKUP(Q59,Q113:Q311,1,0)</f>
        <v>Ilha Bella 1 - PR</v>
      </c>
      <c r="Y59" s="1229">
        <f>SUMIF($Q$115:Q262,X59,$S$115:S262)</f>
        <v>78000</v>
      </c>
      <c r="AA59" s="818"/>
      <c r="AD59" s="1312"/>
      <c r="AE59" s="1312"/>
      <c r="AF59" s="1312"/>
      <c r="AI59" s="1319"/>
      <c r="AJ59" s="818"/>
    </row>
    <row r="60" spans="1:36">
      <c r="A60" s="640" t="s">
        <v>17</v>
      </c>
      <c r="B60" s="641">
        <v>45862</v>
      </c>
      <c r="C60" s="642">
        <v>45869</v>
      </c>
      <c r="D60" s="643" t="s">
        <v>150</v>
      </c>
      <c r="E60" s="643">
        <f t="shared" ca="1" si="9"/>
        <v>60.714285714285715</v>
      </c>
      <c r="F60" s="643" t="str">
        <f>IFERROR(VLOOKUP(G60,Recria[[Granja Recria]:[Emp+CC]],4,0),"")</f>
        <v>27_165</v>
      </c>
      <c r="G60" s="644" t="s">
        <v>151</v>
      </c>
      <c r="H60" s="645" t="str">
        <f>IFERROR(VLOOKUP(G60,Recria[[Granja Recria]:[Núcleo]],2,0),"")</f>
        <v>(N1)</v>
      </c>
      <c r="I60" s="646">
        <v>42000</v>
      </c>
      <c r="J60" s="640" t="s">
        <v>20</v>
      </c>
      <c r="K60" s="640">
        <v>14</v>
      </c>
      <c r="L60" s="803" t="str">
        <f>VLOOKUP(M60,Raca_Linhagem[],2,0)</f>
        <v>COBB</v>
      </c>
      <c r="M60" s="803" t="s">
        <v>21</v>
      </c>
      <c r="N60" s="647">
        <f t="shared" si="11"/>
        <v>46016</v>
      </c>
      <c r="O60" s="692">
        <v>132225</v>
      </c>
      <c r="P60" s="648" t="str">
        <f>IFERROR(VLOOKUP(Q60,Producao[[Granja Produção]:[Emp+CC]],4,0),"")</f>
        <v>17_107</v>
      </c>
      <c r="Q60" s="649" t="s">
        <v>152</v>
      </c>
      <c r="R60" s="640" t="str">
        <f>IFERROR(VLOOKUP(Q60,Producao[[Granja Produção]:[Núcleo]],2,0),"")</f>
        <v>(N4)</v>
      </c>
      <c r="S60" s="650">
        <v>40000</v>
      </c>
      <c r="T60" s="669">
        <f t="shared" si="10"/>
        <v>46295</v>
      </c>
      <c r="U60" s="670">
        <v>61</v>
      </c>
      <c r="V60" s="701">
        <f>N166-T60</f>
        <v>43</v>
      </c>
      <c r="W60" s="671">
        <f t="shared" si="8"/>
        <v>46338</v>
      </c>
      <c r="X60" s="802" t="str">
        <f>VLOOKUP(Q60,Q114:Q312,1,0)</f>
        <v>Bela Vista 4 - PR</v>
      </c>
      <c r="Y60" s="1229">
        <f>SUMIF($Q$115:Q263,X60,$S$115:S263)</f>
        <v>44000</v>
      </c>
      <c r="AA60" s="818"/>
      <c r="AD60" s="1312"/>
      <c r="AE60" s="1312"/>
      <c r="AF60" s="1312"/>
      <c r="AI60" s="1319"/>
      <c r="AJ60" s="818"/>
    </row>
    <row r="61" spans="1:36">
      <c r="A61" s="640" t="s">
        <v>17</v>
      </c>
      <c r="B61" s="641">
        <v>45869</v>
      </c>
      <c r="C61" s="642">
        <v>45869</v>
      </c>
      <c r="D61" s="643" t="s">
        <v>153</v>
      </c>
      <c r="E61" s="643">
        <f ca="1">IF((TODAY()-C61)/7&gt;U70,U70,(TODAY()-C61)/7)</f>
        <v>60.714285714285715</v>
      </c>
      <c r="F61" s="643" t="str">
        <f>IFERROR(VLOOKUP(G61,Recria[[Granja Recria]:[Emp+CC]],4,0),"")</f>
        <v>10_1182</v>
      </c>
      <c r="G61" s="644" t="s">
        <v>154</v>
      </c>
      <c r="H61" s="645" t="str">
        <f>IFERROR(VLOOKUP(G61,Recria[[Granja Recria]:[Núcleo]],2,0),"")</f>
        <v>(N2)</v>
      </c>
      <c r="I61" s="646">
        <v>60000</v>
      </c>
      <c r="J61" s="640" t="s">
        <v>45</v>
      </c>
      <c r="K61" s="640">
        <v>49</v>
      </c>
      <c r="L61" s="806" t="str">
        <f>VLOOKUP(M61,Raca_Linhagem[],2,0)</f>
        <v>ROSS</v>
      </c>
      <c r="M61" s="806" t="s">
        <v>31</v>
      </c>
      <c r="N61" s="647">
        <f t="shared" si="11"/>
        <v>46016</v>
      </c>
      <c r="O61" s="692">
        <v>132325</v>
      </c>
      <c r="P61" s="648" t="str">
        <f>IFERROR(VLOOKUP(Q61,Producao[[Granja Produção]:[Emp+CC]],4,0),"")</f>
        <v>10_55</v>
      </c>
      <c r="Q61" s="649" t="s">
        <v>155</v>
      </c>
      <c r="R61" s="640" t="str">
        <f>IFERROR(VLOOKUP(Q61,Producao[[Granja Produção]:[Núcleo]],2,0),"")</f>
        <v>(N1)</v>
      </c>
      <c r="S61" s="650">
        <v>57000</v>
      </c>
      <c r="T61" s="669">
        <f t="shared" si="10"/>
        <v>46337</v>
      </c>
      <c r="U61" s="670">
        <v>67</v>
      </c>
      <c r="V61" s="701">
        <f>N173-T61</f>
        <v>43</v>
      </c>
      <c r="W61" s="671">
        <f t="shared" si="8"/>
        <v>46380</v>
      </c>
      <c r="X61" s="802" t="str">
        <f>VLOOKUP(Q61,Q116:Q314,1,0)</f>
        <v>Celso Hoffelder - PR</v>
      </c>
      <c r="Y61" s="1229">
        <f>SUMIF($Q$115:Q266,X61,$S$115:S266)</f>
        <v>57000</v>
      </c>
      <c r="AA61" s="818"/>
      <c r="AD61" s="1312"/>
      <c r="AE61" s="1312"/>
      <c r="AF61" s="1312"/>
      <c r="AI61" s="1319"/>
      <c r="AJ61" s="818"/>
    </row>
    <row r="62" spans="1:36">
      <c r="A62" s="640" t="s">
        <v>17</v>
      </c>
      <c r="B62" s="641">
        <v>45869</v>
      </c>
      <c r="C62" s="642">
        <v>45869</v>
      </c>
      <c r="D62" s="643" t="s">
        <v>156</v>
      </c>
      <c r="E62" s="643">
        <f t="shared" ref="E62:E69" ca="1" si="12">IF((TODAY()-C62)/7&gt;U62,U62,(TODAY()-C62)/7)</f>
        <v>60.714285714285715</v>
      </c>
      <c r="F62" s="643" t="str">
        <f>IFERROR(VLOOKUP(G62,Recria[[Granja Recria]:[Emp+CC]],4,0),"")</f>
        <v>10_327</v>
      </c>
      <c r="G62" s="644" t="s">
        <v>157</v>
      </c>
      <c r="H62" s="645" t="str">
        <f>IFERROR(VLOOKUP(G62,Recria[[Granja Recria]:[Núcleo]],2,0),"")</f>
        <v>(N2)</v>
      </c>
      <c r="I62" s="646">
        <v>38000</v>
      </c>
      <c r="J62" s="640" t="s">
        <v>60</v>
      </c>
      <c r="K62" s="640">
        <v>22</v>
      </c>
      <c r="L62" s="804" t="str">
        <f>VLOOKUP(M62,Raca_Linhagem[],2,0)</f>
        <v>ROSS</v>
      </c>
      <c r="M62" s="804" t="s">
        <v>26</v>
      </c>
      <c r="N62" s="647">
        <f t="shared" si="11"/>
        <v>46016</v>
      </c>
      <c r="O62" s="700">
        <v>130126</v>
      </c>
      <c r="P62" s="648" t="str">
        <f>IFERROR(VLOOKUP(Q62,Producao[[Granja Produção]:[Emp+CC]],4,0),"")</f>
        <v>118_863</v>
      </c>
      <c r="Q62" s="649" t="s">
        <v>158</v>
      </c>
      <c r="R62" s="640" t="str">
        <f>IFERROR(VLOOKUP(Q62,Producao[[Granja Produção]:[Núcleo]],2,0),"")</f>
        <v>(N2)</v>
      </c>
      <c r="S62" s="650">
        <v>36000</v>
      </c>
      <c r="T62" s="669">
        <f t="shared" si="10"/>
        <v>46344</v>
      </c>
      <c r="U62" s="670">
        <v>68</v>
      </c>
      <c r="V62" s="880">
        <f>N177-T62</f>
        <v>50</v>
      </c>
      <c r="W62" s="671">
        <f t="shared" si="8"/>
        <v>46394</v>
      </c>
      <c r="X62" s="802" t="str">
        <f>VLOOKUP(Q62,Q117:Q315,1,0)</f>
        <v>Renascença 2 - PR</v>
      </c>
      <c r="Y62" s="1229">
        <f>SUMIF($Q$115:Q264,X62,$S$115:S264)</f>
        <v>36000</v>
      </c>
      <c r="AA62" s="818"/>
      <c r="AD62" s="1312"/>
      <c r="AE62" s="1312"/>
      <c r="AF62" s="1312"/>
      <c r="AI62" s="1319"/>
      <c r="AJ62" s="818"/>
    </row>
    <row r="63" spans="1:36">
      <c r="A63" s="640" t="s">
        <v>17</v>
      </c>
      <c r="B63" s="896">
        <v>45885</v>
      </c>
      <c r="C63" s="642">
        <v>45883</v>
      </c>
      <c r="D63" s="643" t="s">
        <v>159</v>
      </c>
      <c r="E63" s="643">
        <f t="shared" ca="1" si="12"/>
        <v>58.714285714285715</v>
      </c>
      <c r="F63" s="643" t="str">
        <f>IFERROR(VLOOKUP(G63,Recria[[Granja Recria]:[Emp+CC]],4,0),"")</f>
        <v>117_1531</v>
      </c>
      <c r="G63" s="644" t="s">
        <v>160</v>
      </c>
      <c r="H63" s="645" t="str">
        <f>IFERROR(VLOOKUP(G63,Recria[[Granja Recria]:[Núcleo]],2,0),"")</f>
        <v>(N7)</v>
      </c>
      <c r="I63" s="646">
        <v>84000</v>
      </c>
      <c r="J63" s="640" t="s">
        <v>60</v>
      </c>
      <c r="K63" s="640">
        <v>13</v>
      </c>
      <c r="L63" s="804" t="str">
        <f>VLOOKUP(M63,Raca_Linhagem[],2,0)</f>
        <v>ROSS</v>
      </c>
      <c r="M63" s="804" t="s">
        <v>26</v>
      </c>
      <c r="N63" s="647">
        <f t="shared" si="11"/>
        <v>46030</v>
      </c>
      <c r="O63" s="692">
        <v>130126</v>
      </c>
      <c r="P63" s="648" t="str">
        <f>IFERROR(VLOOKUP(Q63,Producao[[Granja Produção]:[Emp+CC]],4,0),"")</f>
        <v>118_863</v>
      </c>
      <c r="Q63" s="649" t="s">
        <v>158</v>
      </c>
      <c r="R63" s="640" t="str">
        <f>IFERROR(VLOOKUP(Q63,Producao[[Granja Produção]:[Núcleo]],2,0),"")</f>
        <v>(N2)</v>
      </c>
      <c r="S63" s="650">
        <v>22500</v>
      </c>
      <c r="T63" s="669">
        <f t="shared" si="10"/>
        <v>46358</v>
      </c>
      <c r="U63" s="670">
        <v>68</v>
      </c>
      <c r="V63" s="880">
        <f>N177-T62</f>
        <v>50</v>
      </c>
      <c r="W63" s="671">
        <f t="shared" si="8"/>
        <v>46408</v>
      </c>
      <c r="X63" s="802" t="str">
        <f>VLOOKUP(Q63,Q118:Q316,1,0)</f>
        <v>Renascença 2 - PR</v>
      </c>
      <c r="Y63" s="1229">
        <f>SUMIF($Q$115:Q272,X63,$S$115:S272)</f>
        <v>36000</v>
      </c>
      <c r="AA63" s="818"/>
      <c r="AD63" s="1312"/>
      <c r="AE63" s="1312"/>
      <c r="AF63" s="1312"/>
      <c r="AI63" s="1319"/>
      <c r="AJ63" s="818"/>
    </row>
    <row r="64" spans="1:36">
      <c r="A64" s="640" t="s">
        <v>17</v>
      </c>
      <c r="B64" s="896">
        <v>45885</v>
      </c>
      <c r="C64" s="642">
        <v>45883</v>
      </c>
      <c r="D64" s="643" t="s">
        <v>159</v>
      </c>
      <c r="E64" s="643">
        <f t="shared" ca="1" si="12"/>
        <v>58.714285714285715</v>
      </c>
      <c r="F64" s="643" t="str">
        <f>IFERROR(VLOOKUP(G64,Recria[[Granja Recria]:[Emp+CC]],4,0),"")</f>
        <v>117_1531</v>
      </c>
      <c r="G64" s="644" t="s">
        <v>160</v>
      </c>
      <c r="H64" s="645" t="str">
        <f>IFERROR(VLOOKUP(G64,Recria[[Granja Recria]:[Núcleo]],2,0),"")</f>
        <v>(N7)</v>
      </c>
      <c r="I64" s="646"/>
      <c r="J64" s="640" t="s">
        <v>60</v>
      </c>
      <c r="K64" s="640">
        <v>13</v>
      </c>
      <c r="L64" s="804" t="str">
        <f>VLOOKUP(M64,Raca_Linhagem[],2,0)</f>
        <v>ROSS</v>
      </c>
      <c r="M64" s="804" t="s">
        <v>26</v>
      </c>
      <c r="N64" s="647">
        <f t="shared" si="11"/>
        <v>46030</v>
      </c>
      <c r="O64" s="692">
        <v>130226</v>
      </c>
      <c r="P64" s="648" t="str">
        <f>IFERROR(VLOOKUP(Q64,Producao[[Granja Produção]:[Emp+CC]],4,0),"")</f>
        <v>10_368</v>
      </c>
      <c r="Q64" s="649" t="s">
        <v>161</v>
      </c>
      <c r="R64" s="640" t="str">
        <f>IFERROR(VLOOKUP(Q64,Producao[[Granja Produção]:[Núcleo]],2,0),"")</f>
        <v>(N2)</v>
      </c>
      <c r="S64" s="650">
        <v>57500</v>
      </c>
      <c r="T64" s="669">
        <f t="shared" si="10"/>
        <v>46351</v>
      </c>
      <c r="U64" s="670">
        <v>67</v>
      </c>
      <c r="V64" s="701">
        <f>N177-T64</f>
        <v>43</v>
      </c>
      <c r="W64" s="671">
        <f t="shared" si="8"/>
        <v>46394</v>
      </c>
      <c r="X64" s="802" t="str">
        <f>VLOOKUP(Q64,Q119:Q317,1,0)</f>
        <v>Rossi 2 - PR</v>
      </c>
      <c r="Y64" s="1229">
        <f>SUMIF($Q$115:Q268,X64,$S$115:S268)</f>
        <v>57600</v>
      </c>
      <c r="AA64" s="818"/>
      <c r="AD64" s="1312"/>
      <c r="AE64" s="1312"/>
      <c r="AF64" s="1312"/>
      <c r="AI64" s="1319"/>
      <c r="AJ64" s="818"/>
    </row>
    <row r="65" spans="1:36">
      <c r="A65" s="640" t="s">
        <v>17</v>
      </c>
      <c r="B65" s="641">
        <f>N3+K3</f>
        <v>45883</v>
      </c>
      <c r="C65" s="642">
        <v>45883</v>
      </c>
      <c r="D65" s="643" t="s">
        <v>162</v>
      </c>
      <c r="E65" s="643">
        <f t="shared" ca="1" si="12"/>
        <v>58.714285714285715</v>
      </c>
      <c r="F65" s="643" t="str">
        <f>IFERROR(VLOOKUP(G65,Recria[[Granja Recria]:[Emp+CC]],4,0),"")</f>
        <v>10_203</v>
      </c>
      <c r="G65" s="644" t="s">
        <v>25</v>
      </c>
      <c r="H65" s="645" t="str">
        <f>IFERROR(VLOOKUP(G65,Recria[[Granja Recria]:[Núcleo]],2,0),"")</f>
        <v>(N1)</v>
      </c>
      <c r="I65" s="646">
        <v>60000</v>
      </c>
      <c r="J65" s="640" t="s">
        <v>45</v>
      </c>
      <c r="K65" s="640">
        <v>48</v>
      </c>
      <c r="L65" s="803" t="str">
        <f>VLOOKUP(M65,Raca_Linhagem[],2,0)</f>
        <v>COBB</v>
      </c>
      <c r="M65" s="803" t="s">
        <v>21</v>
      </c>
      <c r="N65" s="647">
        <f t="shared" si="11"/>
        <v>46030</v>
      </c>
      <c r="O65" s="692">
        <v>130326</v>
      </c>
      <c r="P65" s="648" t="str">
        <f>IFERROR(VLOOKUP(Q65,Producao[[Granja Produção]:[Emp+CC]],4,0),"")</f>
        <v>10_1535</v>
      </c>
      <c r="Q65" s="649" t="s">
        <v>163</v>
      </c>
      <c r="R65" s="640" t="str">
        <f>IFERROR(VLOOKUP(Q65,Producao[[Granja Produção]:[Núcleo]],2,0),"")</f>
        <v>(N2)</v>
      </c>
      <c r="S65" s="650">
        <v>57000</v>
      </c>
      <c r="T65" s="669">
        <f t="shared" si="10"/>
        <v>46358</v>
      </c>
      <c r="U65" s="670">
        <v>68</v>
      </c>
      <c r="V65" s="701">
        <f>N179-T65</f>
        <v>50</v>
      </c>
      <c r="W65" s="671">
        <f t="shared" si="8"/>
        <v>46408</v>
      </c>
      <c r="X65" s="802" t="str">
        <f>VLOOKUP(Q65,Q120:Q318,1,0)</f>
        <v>Ilha Bella 2 - PR</v>
      </c>
      <c r="Y65" s="1229">
        <f>SUMIF($Q$115:Q272,X65,$S$115:S272)</f>
        <v>58000</v>
      </c>
      <c r="AA65" s="818"/>
      <c r="AD65" s="1312"/>
      <c r="AE65" s="1312"/>
      <c r="AF65" s="1312"/>
      <c r="AI65" s="1319"/>
      <c r="AJ65" s="818"/>
    </row>
    <row r="66" spans="1:36">
      <c r="A66" s="640" t="s">
        <v>17</v>
      </c>
      <c r="B66" s="641">
        <v>45891</v>
      </c>
      <c r="C66" s="642">
        <v>45890</v>
      </c>
      <c r="D66" s="643" t="s">
        <v>164</v>
      </c>
      <c r="E66" s="643">
        <f t="shared" ca="1" si="12"/>
        <v>57.714285714285715</v>
      </c>
      <c r="F66" s="643" t="str">
        <f>IFERROR(VLOOKUP(G66,Recria[[Granja Recria]:[Emp+CC]],4,0),"")</f>
        <v>10_1295</v>
      </c>
      <c r="G66" s="644" t="s">
        <v>19</v>
      </c>
      <c r="H66" s="645" t="str">
        <f>IFERROR(VLOOKUP(G66,Recria[[Granja Recria]:[Núcleo]],2,0),"")</f>
        <v>(N3)</v>
      </c>
      <c r="I66" s="646">
        <v>84000</v>
      </c>
      <c r="J66" s="640" t="s">
        <v>45</v>
      </c>
      <c r="K66" s="640">
        <v>47</v>
      </c>
      <c r="L66" s="803" t="str">
        <f>VLOOKUP(M66,Raca_Linhagem[],2,0)</f>
        <v>COBB</v>
      </c>
      <c r="M66" s="638" t="s">
        <v>149</v>
      </c>
      <c r="N66" s="674">
        <f t="shared" si="11"/>
        <v>46037</v>
      </c>
      <c r="O66" s="648"/>
      <c r="P66" s="675" t="str">
        <f>IFERROR(VLOOKUP(Q66,Producao[[Granja Produção]:[Emp+CC]],4,0),"")</f>
        <v>87_854</v>
      </c>
      <c r="Q66" s="676" t="s">
        <v>165</v>
      </c>
      <c r="R66" s="677" t="str">
        <f>IFERROR(VLOOKUP(Q66,Producao[[Granja Produção]:[Núcleo]],2,0),"")</f>
        <v>(N2)</v>
      </c>
      <c r="S66" s="702">
        <v>20000</v>
      </c>
      <c r="T66" s="679">
        <f t="shared" si="10"/>
        <v>46351</v>
      </c>
      <c r="U66" s="680">
        <v>66</v>
      </c>
      <c r="V66" s="682"/>
      <c r="W66" s="681">
        <f t="shared" si="8"/>
        <v>46351</v>
      </c>
      <c r="X66" s="802" t="str">
        <f>VLOOKUP(Q66,Q121:Q319,1,0)</f>
        <v>Samambaia 2 - SP</v>
      </c>
      <c r="Y66" s="1229">
        <f>SUMIF($Q$115:Q272,X66,$S$115:S272)</f>
        <v>22000</v>
      </c>
      <c r="AA66" s="818"/>
      <c r="AD66" s="1312"/>
      <c r="AE66" s="1312"/>
      <c r="AF66" s="1312"/>
      <c r="AI66" s="1319"/>
      <c r="AJ66" s="818"/>
    </row>
    <row r="67" spans="1:36">
      <c r="A67" s="640" t="s">
        <v>17</v>
      </c>
      <c r="B67" s="641">
        <v>45891</v>
      </c>
      <c r="C67" s="642">
        <v>45890</v>
      </c>
      <c r="D67" s="643" t="s">
        <v>164</v>
      </c>
      <c r="E67" s="643">
        <f t="shared" ca="1" si="12"/>
        <v>57.714285714285715</v>
      </c>
      <c r="F67" s="643" t="str">
        <f>IFERROR(VLOOKUP(G67,Recria[[Granja Recria]:[Emp+CC]],4,0),"")</f>
        <v>10_1295</v>
      </c>
      <c r="G67" s="644" t="s">
        <v>19</v>
      </c>
      <c r="H67" s="645" t="str">
        <f>IFERROR(VLOOKUP(G67,Recria[[Granja Recria]:[Núcleo]],2,0),"")</f>
        <v>(N3)</v>
      </c>
      <c r="I67" s="646"/>
      <c r="J67" s="640" t="s">
        <v>45</v>
      </c>
      <c r="K67" s="640">
        <v>47</v>
      </c>
      <c r="L67" s="803" t="str">
        <f>VLOOKUP(M67,Raca_Linhagem[],2,0)</f>
        <v>COBB</v>
      </c>
      <c r="M67" s="638" t="s">
        <v>149</v>
      </c>
      <c r="N67" s="647">
        <f t="shared" si="11"/>
        <v>46037</v>
      </c>
      <c r="O67" s="692">
        <v>130426</v>
      </c>
      <c r="P67" s="648" t="str">
        <f>IFERROR(VLOOKUP(Q67,Producao[[Granja Produção]:[Emp+CC]],4,0),"")</f>
        <v>108_1387</v>
      </c>
      <c r="Q67" s="649" t="s">
        <v>166</v>
      </c>
      <c r="R67" s="640" t="str">
        <f>IFERROR(VLOOKUP(Q67,Producao[[Granja Produção]:[Núcleo]],2,0),"")</f>
        <v>(N1)</v>
      </c>
      <c r="S67" s="650">
        <v>22000</v>
      </c>
      <c r="T67" s="669">
        <f t="shared" si="10"/>
        <v>46358</v>
      </c>
      <c r="U67" s="670">
        <v>67</v>
      </c>
      <c r="V67" s="701">
        <f>N178-T67</f>
        <v>50</v>
      </c>
      <c r="W67" s="671">
        <f t="shared" si="8"/>
        <v>46408</v>
      </c>
      <c r="X67" s="802" t="str">
        <f>VLOOKUP(Q67,Q122:Q320,1,0)</f>
        <v>Saade - SC</v>
      </c>
      <c r="Y67" s="1229">
        <f>SUMIF($Q$115:Q272,X67,$S$115:S272)</f>
        <v>22000</v>
      </c>
      <c r="AA67" s="818"/>
      <c r="AD67" s="1312"/>
      <c r="AE67" s="1312"/>
      <c r="AF67" s="1312"/>
      <c r="AI67" s="1319"/>
      <c r="AJ67" s="818"/>
    </row>
    <row r="68" spans="1:36">
      <c r="A68" s="640" t="s">
        <v>17</v>
      </c>
      <c r="B68" s="641">
        <v>45891</v>
      </c>
      <c r="C68" s="642">
        <v>45890</v>
      </c>
      <c r="D68" s="643" t="s">
        <v>164</v>
      </c>
      <c r="E68" s="643">
        <f t="shared" ca="1" si="12"/>
        <v>57.714285714285715</v>
      </c>
      <c r="F68" s="643" t="str">
        <f>IFERROR(VLOOKUP(G68,Recria[[Granja Recria]:[Emp+CC]],4,0),"")</f>
        <v>10_1295</v>
      </c>
      <c r="G68" s="644" t="s">
        <v>19</v>
      </c>
      <c r="H68" s="645" t="str">
        <f>IFERROR(VLOOKUP(G68,Recria[[Granja Recria]:[Núcleo]],2,0),"")</f>
        <v>(N3)</v>
      </c>
      <c r="I68" s="646"/>
      <c r="J68" s="640" t="s">
        <v>45</v>
      </c>
      <c r="K68" s="640">
        <v>47</v>
      </c>
      <c r="L68" s="803" t="str">
        <f>VLOOKUP(M68,Raca_Linhagem[],2,0)</f>
        <v>COBB</v>
      </c>
      <c r="M68" s="638" t="s">
        <v>149</v>
      </c>
      <c r="N68" s="647">
        <f t="shared" si="11"/>
        <v>46037</v>
      </c>
      <c r="O68" s="692">
        <v>130526</v>
      </c>
      <c r="P68" s="648" t="str">
        <f>IFERROR(VLOOKUP(Q68,Producao[[Granja Produção]:[Emp+CC]],4,0),"")</f>
        <v>10_20</v>
      </c>
      <c r="Q68" s="649" t="s">
        <v>167</v>
      </c>
      <c r="R68" s="640" t="str">
        <f>IFERROR(VLOOKUP(Q68,Producao[[Granja Produção]:[Núcleo]],2,0),"")</f>
        <v>(N1)</v>
      </c>
      <c r="S68" s="650">
        <v>26500</v>
      </c>
      <c r="T68" s="669">
        <f t="shared" si="10"/>
        <v>46379</v>
      </c>
      <c r="U68" s="670">
        <v>70</v>
      </c>
      <c r="V68" s="701">
        <f>N187-T68</f>
        <v>71</v>
      </c>
      <c r="W68" s="671">
        <f t="shared" si="8"/>
        <v>46450</v>
      </c>
      <c r="X68" s="802" t="str">
        <f>VLOOKUP(Q68,Q123:Q321,1,0)</f>
        <v>Biava - PR</v>
      </c>
      <c r="Y68" s="1229">
        <f>SUMIF($Q$115:Q273,X68,$S$115:S273)</f>
        <v>26000</v>
      </c>
      <c r="AA68" s="818"/>
      <c r="AD68" s="1312"/>
      <c r="AE68" s="1312"/>
      <c r="AF68" s="1312"/>
      <c r="AI68" s="1319"/>
      <c r="AJ68" s="818"/>
    </row>
    <row r="69" spans="1:36">
      <c r="A69" s="640" t="s">
        <v>17</v>
      </c>
      <c r="B69" s="641">
        <f>N4+K4</f>
        <v>45895</v>
      </c>
      <c r="C69" s="642">
        <v>45897</v>
      </c>
      <c r="D69" s="643" t="s">
        <v>168</v>
      </c>
      <c r="E69" s="643">
        <f t="shared" ca="1" si="12"/>
        <v>56.714285714285715</v>
      </c>
      <c r="F69" s="643" t="str">
        <f>IFERROR(VLOOKUP(G69,Recria[[Granja Recria]:[Emp+CC]],4,0),"")</f>
        <v>117_139</v>
      </c>
      <c r="G69" s="644" t="s">
        <v>30</v>
      </c>
      <c r="H69" s="645" t="str">
        <f>IFERROR(VLOOKUP(G69,Recria[[Granja Recria]:[Núcleo]],2,0),"")</f>
        <v>(N4)</v>
      </c>
      <c r="I69" s="646">
        <v>42000</v>
      </c>
      <c r="J69" s="640" t="s">
        <v>45</v>
      </c>
      <c r="K69" s="640">
        <v>72</v>
      </c>
      <c r="L69" s="803" t="str">
        <f>VLOOKUP(M69,Raca_Linhagem[],2,0)</f>
        <v>COBB</v>
      </c>
      <c r="M69" s="803" t="s">
        <v>169</v>
      </c>
      <c r="N69" s="647">
        <f t="shared" si="11"/>
        <v>46044</v>
      </c>
      <c r="O69" s="692">
        <v>130626</v>
      </c>
      <c r="P69" s="648" t="str">
        <f>IFERROR(VLOOKUP(Q69,Producao[[Granja Produção]:[Emp+CC]],4,0),"")</f>
        <v>26_166</v>
      </c>
      <c r="Q69" s="649" t="s">
        <v>170</v>
      </c>
      <c r="R69" s="640" t="str">
        <f>IFERROR(VLOOKUP(Q69,Producao[[Granja Produção]:[Núcleo]],2,0),"")</f>
        <v>(N1)</v>
      </c>
      <c r="S69" s="650">
        <v>39000</v>
      </c>
      <c r="T69" s="669">
        <f t="shared" si="10"/>
        <v>46372</v>
      </c>
      <c r="U69" s="670">
        <v>68</v>
      </c>
      <c r="V69" s="701">
        <f>N185-T69</f>
        <v>57</v>
      </c>
      <c r="W69" s="671">
        <f t="shared" ref="W69:W100" si="13">IFERROR(T69+V69," ")</f>
        <v>46429</v>
      </c>
      <c r="X69" s="802" t="str">
        <f>VLOOKUP(Q69,Q124:Q322,1,0)</f>
        <v>Salto 1 - PR</v>
      </c>
      <c r="Y69" s="1229">
        <f>SUMIF($Q$115:Q273,X69,$S$115:S273)</f>
        <v>41280</v>
      </c>
      <c r="AA69" s="818"/>
      <c r="AD69" s="1312"/>
      <c r="AE69" s="1312"/>
      <c r="AF69" s="1312"/>
      <c r="AI69" s="1319"/>
      <c r="AJ69" s="818"/>
    </row>
    <row r="70" spans="1:36">
      <c r="A70" s="640" t="s">
        <v>17</v>
      </c>
      <c r="B70" s="641">
        <f>N6+K6</f>
        <v>45898</v>
      </c>
      <c r="C70" s="642">
        <v>45897</v>
      </c>
      <c r="D70" s="643" t="s">
        <v>171</v>
      </c>
      <c r="E70" s="643">
        <f ca="1">IF((TODAY()-C70)/7&gt;U80,U80,(TODAY()-C70)/7)</f>
        <v>56.714285714285715</v>
      </c>
      <c r="F70" s="643" t="str">
        <f>IFERROR(VLOOKUP(G70,Recria[[Granja Recria]:[Emp+CC]],4,0),"")</f>
        <v>128_1367</v>
      </c>
      <c r="G70" s="644" t="s">
        <v>36</v>
      </c>
      <c r="H70" s="645" t="str">
        <f>IFERROR(VLOOKUP(G70,Recria[[Granja Recria]:[Núcleo]],2,0),"")</f>
        <v>(N1)</v>
      </c>
      <c r="I70" s="646">
        <v>62500</v>
      </c>
      <c r="J70" s="640" t="s">
        <v>45</v>
      </c>
      <c r="K70" s="640">
        <v>55</v>
      </c>
      <c r="L70" s="803" t="str">
        <f>VLOOKUP(M70,Raca_Linhagem[],2,0)</f>
        <v>COBB</v>
      </c>
      <c r="M70" s="638" t="s">
        <v>149</v>
      </c>
      <c r="N70" s="647">
        <f t="shared" si="11"/>
        <v>46044</v>
      </c>
      <c r="O70" s="692">
        <v>130726</v>
      </c>
      <c r="P70" s="648" t="str">
        <f>IFERROR(VLOOKUP(Q70,Producao[[Granja Produção]:[Emp+CC]],4,0),"")</f>
        <v>123_1538</v>
      </c>
      <c r="Q70" s="649" t="s">
        <v>172</v>
      </c>
      <c r="R70" s="640" t="str">
        <f>IFERROR(VLOOKUP(Q70,Producao[[Granja Produção]:[Núcleo]],2,0),"")</f>
        <v>(N3)</v>
      </c>
      <c r="S70" s="650">
        <v>60000</v>
      </c>
      <c r="T70" s="669">
        <f t="shared" ref="T70:T101" si="14">C70+(U70*7)-1</f>
        <v>46365</v>
      </c>
      <c r="U70" s="670">
        <v>67</v>
      </c>
      <c r="V70" s="701">
        <f>N180-T70</f>
        <v>64</v>
      </c>
      <c r="W70" s="671">
        <f t="shared" si="13"/>
        <v>46429</v>
      </c>
      <c r="X70" s="802" t="str">
        <f>VLOOKUP(Q70,Q125:Q323,1,0)</f>
        <v>Fronteira 3 - PR</v>
      </c>
      <c r="Y70" s="1229">
        <f>SUMIF($Q$115:Q274,X70,$S$115:S274)</f>
        <v>57000</v>
      </c>
      <c r="AA70" s="818"/>
      <c r="AD70" s="1312"/>
      <c r="AE70" s="1312"/>
      <c r="AF70" s="1312"/>
      <c r="AI70" s="1319"/>
      <c r="AJ70" s="818"/>
    </row>
    <row r="71" spans="1:36">
      <c r="A71" s="640" t="s">
        <v>17</v>
      </c>
      <c r="B71" s="641">
        <f>N11+K11</f>
        <v>45905</v>
      </c>
      <c r="C71" s="642">
        <v>45904</v>
      </c>
      <c r="D71" s="643" t="s">
        <v>173</v>
      </c>
      <c r="E71" s="643">
        <f t="shared" ref="E71:E79" ca="1" si="15">IF((TODAY()-C71)/7&gt;U71,U71,(TODAY()-C71)/7)</f>
        <v>55.714285714285715</v>
      </c>
      <c r="F71" s="643" t="str">
        <f>IFERROR(VLOOKUP(G71,Recria[[Granja Recria]:[Emp+CC]],4,0),"")</f>
        <v>124_47</v>
      </c>
      <c r="G71" s="644" t="s">
        <v>52</v>
      </c>
      <c r="H71" s="645" t="str">
        <f>IFERROR(VLOOKUP(G71,Recria[[Granja Recria]:[Núcleo]],2,0),"")</f>
        <v>(N1)</v>
      </c>
      <c r="I71" s="646">
        <v>30000</v>
      </c>
      <c r="J71" s="640" t="s">
        <v>48</v>
      </c>
      <c r="K71" s="640">
        <v>23</v>
      </c>
      <c r="L71" s="804" t="str">
        <f>VLOOKUP(M71,Raca_Linhagem[],2,0)</f>
        <v>ROSS</v>
      </c>
      <c r="M71" s="804" t="s">
        <v>26</v>
      </c>
      <c r="N71" s="647">
        <f t="shared" si="11"/>
        <v>46051</v>
      </c>
      <c r="O71" s="692">
        <v>130926</v>
      </c>
      <c r="P71" s="648" t="str">
        <f>IFERROR(VLOOKUP(Q71,Producao[[Granja Produção]:[Emp+CC]],4,0),"")</f>
        <v>138_26</v>
      </c>
      <c r="Q71" s="649" t="s">
        <v>174</v>
      </c>
      <c r="R71" s="640" t="str">
        <f>IFERROR(VLOOKUP(Q71,Producao[[Granja Produção]:[Núcleo]],2,0),"")</f>
        <v>(N1)</v>
      </c>
      <c r="S71" s="650">
        <v>28000</v>
      </c>
      <c r="T71" s="669">
        <f t="shared" si="14"/>
        <v>46393</v>
      </c>
      <c r="U71" s="670">
        <v>70</v>
      </c>
      <c r="V71" s="701">
        <f>N184-T71</f>
        <v>46</v>
      </c>
      <c r="W71" s="671">
        <f t="shared" si="13"/>
        <v>46439</v>
      </c>
      <c r="X71" s="802" t="str">
        <f>VLOOKUP(Q71,Q126:Q324,1,0)</f>
        <v>Erveira - PR</v>
      </c>
      <c r="Y71" s="1229">
        <f>SUMIF($Q$115:Q276,X71,$S$115:S276)</f>
        <v>28000</v>
      </c>
      <c r="AA71" s="818"/>
      <c r="AD71" s="1312"/>
      <c r="AE71" s="1312"/>
      <c r="AF71" s="1312"/>
      <c r="AI71" s="1319"/>
      <c r="AJ71" s="818"/>
    </row>
    <row r="72" spans="1:36">
      <c r="A72" s="640" t="s">
        <v>17</v>
      </c>
      <c r="B72" s="641">
        <f>N9+K9</f>
        <v>45904</v>
      </c>
      <c r="C72" s="642">
        <v>45904</v>
      </c>
      <c r="D72" s="643" t="s">
        <v>175</v>
      </c>
      <c r="E72" s="643">
        <f t="shared" ca="1" si="15"/>
        <v>55.714285714285715</v>
      </c>
      <c r="F72" s="643" t="str">
        <f>IFERROR(VLOOKUP(G72,Recria[[Granja Recria]:[Emp+CC]],4,0),"")</f>
        <v>10_857</v>
      </c>
      <c r="G72" s="644" t="s">
        <v>47</v>
      </c>
      <c r="H72" s="645" t="str">
        <f>IFERROR(VLOOKUP(G72,Recria[[Granja Recria]:[Núcleo]],2,0),"")</f>
        <v>(N2)</v>
      </c>
      <c r="I72" s="646">
        <v>60000</v>
      </c>
      <c r="J72" s="640" t="s">
        <v>45</v>
      </c>
      <c r="K72" s="640">
        <v>64</v>
      </c>
      <c r="L72" s="804" t="str">
        <f>VLOOKUP(M72,Raca_Linhagem[],2,0)</f>
        <v>ROSS</v>
      </c>
      <c r="M72" s="804" t="s">
        <v>26</v>
      </c>
      <c r="N72" s="647">
        <f t="shared" si="11"/>
        <v>46051</v>
      </c>
      <c r="O72" s="692">
        <v>130826</v>
      </c>
      <c r="P72" s="648" t="str">
        <f>IFERROR(VLOOKUP(Q72,Producao[[Granja Produção]:[Emp+CC]],4,0),"")</f>
        <v>123_1539</v>
      </c>
      <c r="Q72" s="649" t="s">
        <v>176</v>
      </c>
      <c r="R72" s="640" t="str">
        <f>IFERROR(VLOOKUP(Q72,Producao[[Granja Produção]:[Núcleo]],2,0),"")</f>
        <v>(N4)</v>
      </c>
      <c r="S72" s="650">
        <v>60000</v>
      </c>
      <c r="T72" s="669">
        <f t="shared" si="14"/>
        <v>46379</v>
      </c>
      <c r="U72" s="670">
        <v>68</v>
      </c>
      <c r="V72" s="701">
        <f>N186-T72</f>
        <v>57</v>
      </c>
      <c r="W72" s="671">
        <f t="shared" si="13"/>
        <v>46436</v>
      </c>
      <c r="X72" s="802" t="str">
        <f>VLOOKUP(Q72,Q127:Q325,1,0)</f>
        <v>Fronteira 4 - PR</v>
      </c>
      <c r="Y72" s="1229">
        <f>SUMIF($Q$115:Q277,X72,$S$115:S277)</f>
        <v>57600</v>
      </c>
      <c r="AA72" s="818"/>
      <c r="AD72" s="1312"/>
      <c r="AE72" s="1312"/>
      <c r="AF72" s="1312"/>
      <c r="AI72" s="1319"/>
      <c r="AJ72" s="818"/>
    </row>
    <row r="73" spans="1:36" s="477" customFormat="1">
      <c r="A73" s="706" t="s">
        <v>177</v>
      </c>
      <c r="B73" s="707">
        <v>45913</v>
      </c>
      <c r="C73" s="708">
        <v>45911</v>
      </c>
      <c r="D73" s="709"/>
      <c r="E73" s="709">
        <f t="shared" ca="1" si="15"/>
        <v>54.714285714285715</v>
      </c>
      <c r="F73" s="709" t="str">
        <f>IFERROR(VLOOKUP(G73,Recria[[Granja Recria]:[Emp+CC]],4,0),"")</f>
        <v>39_464</v>
      </c>
      <c r="G73" s="710" t="s">
        <v>178</v>
      </c>
      <c r="H73" s="711" t="str">
        <f>IFERROR(VLOOKUP(G73,Recria[[Granja Recria]:[Núcleo]],2,0),"")</f>
        <v>(N2)</v>
      </c>
      <c r="I73" s="712"/>
      <c r="J73" s="713" t="s">
        <v>60</v>
      </c>
      <c r="K73" s="713">
        <v>25</v>
      </c>
      <c r="L73" s="806" t="str">
        <f>VLOOKUP(M73,Raca_Linhagem[],2,0)</f>
        <v>COBB</v>
      </c>
      <c r="M73" s="806" t="s">
        <v>37</v>
      </c>
      <c r="N73" s="647">
        <f t="shared" si="11"/>
        <v>46058</v>
      </c>
      <c r="O73" s="692">
        <v>131026</v>
      </c>
      <c r="P73" s="648" t="str">
        <f>IFERROR(VLOOKUP(Q73,Producao[[Granja Produção]:[Emp+CC]],4,0),"")</f>
        <v>10_18</v>
      </c>
      <c r="Q73" s="649" t="s">
        <v>179</v>
      </c>
      <c r="R73" s="640" t="str">
        <f>IFERROR(VLOOKUP(Q73,Producao[[Granja Produção]:[Núcleo]],2,0),"")</f>
        <v>(N1)</v>
      </c>
      <c r="S73" s="650">
        <v>25000</v>
      </c>
      <c r="T73" s="669">
        <f t="shared" si="14"/>
        <v>46386</v>
      </c>
      <c r="U73" s="670">
        <v>68</v>
      </c>
      <c r="V73" s="701">
        <f>N188-T73</f>
        <v>64</v>
      </c>
      <c r="W73" s="671">
        <f t="shared" si="13"/>
        <v>46450</v>
      </c>
      <c r="X73" s="802" t="str">
        <f>VLOOKUP(Q73,Q128:Q326,1,0)</f>
        <v>Alto Verê - PR</v>
      </c>
      <c r="Y73" s="1229">
        <f>SUMIF($Q$115:Q278,X73,$S$115:S278)</f>
        <v>25000</v>
      </c>
      <c r="Z73" s="476"/>
      <c r="AA73" s="818"/>
      <c r="AC73" s="817"/>
      <c r="AD73" s="1312"/>
      <c r="AE73" s="1312"/>
      <c r="AF73" s="1312"/>
      <c r="AI73" s="1319"/>
      <c r="AJ73" s="818"/>
    </row>
    <row r="74" spans="1:36" s="477" customFormat="1">
      <c r="A74" s="706" t="s">
        <v>177</v>
      </c>
      <c r="B74" s="707">
        <v>45913</v>
      </c>
      <c r="C74" s="708">
        <v>45911</v>
      </c>
      <c r="D74" s="709"/>
      <c r="E74" s="709">
        <f t="shared" ca="1" si="15"/>
        <v>54.714285714285715</v>
      </c>
      <c r="F74" s="709" t="str">
        <f>IFERROR(VLOOKUP(G74,Recria[[Granja Recria]:[Emp+CC]],4,0),"")</f>
        <v>39_464</v>
      </c>
      <c r="G74" s="710" t="s">
        <v>178</v>
      </c>
      <c r="H74" s="711" t="str">
        <f>IFERROR(VLOOKUP(G74,Recria[[Granja Recria]:[Núcleo]],2,0),"")</f>
        <v>(N2)</v>
      </c>
      <c r="I74" s="712"/>
      <c r="J74" s="713" t="s">
        <v>60</v>
      </c>
      <c r="K74" s="713">
        <v>25</v>
      </c>
      <c r="L74" s="806" t="str">
        <f>VLOOKUP(M74,Raca_Linhagem[],2,0)</f>
        <v>COBB</v>
      </c>
      <c r="M74" s="806" t="s">
        <v>37</v>
      </c>
      <c r="N74" s="1030">
        <f t="shared" si="11"/>
        <v>46058</v>
      </c>
      <c r="O74" s="1031">
        <v>131126</v>
      </c>
      <c r="P74" s="1032" t="str">
        <f>IFERROR(VLOOKUP(Q74,Producao[[Granja Produção]:[Emp+CC]],4,0),"")</f>
        <v>17_106</v>
      </c>
      <c r="Q74" s="1033" t="s">
        <v>180</v>
      </c>
      <c r="R74" s="655" t="str">
        <f>IFERROR(VLOOKUP(Q74,Producao[[Granja Produção]:[Núcleo]],2,0),"")</f>
        <v>(N3)</v>
      </c>
      <c r="S74" s="1034">
        <v>12500</v>
      </c>
      <c r="T74" s="669">
        <f t="shared" si="14"/>
        <v>46379</v>
      </c>
      <c r="U74" s="670">
        <v>67</v>
      </c>
      <c r="V74" s="701">
        <f>N181-T74</f>
        <v>31</v>
      </c>
      <c r="W74" s="671">
        <f t="shared" si="13"/>
        <v>46410</v>
      </c>
      <c r="X74" s="802" t="str">
        <f>VLOOKUP(Q74,Q130:Q326,1,0)</f>
        <v>Bela Vista 3 - PR</v>
      </c>
      <c r="Y74" s="1229">
        <f>SUMIF($Q$115:Q280,X74,$S$115:S280)</f>
        <v>39800</v>
      </c>
      <c r="Z74" s="476"/>
      <c r="AA74" s="818"/>
      <c r="AC74" s="817"/>
      <c r="AD74" s="1312"/>
      <c r="AE74" s="1312"/>
      <c r="AF74" s="1312"/>
      <c r="AI74" s="1319"/>
      <c r="AJ74" s="818"/>
    </row>
    <row r="75" spans="1:36">
      <c r="A75" s="640" t="s">
        <v>17</v>
      </c>
      <c r="B75" s="641">
        <f>N12+K12</f>
        <v>45924</v>
      </c>
      <c r="C75" s="642">
        <v>45925</v>
      </c>
      <c r="D75" s="643" t="s">
        <v>181</v>
      </c>
      <c r="E75" s="643">
        <f t="shared" ca="1" si="15"/>
        <v>52.714285714285715</v>
      </c>
      <c r="F75" s="643" t="str">
        <f>IFERROR(VLOOKUP(G75,Recria[[Granja Recria]:[Emp+CC]],4,0),"")</f>
        <v>139_49</v>
      </c>
      <c r="G75" s="644" t="s">
        <v>59</v>
      </c>
      <c r="H75" s="645" t="str">
        <f>IFERROR(VLOOKUP(G75,Recria[[Granja Recria]:[Núcleo]],2,0),"")</f>
        <v>(N1)</v>
      </c>
      <c r="I75" s="646">
        <v>60000</v>
      </c>
      <c r="J75" s="640" t="s">
        <v>45</v>
      </c>
      <c r="K75" s="640">
        <v>47</v>
      </c>
      <c r="L75" s="803" t="str">
        <f>VLOOKUP(M75,Raca_Linhagem[],2,0)</f>
        <v>COBB</v>
      </c>
      <c r="M75" s="803" t="s">
        <v>112</v>
      </c>
      <c r="N75" s="1030">
        <f t="shared" si="11"/>
        <v>46072</v>
      </c>
      <c r="O75" s="1031">
        <v>131326</v>
      </c>
      <c r="P75" s="1032" t="str">
        <f>IFERROR(VLOOKUP(Q75,Producao[[Granja Produção]:[Emp+CC]],4,0),"")</f>
        <v>10_52</v>
      </c>
      <c r="Q75" s="1033" t="s">
        <v>182</v>
      </c>
      <c r="R75" s="655" t="str">
        <f>IFERROR(VLOOKUP(Q75,Producao[[Granja Produção]:[Núcleo]],2,0),"")</f>
        <v>(N2)</v>
      </c>
      <c r="S75" s="1034">
        <v>50000</v>
      </c>
      <c r="T75" s="669">
        <f t="shared" si="14"/>
        <v>46386</v>
      </c>
      <c r="U75" s="670">
        <v>66</v>
      </c>
      <c r="V75" s="701">
        <f>N189-T75</f>
        <v>64</v>
      </c>
      <c r="W75" s="671">
        <f t="shared" si="13"/>
        <v>46450</v>
      </c>
      <c r="X75" s="802" t="str">
        <f>VLOOKUP(Q75,Q131:Q326,1,0)</f>
        <v>Km 45 nucleo 2 - PR</v>
      </c>
      <c r="Y75" s="1229">
        <f>SUMIF($Q$115:Q287,X75,$S$115:S287)</f>
        <v>50000</v>
      </c>
      <c r="AA75" s="818"/>
      <c r="AD75" s="1312"/>
      <c r="AE75" s="1312"/>
      <c r="AF75" s="1312"/>
      <c r="AI75" s="1319"/>
      <c r="AJ75" s="818"/>
    </row>
    <row r="76" spans="1:36">
      <c r="A76" s="640" t="s">
        <v>17</v>
      </c>
      <c r="B76" s="641">
        <f>N12+K12</f>
        <v>45924</v>
      </c>
      <c r="C76" s="642">
        <v>45925</v>
      </c>
      <c r="D76" s="643" t="s">
        <v>181</v>
      </c>
      <c r="E76" s="643">
        <f t="shared" ca="1" si="15"/>
        <v>52.714285714285715</v>
      </c>
      <c r="F76" s="643" t="str">
        <f>IFERROR(VLOOKUP(G76,Recria[[Granja Recria]:[Emp+CC]],4,0),"")</f>
        <v>139_49</v>
      </c>
      <c r="G76" s="644" t="s">
        <v>59</v>
      </c>
      <c r="H76" s="645" t="str">
        <f>IFERROR(VLOOKUP(G76,Recria[[Granja Recria]:[Núcleo]],2,0),"")</f>
        <v>(N1)</v>
      </c>
      <c r="I76" s="646"/>
      <c r="J76" s="640" t="s">
        <v>45</v>
      </c>
      <c r="K76" s="640">
        <v>47</v>
      </c>
      <c r="L76" s="803" t="str">
        <f>VLOOKUP(M76,Raca_Linhagem[],2,0)</f>
        <v>COBB</v>
      </c>
      <c r="M76" s="803" t="s">
        <v>112</v>
      </c>
      <c r="N76" s="1030">
        <f t="shared" si="11"/>
        <v>46072</v>
      </c>
      <c r="O76" s="1031">
        <v>131126</v>
      </c>
      <c r="P76" s="1032" t="str">
        <f>IFERROR(VLOOKUP(Q76,Producao[[Granja Produção]:[Emp+CC]],4,0),"")</f>
        <v>17_106</v>
      </c>
      <c r="Q76" s="1033" t="s">
        <v>180</v>
      </c>
      <c r="R76" s="655" t="str">
        <f>IFERROR(VLOOKUP(Q76,Producao[[Granja Produção]:[Núcleo]],2,0),"")</f>
        <v>(N3)</v>
      </c>
      <c r="S76" s="1034">
        <v>7000</v>
      </c>
      <c r="T76" s="669">
        <f t="shared" si="14"/>
        <v>46379</v>
      </c>
      <c r="U76" s="670">
        <v>65</v>
      </c>
      <c r="V76" s="701">
        <f>N181-T74</f>
        <v>31</v>
      </c>
      <c r="W76" s="671">
        <f t="shared" si="13"/>
        <v>46410</v>
      </c>
      <c r="X76" s="802" t="str">
        <f>VLOOKUP(Q76,Q132:Q327,1,0)</f>
        <v>Bela Vista 3 - PR</v>
      </c>
      <c r="Y76" s="1229">
        <f>SUMIF($Q$115:Q281,X76,$S$115:S281)</f>
        <v>39800</v>
      </c>
      <c r="AA76" s="818"/>
      <c r="AD76" s="1312"/>
      <c r="AE76" s="1312"/>
      <c r="AF76" s="1312"/>
      <c r="AI76" s="1319"/>
      <c r="AJ76" s="818"/>
    </row>
    <row r="77" spans="1:36">
      <c r="A77" s="640" t="s">
        <v>17</v>
      </c>
      <c r="B77" s="641">
        <f>N20+K20</f>
        <v>45926</v>
      </c>
      <c r="C77" s="642">
        <v>45925</v>
      </c>
      <c r="D77" s="643" t="s">
        <v>183</v>
      </c>
      <c r="E77" s="643">
        <f t="shared" ca="1" si="15"/>
        <v>52.714285714285715</v>
      </c>
      <c r="F77" s="643" t="str">
        <f>IFERROR(VLOOKUP(G77,Recria[[Granja Recria]:[Emp+CC]],4,0),"")</f>
        <v>112_29</v>
      </c>
      <c r="G77" s="644" t="s">
        <v>68</v>
      </c>
      <c r="H77" s="645" t="str">
        <f>IFERROR(VLOOKUP(G77,Recria[[Granja Recria]:[Núcleo]],2,0),"")</f>
        <v>(N1)</v>
      </c>
      <c r="I77" s="646">
        <v>107000</v>
      </c>
      <c r="J77" s="640" t="s">
        <v>20</v>
      </c>
      <c r="K77" s="640">
        <v>22</v>
      </c>
      <c r="L77" s="804" t="str">
        <f>VLOOKUP(M77,Raca_Linhagem[],2,0)</f>
        <v>ROSS</v>
      </c>
      <c r="M77" s="804" t="s">
        <v>26</v>
      </c>
      <c r="N77" s="1030">
        <f t="shared" ref="N77:N112" si="16">C77+(22*7)-7</f>
        <v>46072</v>
      </c>
      <c r="O77" s="1031">
        <v>131226</v>
      </c>
      <c r="P77" s="1032" t="str">
        <f>IFERROR(VLOOKUP(Q77,Producao[[Granja Produção]:[Emp+CC]],4,0),"")</f>
        <v>17_106</v>
      </c>
      <c r="Q77" s="1033" t="s">
        <v>180</v>
      </c>
      <c r="R77" s="655" t="str">
        <f>IFERROR(VLOOKUP(Q77,Producao[[Granja Produção]:[Núcleo]],2,0),"")</f>
        <v>(N3)</v>
      </c>
      <c r="S77" s="1034">
        <v>20000</v>
      </c>
      <c r="T77" s="669">
        <f t="shared" si="14"/>
        <v>46379</v>
      </c>
      <c r="U77" s="670">
        <v>65</v>
      </c>
      <c r="V77" s="701">
        <f>N181-T74</f>
        <v>31</v>
      </c>
      <c r="W77" s="671">
        <f t="shared" si="13"/>
        <v>46410</v>
      </c>
      <c r="X77" s="802" t="str">
        <f>VLOOKUP(Q77,Q133:Q328,1,0)</f>
        <v>Bela Vista 3 - PR</v>
      </c>
      <c r="Y77" s="1229">
        <f>SUMIF($Q$115:Q282,X77,$S$115:S282)</f>
        <v>39800</v>
      </c>
      <c r="AA77" s="818"/>
      <c r="AD77" s="1312"/>
      <c r="AE77" s="1312"/>
      <c r="AF77" s="1312"/>
      <c r="AI77" s="1319"/>
      <c r="AJ77" s="818"/>
    </row>
    <row r="78" spans="1:36">
      <c r="A78" s="640" t="s">
        <v>17</v>
      </c>
      <c r="B78" s="641">
        <f>N20+K20</f>
        <v>45926</v>
      </c>
      <c r="C78" s="642">
        <v>45925</v>
      </c>
      <c r="D78" s="643" t="s">
        <v>183</v>
      </c>
      <c r="E78" s="643">
        <f t="shared" ca="1" si="15"/>
        <v>52.714285714285715</v>
      </c>
      <c r="F78" s="643" t="str">
        <f>IFERROR(VLOOKUP(G78,Recria[[Granja Recria]:[Emp+CC]],4,0),"")</f>
        <v>112_29</v>
      </c>
      <c r="G78" s="644" t="s">
        <v>68</v>
      </c>
      <c r="H78" s="645" t="str">
        <f>IFERROR(VLOOKUP(G78,Recria[[Granja Recria]:[Núcleo]],2,0),"")</f>
        <v>(N1)</v>
      </c>
      <c r="I78" s="646"/>
      <c r="J78" s="640" t="s">
        <v>20</v>
      </c>
      <c r="K78" s="640">
        <v>22</v>
      </c>
      <c r="L78" s="804" t="str">
        <f>VLOOKUP(M78,Raca_Linhagem[],2,0)</f>
        <v>ROSS</v>
      </c>
      <c r="M78" s="804" t="s">
        <v>26</v>
      </c>
      <c r="N78" s="1030">
        <f t="shared" si="16"/>
        <v>46072</v>
      </c>
      <c r="O78" s="1031">
        <v>131426</v>
      </c>
      <c r="P78" s="1032" t="str">
        <f>IFERROR(VLOOKUP(Q78,Producao[[Granja Produção]:[Emp+CC]],4,0),"")</f>
        <v>118_1081</v>
      </c>
      <c r="Q78" s="1033" t="s">
        <v>184</v>
      </c>
      <c r="R78" s="655" t="str">
        <f>IFERROR(VLOOKUP(Q78,Producao[[Granja Produção]:[Núcleo]],2,0),"")</f>
        <v>(N3)</v>
      </c>
      <c r="S78" s="1034">
        <v>57000</v>
      </c>
      <c r="T78" s="669">
        <f t="shared" si="14"/>
        <v>46393</v>
      </c>
      <c r="U78" s="670">
        <v>67</v>
      </c>
      <c r="V78" s="701">
        <f>N190-T78</f>
        <v>57</v>
      </c>
      <c r="W78" s="671">
        <f t="shared" si="13"/>
        <v>46450</v>
      </c>
      <c r="X78" s="802" t="str">
        <f>VLOOKUP(Q78,Q134:Q329,1,0)</f>
        <v>Renascença 3 - PR</v>
      </c>
      <c r="Y78" s="1229">
        <f>SUMIF($Q$115:Q283,X78,$S$115:S283)</f>
        <v>57600</v>
      </c>
      <c r="AA78" s="818"/>
      <c r="AC78" s="1313" t="str">
        <f t="shared" ref="AC78:AC116" si="17">Q78</f>
        <v>Renascença 3 - PR</v>
      </c>
      <c r="AD78" s="1314">
        <f t="shared" ref="AD78:AD129" si="18">C78</f>
        <v>45925</v>
      </c>
      <c r="AE78" s="1314">
        <f t="shared" ref="AE78:AE129" si="19">N78</f>
        <v>46072</v>
      </c>
      <c r="AF78" s="1314">
        <f t="shared" ref="AF78:AF129" si="20">T78</f>
        <v>46393</v>
      </c>
      <c r="AG78" s="1315" t="str">
        <f>M78</f>
        <v>AP95 - 344</v>
      </c>
      <c r="AH78" s="1315" t="str">
        <f>L78</f>
        <v>ROSS</v>
      </c>
      <c r="AI78" s="1319"/>
      <c r="AJ78" s="818"/>
    </row>
    <row r="79" spans="1:36">
      <c r="A79" s="640" t="s">
        <v>17</v>
      </c>
      <c r="B79" s="641">
        <f>N21+K21</f>
        <v>45926</v>
      </c>
      <c r="C79" s="642">
        <v>45925</v>
      </c>
      <c r="D79" s="643" t="s">
        <v>183</v>
      </c>
      <c r="E79" s="643">
        <f t="shared" ca="1" si="15"/>
        <v>52.714285714285715</v>
      </c>
      <c r="F79" s="643" t="str">
        <f>IFERROR(VLOOKUP(G79,Recria[[Granja Recria]:[Emp+CC]],4,0),"")</f>
        <v>112_29</v>
      </c>
      <c r="G79" s="644" t="s">
        <v>68</v>
      </c>
      <c r="H79" s="645" t="str">
        <f>IFERROR(VLOOKUP(G79,Recria[[Granja Recria]:[Núcleo]],2,0),"")</f>
        <v>(N1)</v>
      </c>
      <c r="I79" s="646"/>
      <c r="J79" s="640" t="s">
        <v>20</v>
      </c>
      <c r="K79" s="640">
        <v>22</v>
      </c>
      <c r="L79" s="804" t="str">
        <f>VLOOKUP(M79,Raca_Linhagem[],2,0)</f>
        <v>ROSS</v>
      </c>
      <c r="M79" s="804" t="s">
        <v>26</v>
      </c>
      <c r="N79" s="1030">
        <f t="shared" si="16"/>
        <v>46072</v>
      </c>
      <c r="O79" s="1031">
        <v>131526</v>
      </c>
      <c r="P79" s="1032" t="str">
        <f>IFERROR(VLOOKUP(Q79,Producao[[Granja Produção]:[Emp+CC]],4,0),"")</f>
        <v>89_864</v>
      </c>
      <c r="Q79" s="1033" t="s">
        <v>185</v>
      </c>
      <c r="R79" s="655" t="str">
        <f>IFERROR(VLOOKUP(Q79,Producao[[Granja Produção]:[Núcleo]],2,0),"")</f>
        <v>(N1)</v>
      </c>
      <c r="S79" s="1034">
        <v>24000</v>
      </c>
      <c r="T79" s="669">
        <f t="shared" si="14"/>
        <v>46400</v>
      </c>
      <c r="U79" s="670">
        <v>68</v>
      </c>
      <c r="V79" s="701">
        <f>N193-T79</f>
        <v>57</v>
      </c>
      <c r="W79" s="671">
        <f t="shared" si="13"/>
        <v>46457</v>
      </c>
      <c r="X79" s="802" t="str">
        <f>VLOOKUP(Q79,Q135:Q330,1,0)</f>
        <v>Asa branca - PR</v>
      </c>
      <c r="Y79" s="1229">
        <f>SUMIF($Q$115:Q285,X79,$S$115:S285)</f>
        <v>36480</v>
      </c>
      <c r="AA79" s="818"/>
      <c r="AC79" s="1313" t="str">
        <f t="shared" si="17"/>
        <v>Asa branca - PR</v>
      </c>
      <c r="AD79" s="1314">
        <f t="shared" si="18"/>
        <v>45925</v>
      </c>
      <c r="AE79" s="1314">
        <f t="shared" si="19"/>
        <v>46072</v>
      </c>
      <c r="AF79" s="1314">
        <f t="shared" si="20"/>
        <v>46400</v>
      </c>
      <c r="AG79" s="1315" t="str">
        <f t="shared" ref="AG79:AG142" si="21">M79</f>
        <v>AP95 - 344</v>
      </c>
      <c r="AH79" s="1315" t="str">
        <f t="shared" ref="AH79:AH142" si="22">L79</f>
        <v>ROSS</v>
      </c>
      <c r="AI79" s="1319"/>
      <c r="AJ79" s="818"/>
    </row>
    <row r="80" spans="1:36">
      <c r="A80" s="640" t="s">
        <v>17</v>
      </c>
      <c r="B80" s="641">
        <v>45931</v>
      </c>
      <c r="C80" s="642">
        <v>45932</v>
      </c>
      <c r="D80" s="643" t="s">
        <v>186</v>
      </c>
      <c r="E80" s="643">
        <f ca="1">IF((TODAY()-C80)/7&gt;U61,U61,(TODAY()-C80)/7)</f>
        <v>51.714285714285715</v>
      </c>
      <c r="F80" s="643" t="str">
        <f>IFERROR(VLOOKUP(G80,Recria[[Granja Recria]:[Emp+CC]],4,0),"")</f>
        <v>10_1940</v>
      </c>
      <c r="G80" s="644" t="s">
        <v>187</v>
      </c>
      <c r="H80" s="645" t="str">
        <f>IFERROR(VLOOKUP(G80,Recria[[Granja Recria]:[Núcleo]],2,0),"")</f>
        <v>(N1)</v>
      </c>
      <c r="I80" s="646">
        <v>60000</v>
      </c>
      <c r="J80" s="640" t="s">
        <v>60</v>
      </c>
      <c r="K80" s="640">
        <v>33</v>
      </c>
      <c r="L80" s="803" t="str">
        <f>VLOOKUP(M80,Raca_Linhagem[],2,0)</f>
        <v>COBB</v>
      </c>
      <c r="M80" s="803" t="s">
        <v>21</v>
      </c>
      <c r="N80" s="1030">
        <f t="shared" si="16"/>
        <v>46079</v>
      </c>
      <c r="O80" s="1031">
        <v>131626</v>
      </c>
      <c r="P80" s="1032" t="str">
        <f>IFERROR(VLOOKUP(Q80,Producao[[Granja Produção]:[Emp+CC]],4,0),"")</f>
        <v>10_2382</v>
      </c>
      <c r="Q80" s="1231" t="s">
        <v>188</v>
      </c>
      <c r="R80" s="655" t="str">
        <f>IFERROR(VLOOKUP(Q80,Producao[[Granja Produção]:[Núcleo]],2,0),"")</f>
        <v>(N2)</v>
      </c>
      <c r="S80" s="1034">
        <f>I80*0.96</f>
        <v>57600</v>
      </c>
      <c r="T80" s="669">
        <f t="shared" si="14"/>
        <v>46393</v>
      </c>
      <c r="U80" s="670">
        <v>66</v>
      </c>
      <c r="V80" s="701">
        <f>N194-T80</f>
        <v>63</v>
      </c>
      <c r="W80" s="671">
        <f t="shared" si="13"/>
        <v>46456</v>
      </c>
      <c r="X80" s="802" t="str">
        <f>VLOOKUP(Q80,Q136:Q331,1,0)</f>
        <v>Aliança Prod. 1 - PR</v>
      </c>
      <c r="Y80" s="1229">
        <f>SUMIF($Q$115:Q286,X80,$S$115:S286)</f>
        <v>58560</v>
      </c>
      <c r="AA80" s="818"/>
      <c r="AC80" s="1313" t="str">
        <f t="shared" si="17"/>
        <v>Aliança Prod. 1 - PR</v>
      </c>
      <c r="AD80" s="1314">
        <f t="shared" si="18"/>
        <v>45932</v>
      </c>
      <c r="AE80" s="1314">
        <f t="shared" si="19"/>
        <v>46079</v>
      </c>
      <c r="AF80" s="1314">
        <f t="shared" si="20"/>
        <v>46393</v>
      </c>
      <c r="AG80" s="1315" t="str">
        <f t="shared" si="21"/>
        <v>500 SLOW - MALE</v>
      </c>
      <c r="AH80" s="1315" t="str">
        <f t="shared" si="22"/>
        <v>COBB</v>
      </c>
      <c r="AI80" s="1319"/>
      <c r="AJ80" s="818"/>
    </row>
    <row r="81" spans="1:36">
      <c r="A81" s="640" t="s">
        <v>17</v>
      </c>
      <c r="B81" s="641">
        <f>N8+K8</f>
        <v>45931</v>
      </c>
      <c r="C81" s="642">
        <v>45932</v>
      </c>
      <c r="D81" s="643" t="s">
        <v>189</v>
      </c>
      <c r="E81" s="643">
        <f t="shared" ref="E81:E112" ca="1" si="23">IF((TODAY()-C81)/7&gt;U81,U81,(TODAY()-C81)/7)</f>
        <v>51.714285714285715</v>
      </c>
      <c r="F81" s="643" t="str">
        <f>IFERROR(VLOOKUP(G81,Recria[[Granja Recria]:[Emp+CC]],4,0),"")</f>
        <v>10_328</v>
      </c>
      <c r="G81" s="644" t="s">
        <v>44</v>
      </c>
      <c r="H81" s="645" t="str">
        <f>IFERROR(VLOOKUP(G81,Recria[[Granja Recria]:[Núcleo]],2,0),"")</f>
        <v>(N3)</v>
      </c>
      <c r="I81" s="646">
        <v>38000</v>
      </c>
      <c r="J81" s="640" t="s">
        <v>60</v>
      </c>
      <c r="K81" s="640">
        <v>22</v>
      </c>
      <c r="L81" s="804" t="str">
        <f>VLOOKUP(M81,Raca_Linhagem[],2,0)</f>
        <v>ROSS</v>
      </c>
      <c r="M81" s="804" t="s">
        <v>26</v>
      </c>
      <c r="N81" s="1030">
        <f t="shared" si="16"/>
        <v>46079</v>
      </c>
      <c r="O81" s="1031">
        <v>131526</v>
      </c>
      <c r="P81" s="1032" t="str">
        <f>IFERROR(VLOOKUP(Q81,Producao[[Granja Produção]:[Emp+CC]],4,0),"")</f>
        <v>89_864</v>
      </c>
      <c r="Q81" s="1033" t="s">
        <v>185</v>
      </c>
      <c r="R81" s="655" t="str">
        <f>IFERROR(VLOOKUP(Q81,Producao[[Granja Produção]:[Núcleo]],2,0),"")</f>
        <v>(N1)</v>
      </c>
      <c r="S81" s="1034">
        <v>10000</v>
      </c>
      <c r="T81" s="669">
        <f t="shared" si="14"/>
        <v>46400</v>
      </c>
      <c r="U81" s="670">
        <v>67</v>
      </c>
      <c r="V81" s="701">
        <f>N193-T79</f>
        <v>57</v>
      </c>
      <c r="W81" s="671">
        <f t="shared" si="13"/>
        <v>46457</v>
      </c>
      <c r="X81" s="802" t="str">
        <f>VLOOKUP(Q81,Q137:Q332,1,0)</f>
        <v>Asa branca - PR</v>
      </c>
      <c r="Y81" s="1229">
        <f>SUMIF($Q$115:Q288,X81,$S$115:S288)</f>
        <v>36480</v>
      </c>
      <c r="AA81" s="818"/>
      <c r="AC81" s="1313" t="str">
        <f t="shared" si="17"/>
        <v>Asa branca - PR</v>
      </c>
      <c r="AD81" s="1314">
        <f t="shared" si="18"/>
        <v>45932</v>
      </c>
      <c r="AE81" s="1314">
        <f t="shared" si="19"/>
        <v>46079</v>
      </c>
      <c r="AF81" s="1314">
        <f t="shared" si="20"/>
        <v>46400</v>
      </c>
      <c r="AG81" s="1315" t="str">
        <f t="shared" si="21"/>
        <v>AP95 - 344</v>
      </c>
      <c r="AH81" s="1315" t="str">
        <f t="shared" si="22"/>
        <v>ROSS</v>
      </c>
      <c r="AI81" s="1319"/>
      <c r="AJ81" s="818"/>
    </row>
    <row r="82" spans="1:36">
      <c r="A82" s="640" t="s">
        <v>17</v>
      </c>
      <c r="B82" s="641">
        <f>N8+K8</f>
        <v>45931</v>
      </c>
      <c r="C82" s="642">
        <v>45932</v>
      </c>
      <c r="D82" s="643" t="s">
        <v>189</v>
      </c>
      <c r="E82" s="643">
        <f t="shared" ca="1" si="23"/>
        <v>51.714285714285715</v>
      </c>
      <c r="F82" s="643" t="str">
        <f>IFERROR(VLOOKUP(G82,Recria[[Granja Recria]:[Emp+CC]],4,0),"")</f>
        <v>10_328</v>
      </c>
      <c r="G82" s="644" t="s">
        <v>44</v>
      </c>
      <c r="H82" s="645" t="str">
        <f>IFERROR(VLOOKUP(G82,Recria[[Granja Recria]:[Núcleo]],2,0),"")</f>
        <v>(N3)</v>
      </c>
      <c r="I82" s="646"/>
      <c r="J82" s="640" t="s">
        <v>60</v>
      </c>
      <c r="K82" s="640">
        <v>22</v>
      </c>
      <c r="L82" s="804" t="str">
        <f>VLOOKUP(M82,Raca_Linhagem[],2,0)</f>
        <v>ROSS</v>
      </c>
      <c r="M82" s="804" t="s">
        <v>26</v>
      </c>
      <c r="N82" s="1030">
        <f t="shared" si="16"/>
        <v>46079</v>
      </c>
      <c r="O82" s="1031">
        <v>131726</v>
      </c>
      <c r="P82" s="1032" t="str">
        <f>IFERROR(VLOOKUP(Q82,Producao[[Granja Produção]:[Emp+CC]],4,0),"")</f>
        <v>117_124</v>
      </c>
      <c r="Q82" s="1033" t="s">
        <v>190</v>
      </c>
      <c r="R82" s="655" t="str">
        <f>IFERROR(VLOOKUP(Q82,Producao[[Granja Produção]:[Núcleo]],2,0),"")</f>
        <v>(N2)</v>
      </c>
      <c r="S82" s="1034">
        <v>26000</v>
      </c>
      <c r="T82" s="669">
        <f t="shared" si="14"/>
        <v>46407</v>
      </c>
      <c r="U82" s="670">
        <v>68</v>
      </c>
      <c r="V82" s="701">
        <f>N195-T82</f>
        <v>63</v>
      </c>
      <c r="W82" s="671">
        <f t="shared" si="13"/>
        <v>46470</v>
      </c>
      <c r="X82" s="802" t="str">
        <f>VLOOKUP(Q82,Q137:Q333,1,0)</f>
        <v>Bom sucesso 2 - PR</v>
      </c>
      <c r="Y82" s="1229">
        <f>SUMIF($Q$115:Q288,X82,$S$115:S288)</f>
        <v>43200</v>
      </c>
      <c r="AA82" s="818"/>
      <c r="AC82" s="1313" t="str">
        <f t="shared" si="17"/>
        <v>Bom sucesso 2 - PR</v>
      </c>
      <c r="AD82" s="1314">
        <f t="shared" si="18"/>
        <v>45932</v>
      </c>
      <c r="AE82" s="1314">
        <f t="shared" si="19"/>
        <v>46079</v>
      </c>
      <c r="AF82" s="1314">
        <f t="shared" si="20"/>
        <v>46407</v>
      </c>
      <c r="AG82" s="1315" t="str">
        <f t="shared" si="21"/>
        <v>AP95 - 344</v>
      </c>
      <c r="AH82" s="1315" t="str">
        <f t="shared" si="22"/>
        <v>ROSS</v>
      </c>
      <c r="AI82" s="1319"/>
      <c r="AJ82" s="818"/>
    </row>
    <row r="83" spans="1:36">
      <c r="A83" s="640" t="s">
        <v>17</v>
      </c>
      <c r="B83" s="641">
        <f>N23+K23</f>
        <v>45934</v>
      </c>
      <c r="C83" s="642">
        <v>45932</v>
      </c>
      <c r="D83" s="643" t="s">
        <v>191</v>
      </c>
      <c r="E83" s="643">
        <f t="shared" ca="1" si="23"/>
        <v>51.714285714285715</v>
      </c>
      <c r="F83" s="643" t="str">
        <f>IFERROR(VLOOKUP(G83,Recria[[Granja Recria]:[Emp+CC]],4,0),"")</f>
        <v>112_16</v>
      </c>
      <c r="G83" s="644" t="s">
        <v>79</v>
      </c>
      <c r="H83" s="645" t="str">
        <f>IFERROR(VLOOKUP(G83,Recria[[Granja Recria]:[Núcleo]],2,0),"")</f>
        <v>(N3)</v>
      </c>
      <c r="I83" s="646">
        <v>60000</v>
      </c>
      <c r="J83" s="640" t="s">
        <v>45</v>
      </c>
      <c r="K83" s="640">
        <v>55</v>
      </c>
      <c r="L83" s="806" t="str">
        <f>VLOOKUP(M83,Raca_Linhagem[],2,0)</f>
        <v>ROSS</v>
      </c>
      <c r="M83" s="806" t="s">
        <v>31</v>
      </c>
      <c r="N83" s="1030">
        <f t="shared" si="16"/>
        <v>46079</v>
      </c>
      <c r="O83" s="1031">
        <v>131726</v>
      </c>
      <c r="P83" s="1032" t="str">
        <f>IFERROR(VLOOKUP(Q83,Producao[[Granja Produção]:[Emp+CC]],4,0),"")</f>
        <v>117_124</v>
      </c>
      <c r="Q83" s="1033" t="s">
        <v>190</v>
      </c>
      <c r="R83" s="655" t="str">
        <f>IFERROR(VLOOKUP(Q83,Producao[[Granja Produção]:[Núcleo]],2,0),"")</f>
        <v>(N2)</v>
      </c>
      <c r="S83" s="1034">
        <v>15500</v>
      </c>
      <c r="T83" s="669">
        <f t="shared" si="14"/>
        <v>46407</v>
      </c>
      <c r="U83" s="670">
        <v>68</v>
      </c>
      <c r="V83" s="701">
        <f>N195-T82</f>
        <v>63</v>
      </c>
      <c r="W83" s="671">
        <f t="shared" si="13"/>
        <v>46470</v>
      </c>
      <c r="X83" s="802" t="str">
        <f>VLOOKUP(Q83,Q139:Q334,1,0)</f>
        <v>Bom sucesso 2 - PR</v>
      </c>
      <c r="Y83" s="1229">
        <f>SUMIF($Q$115:Q289,X83,$S$115:S289)</f>
        <v>43200</v>
      </c>
      <c r="AA83" s="818"/>
      <c r="AC83" s="1313" t="str">
        <f t="shared" si="17"/>
        <v>Bom sucesso 2 - PR</v>
      </c>
      <c r="AD83" s="1314">
        <f t="shared" si="18"/>
        <v>45932</v>
      </c>
      <c r="AE83" s="1314">
        <f t="shared" si="19"/>
        <v>46079</v>
      </c>
      <c r="AF83" s="1314">
        <f t="shared" si="20"/>
        <v>46407</v>
      </c>
      <c r="AG83" s="1315" t="str">
        <f t="shared" si="21"/>
        <v>AP95 - 344  JBS</v>
      </c>
      <c r="AH83" s="1315" t="str">
        <f t="shared" si="22"/>
        <v>ROSS</v>
      </c>
      <c r="AI83" s="1319"/>
      <c r="AJ83" s="818"/>
    </row>
    <row r="84" spans="1:36">
      <c r="A84" s="640" t="s">
        <v>17</v>
      </c>
      <c r="B84" s="641">
        <f>N23+K23</f>
        <v>45934</v>
      </c>
      <c r="C84" s="642">
        <v>45932</v>
      </c>
      <c r="D84" s="643" t="s">
        <v>191</v>
      </c>
      <c r="E84" s="643">
        <f t="shared" ca="1" si="23"/>
        <v>51.714285714285715</v>
      </c>
      <c r="F84" s="643" t="str">
        <f>IFERROR(VLOOKUP(G84,Recria[[Granja Recria]:[Emp+CC]],4,0),"")</f>
        <v>112_16</v>
      </c>
      <c r="G84" s="644" t="s">
        <v>79</v>
      </c>
      <c r="H84" s="645" t="str">
        <f>IFERROR(VLOOKUP(G84,Recria[[Granja Recria]:[Núcleo]],2,0),"")</f>
        <v>(N3)</v>
      </c>
      <c r="I84" s="646"/>
      <c r="J84" s="640" t="s">
        <v>45</v>
      </c>
      <c r="K84" s="640">
        <v>55</v>
      </c>
      <c r="L84" s="806" t="str">
        <f>VLOOKUP(M84,Raca_Linhagem[],2,0)</f>
        <v>ROSS</v>
      </c>
      <c r="M84" s="806" t="s">
        <v>31</v>
      </c>
      <c r="N84" s="1030">
        <f t="shared" si="16"/>
        <v>46079</v>
      </c>
      <c r="O84" s="1031">
        <v>131826</v>
      </c>
      <c r="P84" s="1032" t="str">
        <f>IFERROR(VLOOKUP(Q84,Producao[[Granja Produção]:[Emp+CC]],4,0),"")</f>
        <v>117_88</v>
      </c>
      <c r="Q84" s="1033" t="s">
        <v>192</v>
      </c>
      <c r="R84" s="655" t="str">
        <f>IFERROR(VLOOKUP(Q84,Producao[[Granja Produção]:[Núcleo]],2,0),"")</f>
        <v>(N1)</v>
      </c>
      <c r="S84" s="1034">
        <v>41500</v>
      </c>
      <c r="T84" s="669">
        <f t="shared" si="14"/>
        <v>46414</v>
      </c>
      <c r="U84" s="670">
        <v>69</v>
      </c>
      <c r="V84" s="701">
        <f>N199-T84</f>
        <v>56</v>
      </c>
      <c r="W84" s="671">
        <f t="shared" si="13"/>
        <v>46470</v>
      </c>
      <c r="X84" s="802" t="str">
        <f>VLOOKUP(Q84,Q141:Q335,1,0)</f>
        <v>Bom sucesso 1 - PR</v>
      </c>
      <c r="Y84" s="1229">
        <f>SUMIF($Q$115:Q290,X84,$S$115:S290)</f>
        <v>40320</v>
      </c>
      <c r="AA84" s="818"/>
      <c r="AC84" s="1313" t="str">
        <f t="shared" si="17"/>
        <v>Bom sucesso 1 - PR</v>
      </c>
      <c r="AD84" s="1314">
        <f t="shared" si="18"/>
        <v>45932</v>
      </c>
      <c r="AE84" s="1314">
        <f t="shared" si="19"/>
        <v>46079</v>
      </c>
      <c r="AF84" s="1314">
        <f t="shared" si="20"/>
        <v>46414</v>
      </c>
      <c r="AG84" s="1315" t="str">
        <f t="shared" si="21"/>
        <v>AP95 - 344  JBS</v>
      </c>
      <c r="AH84" s="1315" t="str">
        <f t="shared" si="22"/>
        <v>ROSS</v>
      </c>
      <c r="AI84" s="1319"/>
      <c r="AJ84" s="818"/>
    </row>
    <row r="85" spans="1:36">
      <c r="A85" s="684" t="s">
        <v>17</v>
      </c>
      <c r="B85" s="685">
        <v>45939</v>
      </c>
      <c r="C85" s="686">
        <v>45939</v>
      </c>
      <c r="D85" s="687" t="s">
        <v>193</v>
      </c>
      <c r="E85" s="687">
        <f t="shared" ca="1" si="23"/>
        <v>50.714285714285715</v>
      </c>
      <c r="F85" s="687" t="str">
        <f>IFERROR(VLOOKUP(G85,Recria[[Granja Recria]:[Emp+CC]],4,0),"")</f>
        <v>10_776</v>
      </c>
      <c r="G85" s="688" t="s">
        <v>89</v>
      </c>
      <c r="H85" s="689" t="str">
        <f>IFERROR(VLOOKUP(G85,Recria[[Granja Recria]:[Núcleo]],2,0),"")</f>
        <v>(N3)</v>
      </c>
      <c r="I85" s="690">
        <v>35000</v>
      </c>
      <c r="J85" s="684" t="s">
        <v>20</v>
      </c>
      <c r="K85" s="691">
        <v>25</v>
      </c>
      <c r="L85" s="803" t="str">
        <f>VLOOKUP(M85,Raca_Linhagem[],2,0)</f>
        <v>COBB</v>
      </c>
      <c r="M85" s="803" t="s">
        <v>21</v>
      </c>
      <c r="N85" s="1030">
        <f t="shared" si="16"/>
        <v>46086</v>
      </c>
      <c r="O85" s="1031">
        <v>131926</v>
      </c>
      <c r="P85" s="1032" t="str">
        <f>IFERROR(VLOOKUP(Q85,Producao[[Granja Produção]:[Emp+CC]],4,0),"")</f>
        <v>122_22</v>
      </c>
      <c r="Q85" s="1033" t="s">
        <v>194</v>
      </c>
      <c r="R85" s="655" t="str">
        <f>IFERROR(VLOOKUP(Q85,Producao[[Granja Produção]:[Núcleo]],2,0),"")</f>
        <v>(N1)</v>
      </c>
      <c r="S85" s="1034">
        <f>I85*0.96</f>
        <v>33600</v>
      </c>
      <c r="T85" s="669">
        <f t="shared" si="14"/>
        <v>46414</v>
      </c>
      <c r="U85" s="670">
        <v>68</v>
      </c>
      <c r="V85" s="701">
        <f>N196-T85</f>
        <v>51</v>
      </c>
      <c r="W85" s="671">
        <f t="shared" si="13"/>
        <v>46465</v>
      </c>
      <c r="X85" s="802" t="str">
        <f>VLOOKUP(Q85,Q142:Q336,1,0)</f>
        <v>Butiá - PR</v>
      </c>
      <c r="Y85" s="1229">
        <f>SUMIF($Q$115:Q291,X85,$S$115:S291)</f>
        <v>36000</v>
      </c>
      <c r="AA85" s="818"/>
      <c r="AC85" s="1313" t="str">
        <f t="shared" si="17"/>
        <v>Butiá - PR</v>
      </c>
      <c r="AD85" s="1314">
        <f t="shared" si="18"/>
        <v>45939</v>
      </c>
      <c r="AE85" s="1314">
        <f t="shared" si="19"/>
        <v>46086</v>
      </c>
      <c r="AF85" s="1314">
        <f t="shared" si="20"/>
        <v>46414</v>
      </c>
      <c r="AG85" s="1315" t="str">
        <f t="shared" si="21"/>
        <v>500 SLOW - MALE</v>
      </c>
      <c r="AH85" s="1315" t="str">
        <f t="shared" si="22"/>
        <v>COBB</v>
      </c>
      <c r="AI85" s="1319"/>
      <c r="AJ85" s="818"/>
    </row>
    <row r="86" spans="1:36">
      <c r="A86" s="640" t="s">
        <v>17</v>
      </c>
      <c r="B86" s="641">
        <f>N27+K27</f>
        <v>45940</v>
      </c>
      <c r="C86" s="642">
        <v>45939</v>
      </c>
      <c r="D86" s="724">
        <v>100025</v>
      </c>
      <c r="E86" s="643">
        <f t="shared" ca="1" si="23"/>
        <v>50.714285714285715</v>
      </c>
      <c r="F86" s="643" t="str">
        <f>IFERROR(VLOOKUP(G86,Recria[[Granja Recria]:[Emp+CC]],4,0),"")</f>
        <v>10_776</v>
      </c>
      <c r="G86" s="725" t="s">
        <v>89</v>
      </c>
      <c r="H86" s="726" t="str">
        <f>IFERROR(VLOOKUP(G86,Recria[[Granja Recria]:[Núcleo]],2,0),"")</f>
        <v>(N3)</v>
      </c>
      <c r="I86" s="646">
        <v>74000</v>
      </c>
      <c r="J86" s="640" t="s">
        <v>20</v>
      </c>
      <c r="K86" s="640">
        <v>36</v>
      </c>
      <c r="L86" s="803" t="str">
        <f>VLOOKUP(M86,Raca_Linhagem[],2,0)</f>
        <v>COBB</v>
      </c>
      <c r="M86" s="803" t="s">
        <v>21</v>
      </c>
      <c r="N86" s="1030">
        <f t="shared" si="16"/>
        <v>46086</v>
      </c>
      <c r="O86" s="1031">
        <v>131926</v>
      </c>
      <c r="P86" s="1032" t="str">
        <f>IFERROR(VLOOKUP(Q86,Producao[[Granja Produção]:[Emp+CC]],4,0),"")</f>
        <v>122_22</v>
      </c>
      <c r="Q86" s="1033" t="s">
        <v>194</v>
      </c>
      <c r="R86" s="655" t="str">
        <f>IFERROR(VLOOKUP(Q86,Producao[[Granja Produção]:[Núcleo]],2,0),"")</f>
        <v>(N1)</v>
      </c>
      <c r="S86" s="1034">
        <v>6000</v>
      </c>
      <c r="T86" s="669">
        <f t="shared" si="14"/>
        <v>46414</v>
      </c>
      <c r="U86" s="670">
        <v>68</v>
      </c>
      <c r="V86" s="701">
        <f>N196-T85</f>
        <v>51</v>
      </c>
      <c r="W86" s="671">
        <f t="shared" si="13"/>
        <v>46465</v>
      </c>
      <c r="X86" s="802" t="str">
        <f>VLOOKUP(Q86,Q143:Q337,1,0)</f>
        <v>Butiá - PR</v>
      </c>
      <c r="Y86" s="1229">
        <f>SUMIF($Q$115:Q292,X86,$S$115:S292)</f>
        <v>36000</v>
      </c>
      <c r="AA86" s="818"/>
      <c r="AC86" s="1313" t="str">
        <f t="shared" si="17"/>
        <v>Butiá - PR</v>
      </c>
      <c r="AD86" s="1314">
        <f t="shared" si="18"/>
        <v>45939</v>
      </c>
      <c r="AE86" s="1314">
        <f t="shared" si="19"/>
        <v>46086</v>
      </c>
      <c r="AF86" s="1314">
        <f t="shared" si="20"/>
        <v>46414</v>
      </c>
      <c r="AG86" s="1315" t="str">
        <f t="shared" si="21"/>
        <v>500 SLOW - MALE</v>
      </c>
      <c r="AH86" s="1315" t="str">
        <f t="shared" si="22"/>
        <v>COBB</v>
      </c>
      <c r="AI86" s="1319"/>
      <c r="AJ86" s="818"/>
    </row>
    <row r="87" spans="1:36">
      <c r="A87" s="640" t="s">
        <v>17</v>
      </c>
      <c r="B87" s="641">
        <f>N27+K27</f>
        <v>45940</v>
      </c>
      <c r="C87" s="642">
        <v>45939</v>
      </c>
      <c r="D87" s="724">
        <v>100025</v>
      </c>
      <c r="E87" s="643">
        <f t="shared" ca="1" si="23"/>
        <v>50.714285714285715</v>
      </c>
      <c r="F87" s="643" t="str">
        <f>IFERROR(VLOOKUP(G87,Recria[[Granja Recria]:[Emp+CC]],4,0),"")</f>
        <v>10_776</v>
      </c>
      <c r="G87" s="725" t="s">
        <v>89</v>
      </c>
      <c r="H87" s="726" t="str">
        <f>IFERROR(VLOOKUP(G87,Recria[[Granja Recria]:[Núcleo]],2,0),"")</f>
        <v>(N3)</v>
      </c>
      <c r="I87" s="646"/>
      <c r="J87" s="640" t="s">
        <v>20</v>
      </c>
      <c r="K87" s="640">
        <v>36</v>
      </c>
      <c r="L87" s="803" t="str">
        <f>VLOOKUP(M87,Raca_Linhagem[],2,0)</f>
        <v>COBB</v>
      </c>
      <c r="M87" s="803" t="s">
        <v>21</v>
      </c>
      <c r="N87" s="1030">
        <f t="shared" si="16"/>
        <v>46086</v>
      </c>
      <c r="O87" s="1031">
        <v>132026</v>
      </c>
      <c r="P87" s="1032" t="str">
        <f>IFERROR(VLOOKUP(Q87,Producao[[Granja Produção]:[Emp+CC]],4,0),"")</f>
        <v>93_261</v>
      </c>
      <c r="Q87" s="1033" t="s">
        <v>195</v>
      </c>
      <c r="R87" s="655" t="str">
        <f>IFERROR(VLOOKUP(Q87,Producao[[Granja Produção]:[Núcleo]],2,0),"")</f>
        <v>(N1)</v>
      </c>
      <c r="S87" s="1034">
        <v>30000</v>
      </c>
      <c r="T87" s="669">
        <f t="shared" si="14"/>
        <v>46428</v>
      </c>
      <c r="U87" s="670">
        <v>70</v>
      </c>
      <c r="V87" s="701">
        <f>N201-T87</f>
        <v>51</v>
      </c>
      <c r="W87" s="671">
        <f t="shared" si="13"/>
        <v>46479</v>
      </c>
      <c r="X87" s="802" t="str">
        <f>VLOOKUP(Q87,Q144:Q338,1,0)</f>
        <v>Rossignol - SC</v>
      </c>
      <c r="Y87" s="1229">
        <f>SUMIF($Q$115:Q293,X87,$S$115:S293)</f>
        <v>30000</v>
      </c>
      <c r="AA87" s="818"/>
      <c r="AC87" s="1313" t="str">
        <f t="shared" si="17"/>
        <v>Rossignol - SC</v>
      </c>
      <c r="AD87" s="1314">
        <f t="shared" si="18"/>
        <v>45939</v>
      </c>
      <c r="AE87" s="1314">
        <f t="shared" si="19"/>
        <v>46086</v>
      </c>
      <c r="AF87" s="1314">
        <f t="shared" si="20"/>
        <v>46428</v>
      </c>
      <c r="AG87" s="1315" t="str">
        <f t="shared" si="21"/>
        <v>500 SLOW - MALE</v>
      </c>
      <c r="AH87" s="1315" t="str">
        <f t="shared" si="22"/>
        <v>COBB</v>
      </c>
      <c r="AI87" s="1319"/>
      <c r="AJ87" s="818"/>
    </row>
    <row r="88" spans="1:36">
      <c r="A88" s="640" t="s">
        <v>17</v>
      </c>
      <c r="B88" s="641">
        <f>N28+K28</f>
        <v>45940</v>
      </c>
      <c r="C88" s="642">
        <v>45939</v>
      </c>
      <c r="D88" s="724">
        <v>100025</v>
      </c>
      <c r="E88" s="643">
        <f t="shared" ca="1" si="23"/>
        <v>50.714285714285715</v>
      </c>
      <c r="F88" s="643" t="str">
        <f>IFERROR(VLOOKUP(G88,Recria[[Granja Recria]:[Emp+CC]],4,0),"")</f>
        <v>10_776</v>
      </c>
      <c r="G88" s="725" t="s">
        <v>89</v>
      </c>
      <c r="H88" s="726" t="str">
        <f>IFERROR(VLOOKUP(G88,Recria[[Granja Recria]:[Núcleo]],2,0),"")</f>
        <v>(N3)</v>
      </c>
      <c r="I88" s="646"/>
      <c r="J88" s="640" t="s">
        <v>20</v>
      </c>
      <c r="K88" s="640">
        <v>36</v>
      </c>
      <c r="L88" s="803" t="str">
        <f>VLOOKUP(M88,Raca_Linhagem[],2,0)</f>
        <v>COBB</v>
      </c>
      <c r="M88" s="803" t="s">
        <v>21</v>
      </c>
      <c r="N88" s="1030">
        <f t="shared" si="16"/>
        <v>46086</v>
      </c>
      <c r="O88" s="1031">
        <v>132126</v>
      </c>
      <c r="P88" s="1032" t="str">
        <f>IFERROR(VLOOKUP(Q88,Producao[[Granja Produção]:[Emp+CC]],4,0),"")</f>
        <v>119_153</v>
      </c>
      <c r="Q88" s="1033" t="s">
        <v>196</v>
      </c>
      <c r="R88" s="655" t="str">
        <f>IFERROR(VLOOKUP(Q88,Producao[[Granja Produção]:[Núcleo]],2,0),"")</f>
        <v>(N1)</v>
      </c>
      <c r="S88" s="1034">
        <v>34000</v>
      </c>
      <c r="T88" s="669">
        <f t="shared" si="14"/>
        <v>46407</v>
      </c>
      <c r="U88" s="670">
        <v>67</v>
      </c>
      <c r="V88" s="701">
        <f>N191-T88</f>
        <v>43</v>
      </c>
      <c r="W88" s="671">
        <f t="shared" si="13"/>
        <v>46450</v>
      </c>
      <c r="X88" s="802" t="str">
        <f>VLOOKUP(Q88,Q146:Q339,1,0)</f>
        <v>São Bernardo - PR</v>
      </c>
      <c r="Y88" s="1229">
        <f>SUMIF($Q$115:Q294,X88,$S$115:S294)</f>
        <v>34000</v>
      </c>
      <c r="AA88" s="818"/>
      <c r="AC88" s="1313" t="str">
        <f t="shared" si="17"/>
        <v>São Bernardo - PR</v>
      </c>
      <c r="AD88" s="1314">
        <f t="shared" si="18"/>
        <v>45939</v>
      </c>
      <c r="AE88" s="1314">
        <f t="shared" si="19"/>
        <v>46086</v>
      </c>
      <c r="AF88" s="1314">
        <f t="shared" si="20"/>
        <v>46407</v>
      </c>
      <c r="AG88" s="1315" t="str">
        <f t="shared" si="21"/>
        <v>500 SLOW - MALE</v>
      </c>
      <c r="AH88" s="1315" t="str">
        <f t="shared" si="22"/>
        <v>COBB</v>
      </c>
      <c r="AI88" s="1319"/>
      <c r="AJ88" s="818"/>
    </row>
    <row r="89" spans="1:36">
      <c r="A89" s="684" t="s">
        <v>17</v>
      </c>
      <c r="B89" s="685">
        <v>45948</v>
      </c>
      <c r="C89" s="686">
        <v>45946</v>
      </c>
      <c r="D89" s="687" t="s">
        <v>197</v>
      </c>
      <c r="E89" s="687">
        <f t="shared" ca="1" si="23"/>
        <v>49.714285714285715</v>
      </c>
      <c r="F89" s="687" t="str">
        <f>IFERROR(VLOOKUP(G89,Recria[[Granja Recria]:[Emp+CC]],4,0),"")</f>
        <v>10_1938</v>
      </c>
      <c r="G89" s="688" t="s">
        <v>75</v>
      </c>
      <c r="H89" s="689" t="str">
        <f>IFERROR(VLOOKUP(G89,Recria[[Granja Recria]:[Núcleo]],2,0),"")</f>
        <v>(N1)</v>
      </c>
      <c r="I89" s="690">
        <v>25000</v>
      </c>
      <c r="J89" s="684" t="s">
        <v>45</v>
      </c>
      <c r="K89" s="691">
        <v>50</v>
      </c>
      <c r="L89" s="803" t="str">
        <f>VLOOKUP(M89,Raca_Linhagem[],2,0)</f>
        <v>COBB</v>
      </c>
      <c r="M89" s="803" t="s">
        <v>21</v>
      </c>
      <c r="N89" s="1030">
        <f t="shared" si="16"/>
        <v>46093</v>
      </c>
      <c r="O89" s="1031">
        <v>132226</v>
      </c>
      <c r="P89" s="1031" t="str">
        <f>IFERROR(VLOOKUP(Q89,Producao[[Granja Produção]:[Emp+CC]],4,0),"")</f>
        <v>95_102</v>
      </c>
      <c r="Q89" s="1033" t="s">
        <v>198</v>
      </c>
      <c r="R89" s="655" t="str">
        <f>IFERROR(VLOOKUP(Q89,Producao[[Granja Produção]:[Núcleo]],2,0),"")</f>
        <v>(N1)</v>
      </c>
      <c r="S89" s="1034">
        <f>I89*0.96</f>
        <v>24000</v>
      </c>
      <c r="T89" s="669">
        <f t="shared" si="14"/>
        <v>46407</v>
      </c>
      <c r="U89" s="670">
        <v>66</v>
      </c>
      <c r="V89" s="701">
        <f>N191-T89</f>
        <v>43</v>
      </c>
      <c r="W89" s="671">
        <f t="shared" si="13"/>
        <v>46450</v>
      </c>
      <c r="X89" s="802" t="str">
        <f>VLOOKUP(Q89,Q142:Q340,1,0)</f>
        <v>Casarin - SC</v>
      </c>
      <c r="Y89" s="1229">
        <f>SUMIF($Q$115:Q295,X89,$S$115:S295)</f>
        <v>24000</v>
      </c>
      <c r="AA89" s="818"/>
      <c r="AC89" s="1313" t="str">
        <f t="shared" si="17"/>
        <v>Casarin - SC</v>
      </c>
      <c r="AD89" s="1314">
        <f t="shared" si="18"/>
        <v>45946</v>
      </c>
      <c r="AE89" s="1314">
        <f t="shared" si="19"/>
        <v>46093</v>
      </c>
      <c r="AF89" s="1314">
        <f t="shared" si="20"/>
        <v>46407</v>
      </c>
      <c r="AG89" s="1315" t="str">
        <f t="shared" si="21"/>
        <v>500 SLOW - MALE</v>
      </c>
      <c r="AH89" s="1315" t="str">
        <f t="shared" si="22"/>
        <v>COBB</v>
      </c>
      <c r="AI89" s="1319"/>
      <c r="AJ89" s="818"/>
    </row>
    <row r="90" spans="1:36">
      <c r="A90" s="640" t="s">
        <v>17</v>
      </c>
      <c r="B90" s="641">
        <v>45948</v>
      </c>
      <c r="C90" s="642">
        <v>45946</v>
      </c>
      <c r="D90" s="724">
        <v>100125</v>
      </c>
      <c r="E90" s="643">
        <f t="shared" ca="1" si="23"/>
        <v>49.714285714285715</v>
      </c>
      <c r="F90" s="643" t="str">
        <f>IFERROR(VLOOKUP(G90,Recria[[Granja Recria]:[Emp+CC]],4,0),"")</f>
        <v>10_1938</v>
      </c>
      <c r="G90" s="644" t="s">
        <v>75</v>
      </c>
      <c r="H90" s="645" t="str">
        <f>IFERROR(VLOOKUP(G90,Recria[[Granja Recria]:[Núcleo]],2,0),"")</f>
        <v>(N1)</v>
      </c>
      <c r="I90" s="646">
        <v>45000</v>
      </c>
      <c r="J90" s="640" t="s">
        <v>45</v>
      </c>
      <c r="K90" s="640">
        <v>44</v>
      </c>
      <c r="L90" s="804" t="str">
        <f>VLOOKUP(M90,Raca_Linhagem[],2,0)</f>
        <v>ROSS</v>
      </c>
      <c r="M90" s="804" t="s">
        <v>26</v>
      </c>
      <c r="N90" s="1030">
        <f t="shared" si="16"/>
        <v>46093</v>
      </c>
      <c r="O90" s="1031">
        <v>132326</v>
      </c>
      <c r="P90" s="1032" t="str">
        <f>IFERROR(VLOOKUP(Q90,Producao[[Granja Produção]:[Emp+CC]],4,0),"")</f>
        <v>16_85</v>
      </c>
      <c r="Q90" s="1033" t="s">
        <v>199</v>
      </c>
      <c r="R90" s="655" t="str">
        <f>IFERROR(VLOOKUP(Q90,Producao[[Granja Produção]:[Núcleo]],2,0),"")</f>
        <v>(N1)</v>
      </c>
      <c r="S90" s="1034">
        <v>43000</v>
      </c>
      <c r="T90" s="669">
        <f t="shared" si="14"/>
        <v>46414</v>
      </c>
      <c r="U90" s="670">
        <v>67</v>
      </c>
      <c r="V90" s="701">
        <f>N200-T90</f>
        <v>61</v>
      </c>
      <c r="W90" s="671">
        <f t="shared" si="13"/>
        <v>46475</v>
      </c>
      <c r="X90" s="802" t="str">
        <f>VLOOKUP(Q90,Q146:Q341,1,0)</f>
        <v>Saudade - PR</v>
      </c>
      <c r="Y90" s="1229">
        <f>SUMIF($Q$115:Q296,X90,$S$115:S296)</f>
        <v>90120</v>
      </c>
      <c r="AA90" s="818"/>
      <c r="AC90" s="1313" t="str">
        <f t="shared" si="17"/>
        <v>Saudade - PR</v>
      </c>
      <c r="AD90" s="1314">
        <f t="shared" si="18"/>
        <v>45946</v>
      </c>
      <c r="AE90" s="1314">
        <f t="shared" si="19"/>
        <v>46093</v>
      </c>
      <c r="AF90" s="1314">
        <f t="shared" si="20"/>
        <v>46414</v>
      </c>
      <c r="AG90" s="1315" t="str">
        <f t="shared" si="21"/>
        <v>AP95 - 344</v>
      </c>
      <c r="AH90" s="1315" t="str">
        <f t="shared" si="22"/>
        <v>ROSS</v>
      </c>
      <c r="AI90" s="1319"/>
      <c r="AJ90" s="818"/>
    </row>
    <row r="91" spans="1:36">
      <c r="A91" s="640" t="s">
        <v>17</v>
      </c>
      <c r="B91" s="641">
        <f>N24+K24</f>
        <v>45953</v>
      </c>
      <c r="C91" s="642">
        <v>45953</v>
      </c>
      <c r="D91" s="724">
        <v>100225</v>
      </c>
      <c r="E91" s="643">
        <f t="shared" ca="1" si="23"/>
        <v>48.714285714285715</v>
      </c>
      <c r="F91" s="643" t="str">
        <f>IFERROR(VLOOKUP(G91,Recria[[Granja Recria]:[Emp+CC]],4,0),"")</f>
        <v>112_1939</v>
      </c>
      <c r="G91" s="644" t="s">
        <v>83</v>
      </c>
      <c r="H91" s="645" t="str">
        <f>IFERROR(VLOOKUP(G91,Recria[[Granja Recria]:[Núcleo]],2,0),"")</f>
        <v>(N4)</v>
      </c>
      <c r="I91" s="646">
        <v>84000</v>
      </c>
      <c r="J91" s="640" t="s">
        <v>20</v>
      </c>
      <c r="K91" s="640">
        <v>37</v>
      </c>
      <c r="L91" s="803" t="str">
        <f>VLOOKUP(M91,Raca_Linhagem[],2,0)</f>
        <v>COBB</v>
      </c>
      <c r="M91" s="803" t="s">
        <v>21</v>
      </c>
      <c r="N91" s="647">
        <f t="shared" si="16"/>
        <v>46100</v>
      </c>
      <c r="O91" s="692">
        <v>132426</v>
      </c>
      <c r="P91" s="648" t="str">
        <f>IFERROR(VLOOKUP(Q91,Producao[[Granja Produção]:[Emp+CC]],4,0),"")</f>
        <v>16_85</v>
      </c>
      <c r="Q91" s="649" t="s">
        <v>199</v>
      </c>
      <c r="R91" s="640" t="str">
        <f>IFERROR(VLOOKUP(Q91,Producao[[Granja Produção]:[Núcleo]],2,0),"")</f>
        <v>(N1)</v>
      </c>
      <c r="S91" s="650">
        <v>44000</v>
      </c>
      <c r="T91" s="669">
        <f t="shared" si="14"/>
        <v>46414</v>
      </c>
      <c r="U91" s="670">
        <v>66</v>
      </c>
      <c r="V91" s="701">
        <f>N200-T91</f>
        <v>61</v>
      </c>
      <c r="W91" s="671">
        <f t="shared" si="13"/>
        <v>46475</v>
      </c>
      <c r="X91" s="802" t="str">
        <f>VLOOKUP(Q91,Q149:Q342,1,0)</f>
        <v>Saudade - PR</v>
      </c>
      <c r="Y91" s="1229">
        <f>SUMIF($Q$115:Q297,X91,$S$115:S297)</f>
        <v>90120</v>
      </c>
      <c r="AA91" s="818"/>
      <c r="AC91" s="1313" t="str">
        <f t="shared" si="17"/>
        <v>Saudade - PR</v>
      </c>
      <c r="AD91" s="1314">
        <f t="shared" si="18"/>
        <v>45953</v>
      </c>
      <c r="AE91" s="1314">
        <f t="shared" si="19"/>
        <v>46100</v>
      </c>
      <c r="AF91" s="1314">
        <f t="shared" si="20"/>
        <v>46414</v>
      </c>
      <c r="AG91" s="1315" t="str">
        <f t="shared" si="21"/>
        <v>500 SLOW - MALE</v>
      </c>
      <c r="AH91" s="1315" t="str">
        <f t="shared" si="22"/>
        <v>COBB</v>
      </c>
      <c r="AI91" s="1319"/>
      <c r="AJ91" s="818"/>
    </row>
    <row r="92" spans="1:36">
      <c r="A92" s="640" t="s">
        <v>17</v>
      </c>
      <c r="B92" s="641">
        <f>N24+K24</f>
        <v>45953</v>
      </c>
      <c r="C92" s="642">
        <v>45953</v>
      </c>
      <c r="D92" s="724">
        <v>100225</v>
      </c>
      <c r="E92" s="643">
        <f t="shared" ca="1" si="23"/>
        <v>48.714285714285715</v>
      </c>
      <c r="F92" s="643" t="str">
        <f>IFERROR(VLOOKUP(G92,Recria[[Granja Recria]:[Emp+CC]],4,0),"")</f>
        <v>112_1939</v>
      </c>
      <c r="G92" s="644" t="s">
        <v>83</v>
      </c>
      <c r="H92" s="645" t="str">
        <f>IFERROR(VLOOKUP(G92,Recria[[Granja Recria]:[Núcleo]],2,0),"")</f>
        <v>(N4)</v>
      </c>
      <c r="I92" s="646"/>
      <c r="J92" s="640" t="s">
        <v>20</v>
      </c>
      <c r="K92" s="640">
        <v>37</v>
      </c>
      <c r="L92" s="803" t="str">
        <f>VLOOKUP(M92,Raca_Linhagem[],2,0)</f>
        <v>COBB</v>
      </c>
      <c r="M92" s="803" t="s">
        <v>21</v>
      </c>
      <c r="N92" s="647">
        <f t="shared" si="16"/>
        <v>46100</v>
      </c>
      <c r="O92" s="692">
        <v>132526</v>
      </c>
      <c r="P92" s="648" t="str">
        <f>IFERROR(VLOOKUP(Q92,Producao[[Granja Produção]:[Emp+CC]],4,0),"")</f>
        <v>10_233</v>
      </c>
      <c r="Q92" s="1056" t="s">
        <v>200</v>
      </c>
      <c r="R92" s="648" t="str">
        <f>IFERROR(VLOOKUP(Q92,Producao[[Granja Produção]:[Núcleo]],2,0),"")</f>
        <v>(N1)</v>
      </c>
      <c r="S92" s="650">
        <v>36000</v>
      </c>
      <c r="T92" s="669">
        <f t="shared" si="14"/>
        <v>46421</v>
      </c>
      <c r="U92" s="670">
        <v>67</v>
      </c>
      <c r="V92" s="701">
        <f>N197-T92</f>
        <v>44</v>
      </c>
      <c r="W92" s="671">
        <f t="shared" si="13"/>
        <v>46465</v>
      </c>
      <c r="X92" s="802" t="str">
        <f>VLOOKUP(Q92,Q150:Q343,1,0)</f>
        <v>Cappellesso - PR</v>
      </c>
      <c r="Y92" s="1229">
        <f>SUMIF($Q$115:Q298,X92,$S$115:S298)</f>
        <v>36000</v>
      </c>
      <c r="AA92" s="818"/>
      <c r="AC92" s="1313" t="str">
        <f t="shared" si="17"/>
        <v>Cappellesso - PR</v>
      </c>
      <c r="AD92" s="1314">
        <f t="shared" si="18"/>
        <v>45953</v>
      </c>
      <c r="AE92" s="1314">
        <f t="shared" si="19"/>
        <v>46100</v>
      </c>
      <c r="AF92" s="1314">
        <f t="shared" si="20"/>
        <v>46421</v>
      </c>
      <c r="AG92" s="1315" t="str">
        <f t="shared" si="21"/>
        <v>500 SLOW - MALE</v>
      </c>
      <c r="AH92" s="1315" t="str">
        <f t="shared" si="22"/>
        <v>COBB</v>
      </c>
      <c r="AI92" s="1319"/>
      <c r="AJ92" s="818"/>
    </row>
    <row r="93" spans="1:36">
      <c r="A93" s="640" t="s">
        <v>17</v>
      </c>
      <c r="B93" s="641">
        <f>N24+K24</f>
        <v>45953</v>
      </c>
      <c r="C93" s="642">
        <v>45953</v>
      </c>
      <c r="D93" s="724">
        <v>100325</v>
      </c>
      <c r="E93" s="643">
        <f t="shared" ca="1" si="23"/>
        <v>48.714285714285715</v>
      </c>
      <c r="F93" s="643" t="str">
        <f>IFERROR(VLOOKUP(G93,Recria[[Granja Recria]:[Emp+CC]],4,0),"")</f>
        <v>112_67</v>
      </c>
      <c r="G93" s="644" t="s">
        <v>132</v>
      </c>
      <c r="H93" s="645" t="str">
        <f>IFERROR(VLOOKUP(G93,Recria[[Granja Recria]:[Núcleo]],2,0),"")</f>
        <v>(N2)</v>
      </c>
      <c r="I93" s="646">
        <v>60000</v>
      </c>
      <c r="J93" s="640" t="s">
        <v>45</v>
      </c>
      <c r="K93" s="640">
        <v>56</v>
      </c>
      <c r="L93" s="803" t="str">
        <f>VLOOKUP(M93,Raca_Linhagem[],2,0)</f>
        <v>COBB</v>
      </c>
      <c r="M93" s="803" t="s">
        <v>21</v>
      </c>
      <c r="N93" s="647">
        <f t="shared" si="16"/>
        <v>46100</v>
      </c>
      <c r="O93" s="692">
        <v>132626</v>
      </c>
      <c r="P93" s="648" t="str">
        <f>IFERROR(VLOOKUP(Q93,Producao[[Granja Produção]:[Emp+CC]],4,0),"")</f>
        <v>13_2295</v>
      </c>
      <c r="Q93" s="1056" t="s">
        <v>201</v>
      </c>
      <c r="R93" s="648" t="str">
        <f>IFERROR(VLOOKUP(Q93,Producao[[Granja Produção]:[Núcleo]],2,0),"")</f>
        <v>(N1)</v>
      </c>
      <c r="S93" s="650">
        <v>24000</v>
      </c>
      <c r="T93" s="669">
        <f t="shared" si="14"/>
        <v>46414</v>
      </c>
      <c r="U93" s="670">
        <v>66</v>
      </c>
      <c r="V93" s="701">
        <f>N202-T93</f>
        <v>65</v>
      </c>
      <c r="W93" s="671">
        <f t="shared" si="13"/>
        <v>46479</v>
      </c>
      <c r="X93" s="802" t="str">
        <f>VLOOKUP(Q93,Q152:Q344,1,0)</f>
        <v>Trevisan - SC</v>
      </c>
      <c r="Y93" s="1229">
        <f>SUMIF($Q$115:Q299,X93,$S$115:S299)</f>
        <v>24000</v>
      </c>
      <c r="AA93" s="818"/>
      <c r="AC93" s="1313" t="str">
        <f t="shared" si="17"/>
        <v>Trevisan - SC</v>
      </c>
      <c r="AD93" s="1314">
        <f t="shared" si="18"/>
        <v>45953</v>
      </c>
      <c r="AE93" s="1314">
        <f t="shared" si="19"/>
        <v>46100</v>
      </c>
      <c r="AF93" s="1314">
        <f t="shared" si="20"/>
        <v>46414</v>
      </c>
      <c r="AG93" s="1315" t="str">
        <f t="shared" si="21"/>
        <v>500 SLOW - MALE</v>
      </c>
      <c r="AH93" s="1315" t="str">
        <f t="shared" si="22"/>
        <v>COBB</v>
      </c>
      <c r="AI93" s="1319"/>
      <c r="AJ93" s="818"/>
    </row>
    <row r="94" spans="1:36">
      <c r="A94" s="640" t="s">
        <v>17</v>
      </c>
      <c r="B94" s="641">
        <f>N25+K25</f>
        <v>45960</v>
      </c>
      <c r="C94" s="642">
        <v>45953</v>
      </c>
      <c r="D94" s="724">
        <v>100325</v>
      </c>
      <c r="E94" s="643">
        <f t="shared" ca="1" si="23"/>
        <v>48.714285714285715</v>
      </c>
      <c r="F94" s="643" t="str">
        <f>IFERROR(VLOOKUP(G94,Recria[[Granja Recria]:[Emp+CC]],4,0),"")</f>
        <v>112_67</v>
      </c>
      <c r="G94" s="644" t="s">
        <v>132</v>
      </c>
      <c r="H94" s="645" t="str">
        <f>IFERROR(VLOOKUP(G94,Recria[[Granja Recria]:[Núcleo]],2,0),"")</f>
        <v>(N2)</v>
      </c>
      <c r="I94" s="646"/>
      <c r="J94" s="640" t="s">
        <v>45</v>
      </c>
      <c r="K94" s="640">
        <v>56</v>
      </c>
      <c r="L94" s="803" t="str">
        <f>VLOOKUP(M94,Raca_Linhagem[],2,0)</f>
        <v>COBB</v>
      </c>
      <c r="M94" s="803" t="s">
        <v>21</v>
      </c>
      <c r="N94" s="647">
        <f t="shared" si="16"/>
        <v>46100</v>
      </c>
      <c r="O94" s="692">
        <v>132726</v>
      </c>
      <c r="P94" s="648" t="str">
        <f>IFERROR(VLOOKUP(Q94,Producao[[Granja Produção]:[Emp+CC]],4,0),"")</f>
        <v>111_1534</v>
      </c>
      <c r="Q94" s="1056" t="s">
        <v>202</v>
      </c>
      <c r="R94" s="648" t="str">
        <f>IFERROR(VLOOKUP(Q94,Producao[[Granja Produção]:[Núcleo]],2,0),"")</f>
        <v>(N1)</v>
      </c>
      <c r="S94" s="650">
        <v>33000</v>
      </c>
      <c r="T94" s="669">
        <f t="shared" si="14"/>
        <v>46435</v>
      </c>
      <c r="U94" s="670">
        <v>69</v>
      </c>
      <c r="V94" s="701">
        <f>N205-T94</f>
        <v>48</v>
      </c>
      <c r="W94" s="671">
        <f t="shared" si="13"/>
        <v>46483</v>
      </c>
      <c r="X94" s="802" t="str">
        <f>VLOOKUP(Q94,Q152:Q345,1,0)</f>
        <v>Pandolfi - PR</v>
      </c>
      <c r="Y94" s="1229">
        <f>SUMIF($Q$115:Q305,X94,$S$115:S305)</f>
        <v>36000</v>
      </c>
      <c r="AA94" s="818"/>
      <c r="AC94" s="1313" t="str">
        <f t="shared" si="17"/>
        <v>Pandolfi - PR</v>
      </c>
      <c r="AD94" s="1314">
        <f t="shared" si="18"/>
        <v>45953</v>
      </c>
      <c r="AE94" s="1314">
        <f t="shared" si="19"/>
        <v>46100</v>
      </c>
      <c r="AF94" s="1314">
        <f t="shared" si="20"/>
        <v>46435</v>
      </c>
      <c r="AG94" s="1315" t="str">
        <f t="shared" si="21"/>
        <v>500 SLOW - MALE</v>
      </c>
      <c r="AH94" s="1315" t="str">
        <f t="shared" si="22"/>
        <v>COBB</v>
      </c>
      <c r="AI94" s="1319"/>
      <c r="AJ94" s="818"/>
    </row>
    <row r="95" spans="1:36">
      <c r="A95" s="640" t="s">
        <v>17</v>
      </c>
      <c r="B95" s="641">
        <f>N30+K30</f>
        <v>45965</v>
      </c>
      <c r="C95" s="642">
        <v>45967</v>
      </c>
      <c r="D95" s="724">
        <v>100425</v>
      </c>
      <c r="E95" s="643">
        <f t="shared" ca="1" si="23"/>
        <v>46.714285714285715</v>
      </c>
      <c r="F95" s="643" t="str">
        <f>IFERROR(VLOOKUP(G95,Recria[[Granja Recria]:[Emp+CC]],4,0),"")</f>
        <v>10_169</v>
      </c>
      <c r="G95" s="725" t="s">
        <v>95</v>
      </c>
      <c r="H95" s="726" t="str">
        <f>IFERROR(VLOOKUP(G95,Recria[[Granja Recria]:[Núcleo]],2,0),"")</f>
        <v>(N1)</v>
      </c>
      <c r="I95" s="646">
        <v>48000</v>
      </c>
      <c r="J95" s="640" t="s">
        <v>45</v>
      </c>
      <c r="K95" s="640">
        <v>43</v>
      </c>
      <c r="L95" s="803" t="str">
        <f>VLOOKUP(M95,Raca_Linhagem[],2,0)</f>
        <v>COBB</v>
      </c>
      <c r="M95" s="803" t="s">
        <v>21</v>
      </c>
      <c r="N95" s="674">
        <f t="shared" si="16"/>
        <v>46114</v>
      </c>
      <c r="O95" s="648"/>
      <c r="P95" s="675" t="str">
        <f>IFERROR(VLOOKUP(Q95,Producao[[Granja Produção]:[Emp+CC]],4,0),"")</f>
        <v>92_961</v>
      </c>
      <c r="Q95" s="676" t="s">
        <v>203</v>
      </c>
      <c r="R95" s="677" t="str">
        <f>IFERROR(VLOOKUP(Q95,Producao[[Granja Produção]:[Núcleo]],2,0),"")</f>
        <v>(N1)</v>
      </c>
      <c r="S95" s="702">
        <v>34000</v>
      </c>
      <c r="T95" s="679">
        <f t="shared" si="14"/>
        <v>46428</v>
      </c>
      <c r="U95" s="680">
        <v>66</v>
      </c>
      <c r="V95" s="682"/>
      <c r="W95" s="681">
        <f t="shared" si="13"/>
        <v>46428</v>
      </c>
      <c r="X95" s="802" t="e">
        <f>VLOOKUP(Q95,Q152:Q346,1,0)</f>
        <v>#N/A</v>
      </c>
      <c r="Y95" s="1229">
        <f>SUMIF($Q$115:Q300,X95,$S$115:S300)</f>
        <v>0</v>
      </c>
      <c r="AA95" s="818"/>
      <c r="AC95" s="1313" t="str">
        <f t="shared" si="17"/>
        <v>Morro agudo - SP</v>
      </c>
      <c r="AD95" s="1314">
        <f t="shared" si="18"/>
        <v>45967</v>
      </c>
      <c r="AE95" s="1314">
        <f t="shared" si="19"/>
        <v>46114</v>
      </c>
      <c r="AF95" s="1314">
        <f t="shared" si="20"/>
        <v>46428</v>
      </c>
      <c r="AG95" s="1315" t="str">
        <f t="shared" si="21"/>
        <v>500 SLOW - MALE</v>
      </c>
      <c r="AH95" s="1315" t="str">
        <f t="shared" si="22"/>
        <v>COBB</v>
      </c>
      <c r="AI95" s="1319"/>
      <c r="AJ95" s="818"/>
    </row>
    <row r="96" spans="1:36">
      <c r="A96" s="640" t="s">
        <v>17</v>
      </c>
      <c r="B96" s="641">
        <f>N30+K30</f>
        <v>45965</v>
      </c>
      <c r="C96" s="642">
        <v>45967</v>
      </c>
      <c r="D96" s="724">
        <v>100425</v>
      </c>
      <c r="E96" s="643">
        <f t="shared" ca="1" si="23"/>
        <v>46.714285714285715</v>
      </c>
      <c r="F96" s="643" t="str">
        <f>IFERROR(VLOOKUP(G96,Recria[[Granja Recria]:[Emp+CC]],4,0),"")</f>
        <v>10_169</v>
      </c>
      <c r="G96" s="725" t="s">
        <v>95</v>
      </c>
      <c r="H96" s="726" t="str">
        <f>IFERROR(VLOOKUP(G96,Recria[[Granja Recria]:[Núcleo]],2,0),"")</f>
        <v>(N1)</v>
      </c>
      <c r="I96" s="646"/>
      <c r="J96" s="640" t="s">
        <v>45</v>
      </c>
      <c r="K96" s="640">
        <v>43</v>
      </c>
      <c r="L96" s="803" t="str">
        <f>VLOOKUP(M96,Raca_Linhagem[],2,0)</f>
        <v>COBB</v>
      </c>
      <c r="M96" s="803" t="s">
        <v>21</v>
      </c>
      <c r="N96" s="674">
        <f t="shared" si="16"/>
        <v>46114</v>
      </c>
      <c r="O96" s="648"/>
      <c r="P96" s="675" t="str">
        <f>IFERROR(VLOOKUP(Q96,Producao[[Granja Produção]:[Emp+CC]],4,0),"")</f>
        <v>14_496</v>
      </c>
      <c r="Q96" s="676" t="s">
        <v>204</v>
      </c>
      <c r="R96" s="677" t="str">
        <f>IFERROR(VLOOKUP(Q96,Producao[[Granja Produção]:[Núcleo]],2,0),"")</f>
        <v>(N1)</v>
      </c>
      <c r="S96" s="702">
        <v>12000</v>
      </c>
      <c r="T96" s="679">
        <f t="shared" si="14"/>
        <v>46428</v>
      </c>
      <c r="U96" s="680">
        <v>66</v>
      </c>
      <c r="V96" s="682"/>
      <c r="W96" s="681">
        <f t="shared" si="13"/>
        <v>46428</v>
      </c>
      <c r="X96" s="802" t="e">
        <f>VLOOKUP(Q96,Q153:Q347,1,0)</f>
        <v>#N/A</v>
      </c>
      <c r="Y96" s="1229">
        <f>SUMIF($Q$115:Q302,X96,$S$115:S302)</f>
        <v>0</v>
      </c>
      <c r="AA96" s="818"/>
      <c r="AC96" s="1313" t="str">
        <f t="shared" si="17"/>
        <v>Carolina - SP</v>
      </c>
      <c r="AD96" s="1314">
        <f t="shared" si="18"/>
        <v>45967</v>
      </c>
      <c r="AE96" s="1314">
        <f t="shared" si="19"/>
        <v>46114</v>
      </c>
      <c r="AF96" s="1314">
        <f t="shared" si="20"/>
        <v>46428</v>
      </c>
      <c r="AG96" s="1315" t="str">
        <f t="shared" si="21"/>
        <v>500 SLOW - MALE</v>
      </c>
      <c r="AH96" s="1315" t="str">
        <f t="shared" si="22"/>
        <v>COBB</v>
      </c>
      <c r="AI96" s="1319"/>
      <c r="AJ96" s="818"/>
    </row>
    <row r="97" spans="1:36">
      <c r="A97" s="640" t="s">
        <v>17</v>
      </c>
      <c r="B97" s="641">
        <f>N35+K35</f>
        <v>45965</v>
      </c>
      <c r="C97" s="642">
        <v>45967</v>
      </c>
      <c r="D97" s="724">
        <v>100525</v>
      </c>
      <c r="E97" s="643">
        <f t="shared" ca="1" si="23"/>
        <v>46.714285714285715</v>
      </c>
      <c r="F97" s="643" t="str">
        <f>IFERROR(VLOOKUP(G97,Recria[[Granja Recria]:[Emp+CC]],4,0),"")</f>
        <v>10_369</v>
      </c>
      <c r="G97" s="725" t="s">
        <v>104</v>
      </c>
      <c r="H97" s="726" t="str">
        <f>IFERROR(VLOOKUP(G97,Recria[[Granja Recria]:[Núcleo]],2,0),"")</f>
        <v>(N2)</v>
      </c>
      <c r="I97" s="646">
        <v>66000</v>
      </c>
      <c r="J97" s="640" t="s">
        <v>20</v>
      </c>
      <c r="K97" s="640">
        <v>28</v>
      </c>
      <c r="L97" s="803" t="str">
        <f>VLOOKUP(M97,Raca_Linhagem[],2,0)</f>
        <v>COBB</v>
      </c>
      <c r="M97" s="803" t="s">
        <v>21</v>
      </c>
      <c r="N97" s="647">
        <f t="shared" si="16"/>
        <v>46114</v>
      </c>
      <c r="O97" s="692">
        <v>132826</v>
      </c>
      <c r="P97" s="648" t="str">
        <f>IFERROR(VLOOKUP(Q97,Producao[[Granja Produção]:[Emp+CC]],4,0),"")</f>
        <v>10_17</v>
      </c>
      <c r="Q97" s="1056" t="s">
        <v>205</v>
      </c>
      <c r="R97" s="648" t="str">
        <f>IFERROR(VLOOKUP(Q97,Producao[[Granja Produção]:[Núcleo]],2,0),"")</f>
        <v>(N1)</v>
      </c>
      <c r="S97" s="650">
        <v>60000</v>
      </c>
      <c r="T97" s="669">
        <f t="shared" si="14"/>
        <v>46428</v>
      </c>
      <c r="U97" s="670">
        <v>66</v>
      </c>
      <c r="V97" s="701">
        <f>N207-T97</f>
        <v>58</v>
      </c>
      <c r="W97" s="671">
        <f t="shared" si="13"/>
        <v>46486</v>
      </c>
      <c r="X97" s="802" t="str">
        <f>VLOOKUP(Q97,Q154:Q348,1,0)</f>
        <v>Agua do Sabia - PR</v>
      </c>
      <c r="Y97" s="1229">
        <f>SUMIF($Q$115:Q303,X97,$S$115:S303)</f>
        <v>57000</v>
      </c>
      <c r="AA97" s="818"/>
      <c r="AC97" s="1313" t="str">
        <f t="shared" si="17"/>
        <v>Agua do Sabia - PR</v>
      </c>
      <c r="AD97" s="1314">
        <f t="shared" si="18"/>
        <v>45967</v>
      </c>
      <c r="AE97" s="1314">
        <f t="shared" si="19"/>
        <v>46114</v>
      </c>
      <c r="AF97" s="1314">
        <f t="shared" si="20"/>
        <v>46428</v>
      </c>
      <c r="AG97" s="1315" t="str">
        <f t="shared" si="21"/>
        <v>500 SLOW - MALE</v>
      </c>
      <c r="AH97" s="1315" t="str">
        <f t="shared" si="22"/>
        <v>COBB</v>
      </c>
      <c r="AI97" s="1319"/>
      <c r="AJ97" s="818"/>
    </row>
    <row r="98" spans="1:36">
      <c r="A98" s="640" t="s">
        <v>17</v>
      </c>
      <c r="B98" s="641">
        <f>N36+K36</f>
        <v>45965</v>
      </c>
      <c r="C98" s="642">
        <v>45967</v>
      </c>
      <c r="D98" s="724">
        <v>100525</v>
      </c>
      <c r="E98" s="643">
        <f t="shared" ca="1" si="23"/>
        <v>46.714285714285715</v>
      </c>
      <c r="F98" s="643" t="str">
        <f>IFERROR(VLOOKUP(G98,Recria[[Granja Recria]:[Emp+CC]],4,0),"")</f>
        <v>10_369</v>
      </c>
      <c r="G98" s="725" t="s">
        <v>104</v>
      </c>
      <c r="H98" s="726" t="str">
        <f>IFERROR(VLOOKUP(G98,Recria[[Granja Recria]:[Núcleo]],2,0),"")</f>
        <v>(N2)</v>
      </c>
      <c r="I98" s="646"/>
      <c r="J98" s="640" t="s">
        <v>20</v>
      </c>
      <c r="K98" s="640">
        <v>28</v>
      </c>
      <c r="L98" s="803" t="str">
        <f>VLOOKUP(M98,Raca_Linhagem[],2,0)</f>
        <v>COBB</v>
      </c>
      <c r="M98" s="803" t="s">
        <v>21</v>
      </c>
      <c r="N98" s="647">
        <f t="shared" si="16"/>
        <v>46114</v>
      </c>
      <c r="O98" s="692">
        <v>132926</v>
      </c>
      <c r="P98" s="648" t="str">
        <f>IFERROR(VLOOKUP(Q98,Producao[[Granja Produção]:[Emp+CC]],4,0),"")</f>
        <v>10_41</v>
      </c>
      <c r="Q98" s="1056" t="s">
        <v>206</v>
      </c>
      <c r="R98" s="648" t="str">
        <f>IFERROR(VLOOKUP(Q98,Producao[[Granja Produção]:[Núcleo]],2,0),"")</f>
        <v>(N1)</v>
      </c>
      <c r="S98" s="650">
        <v>3000</v>
      </c>
      <c r="T98" s="669">
        <f t="shared" si="14"/>
        <v>46442</v>
      </c>
      <c r="U98" s="670">
        <v>68</v>
      </c>
      <c r="V98" s="701">
        <f>N208-T98</f>
        <v>54</v>
      </c>
      <c r="W98" s="671">
        <f t="shared" si="13"/>
        <v>46496</v>
      </c>
      <c r="X98" s="802" t="str">
        <f>VLOOKUP(Q98,Q169:Q349,1,0)</f>
        <v>Santolin - PR</v>
      </c>
      <c r="Y98" s="1229">
        <f>SUMIF($Q$115:Q306,X98,$S$115:S306)</f>
        <v>40320</v>
      </c>
      <c r="AA98" s="818"/>
      <c r="AC98" s="1313" t="str">
        <f t="shared" si="17"/>
        <v>Santolin - PR</v>
      </c>
      <c r="AD98" s="1314">
        <f t="shared" si="18"/>
        <v>45967</v>
      </c>
      <c r="AE98" s="1314">
        <f t="shared" si="19"/>
        <v>46114</v>
      </c>
      <c r="AF98" s="1314">
        <f t="shared" si="20"/>
        <v>46442</v>
      </c>
      <c r="AG98" s="1315" t="str">
        <f t="shared" si="21"/>
        <v>500 SLOW - MALE</v>
      </c>
      <c r="AH98" s="1315" t="str">
        <f t="shared" si="22"/>
        <v>COBB</v>
      </c>
      <c r="AI98" s="1319"/>
      <c r="AJ98" s="818"/>
    </row>
    <row r="99" spans="1:36">
      <c r="A99" s="640" t="s">
        <v>17</v>
      </c>
      <c r="B99" s="641">
        <f>N39+K39</f>
        <v>45973</v>
      </c>
      <c r="C99" s="642">
        <v>45974</v>
      </c>
      <c r="D99" s="724">
        <v>100725</v>
      </c>
      <c r="E99" s="643">
        <f t="shared" ca="1" si="23"/>
        <v>45.714285714285715</v>
      </c>
      <c r="F99" s="643" t="str">
        <f>IFERROR(VLOOKUP(G99,Recria[[Granja Recria]:[Emp+CC]],4,0),"")</f>
        <v>27_181</v>
      </c>
      <c r="G99" s="725" t="s">
        <v>111</v>
      </c>
      <c r="H99" s="726" t="str">
        <f>IFERROR(VLOOKUP(G99,Recria[[Granja Recria]:[Núcleo]],2,0),"")</f>
        <v>(N2)</v>
      </c>
      <c r="I99" s="646">
        <v>42000</v>
      </c>
      <c r="J99" s="640" t="s">
        <v>20</v>
      </c>
      <c r="K99" s="640">
        <v>30</v>
      </c>
      <c r="L99" s="803" t="str">
        <f>VLOOKUP(M99,Raca_Linhagem[],2,0)</f>
        <v>COBB</v>
      </c>
      <c r="M99" s="638" t="s">
        <v>149</v>
      </c>
      <c r="N99" s="647">
        <f t="shared" si="16"/>
        <v>46121</v>
      </c>
      <c r="O99" s="692">
        <v>132926</v>
      </c>
      <c r="P99" s="648" t="str">
        <f>IFERROR(VLOOKUP(Q99,Producao[[Granja Produção]:[Emp+CC]],4,0),"")</f>
        <v>10_41</v>
      </c>
      <c r="Q99" s="1056" t="s">
        <v>206</v>
      </c>
      <c r="R99" s="648" t="str">
        <f>IFERROR(VLOOKUP(Q99,Producao[[Granja Produção]:[Núcleo]],2,0),"")</f>
        <v>(N1)</v>
      </c>
      <c r="S99" s="650">
        <v>40000</v>
      </c>
      <c r="T99" s="669">
        <f t="shared" si="14"/>
        <v>46442</v>
      </c>
      <c r="U99" s="670">
        <v>67</v>
      </c>
      <c r="V99" s="701">
        <f>N208-T98</f>
        <v>54</v>
      </c>
      <c r="W99" s="671">
        <f t="shared" si="13"/>
        <v>46496</v>
      </c>
      <c r="X99" s="802" t="str">
        <f>VLOOKUP(Q99,Q154:Q350,1,0)</f>
        <v>Santolin - PR</v>
      </c>
      <c r="Y99" s="1229">
        <f>SUMIF($Q$115:Q307,X99,$S$115:S307)</f>
        <v>40320</v>
      </c>
      <c r="AA99" s="818"/>
      <c r="AC99" s="1313" t="str">
        <f t="shared" si="17"/>
        <v>Santolin - PR</v>
      </c>
      <c r="AD99" s="1314">
        <f t="shared" si="18"/>
        <v>45974</v>
      </c>
      <c r="AE99" s="1314">
        <f t="shared" si="19"/>
        <v>46121</v>
      </c>
      <c r="AF99" s="1314">
        <f t="shared" si="20"/>
        <v>46442</v>
      </c>
      <c r="AG99" s="1315" t="str">
        <f t="shared" si="21"/>
        <v>CDP4 SF - MALE</v>
      </c>
      <c r="AH99" s="1315" t="str">
        <f t="shared" si="22"/>
        <v>COBB</v>
      </c>
      <c r="AI99" s="1319"/>
      <c r="AJ99" s="818"/>
    </row>
    <row r="100" spans="1:36">
      <c r="A100" s="640" t="s">
        <v>17</v>
      </c>
      <c r="B100" s="641">
        <f>N47+K47</f>
        <v>45982</v>
      </c>
      <c r="C100" s="642">
        <v>45981</v>
      </c>
      <c r="D100" s="724">
        <v>100825</v>
      </c>
      <c r="E100" s="643">
        <f t="shared" ca="1" si="23"/>
        <v>44.714285714285715</v>
      </c>
      <c r="F100" s="643" t="str">
        <f>IFERROR(VLOOKUP(G100,Recria[[Granja Recria]:[Emp+CC]],4,0),"")</f>
        <v>10_326</v>
      </c>
      <c r="G100" s="725" t="s">
        <v>129</v>
      </c>
      <c r="H100" s="726" t="str">
        <f>IFERROR(VLOOKUP(G100,Recria[[Granja Recria]:[Núcleo]],2,0),"")</f>
        <v>(N1)</v>
      </c>
      <c r="I100" s="646">
        <v>38000</v>
      </c>
      <c r="J100" s="640" t="s">
        <v>45</v>
      </c>
      <c r="K100" s="640">
        <v>58</v>
      </c>
      <c r="L100" s="803" t="str">
        <f>VLOOKUP(M100,Raca_Linhagem[],2,0)</f>
        <v>COBB</v>
      </c>
      <c r="M100" s="638" t="s">
        <v>149</v>
      </c>
      <c r="N100" s="647">
        <f t="shared" si="16"/>
        <v>46128</v>
      </c>
      <c r="O100" s="692">
        <v>133726</v>
      </c>
      <c r="P100" s="648" t="str">
        <f>IFERROR(VLOOKUP(Q100,Producao[[Granja Produção]:[Emp+CC]],4,0),"")</f>
        <v>10_177</v>
      </c>
      <c r="Q100" s="1056" t="s">
        <v>207</v>
      </c>
      <c r="R100" s="648" t="str">
        <f>IFERROR(VLOOKUP(Q100,Producao[[Granja Produção]:[Núcleo]],2,0),"")</f>
        <v>(N1)</v>
      </c>
      <c r="S100" s="650">
        <v>36500</v>
      </c>
      <c r="T100" s="669">
        <f t="shared" si="14"/>
        <v>46449</v>
      </c>
      <c r="U100" s="670">
        <v>67</v>
      </c>
      <c r="V100" s="880" t="s">
        <v>40</v>
      </c>
      <c r="W100" s="1259" t="str">
        <f t="shared" si="13"/>
        <v xml:space="preserve"> </v>
      </c>
      <c r="X100" s="882" t="e">
        <f>VLOOKUP(Q100,Q154:Q351,1,0)</f>
        <v>#N/A</v>
      </c>
      <c r="Y100" s="1229">
        <f>SUMIF($Q$115:Q308,X100,$S$115:S308)</f>
        <v>0</v>
      </c>
      <c r="AA100" s="818"/>
      <c r="AC100" s="1313" t="str">
        <f t="shared" si="17"/>
        <v>Entre Rios 1 - PR</v>
      </c>
      <c r="AD100" s="1314">
        <f t="shared" si="18"/>
        <v>45981</v>
      </c>
      <c r="AE100" s="1314">
        <f t="shared" si="19"/>
        <v>46128</v>
      </c>
      <c r="AF100" s="1314">
        <f t="shared" si="20"/>
        <v>46449</v>
      </c>
      <c r="AG100" s="1315" t="str">
        <f t="shared" si="21"/>
        <v>CDP4 SF - MALE</v>
      </c>
      <c r="AH100" s="1315" t="str">
        <f t="shared" si="22"/>
        <v>COBB</v>
      </c>
      <c r="AI100" s="1319"/>
      <c r="AJ100" s="818"/>
    </row>
    <row r="101" spans="1:36">
      <c r="A101" s="640" t="s">
        <v>17</v>
      </c>
      <c r="B101" s="641">
        <f>N40+K40</f>
        <v>45988</v>
      </c>
      <c r="C101" s="642">
        <v>45988</v>
      </c>
      <c r="D101" s="724">
        <v>100925</v>
      </c>
      <c r="E101" s="643">
        <f t="shared" ca="1" si="23"/>
        <v>43.714285714285715</v>
      </c>
      <c r="F101" s="643" t="str">
        <f>IFERROR(VLOOKUP(G101,Recria[[Granja Recria]:[Emp+CC]],4,0),"")</f>
        <v>10_267</v>
      </c>
      <c r="G101" s="725" t="s">
        <v>115</v>
      </c>
      <c r="H101" s="726" t="str">
        <f>IFERROR(VLOOKUP(G101,Recria[[Granja Recria]:[Núcleo]],2,0),"")</f>
        <v>(N1)</v>
      </c>
      <c r="I101" s="646">
        <v>63000</v>
      </c>
      <c r="J101" s="640" t="s">
        <v>45</v>
      </c>
      <c r="K101" s="640">
        <v>57</v>
      </c>
      <c r="L101" s="803" t="str">
        <f>VLOOKUP(M101,Raca_Linhagem[],2,0)</f>
        <v>COBB</v>
      </c>
      <c r="M101" s="803" t="s">
        <v>21</v>
      </c>
      <c r="N101" s="647">
        <f t="shared" si="16"/>
        <v>46135</v>
      </c>
      <c r="O101" s="692">
        <v>133226</v>
      </c>
      <c r="P101" s="648" t="str">
        <f>IFERROR(VLOOKUP(Q101,Producao[[Granja Produção]:[Emp+CC]],4,0),"")</f>
        <v>10_274</v>
      </c>
      <c r="Q101" s="1056" t="s">
        <v>208</v>
      </c>
      <c r="R101" s="648" t="str">
        <f>IFERROR(VLOOKUP(Q101,Producao[[Granja Produção]:[Núcleo]],2,0),"")</f>
        <v>(N1)</v>
      </c>
      <c r="S101" s="650">
        <v>61000</v>
      </c>
      <c r="T101" s="669">
        <f t="shared" si="14"/>
        <v>46449</v>
      </c>
      <c r="U101" s="670">
        <v>66</v>
      </c>
      <c r="V101" s="880" t="s">
        <v>40</v>
      </c>
      <c r="W101" s="1259" t="str">
        <f t="shared" ref="W101:W112" si="24">IFERROR(T101+V101," ")</f>
        <v xml:space="preserve"> </v>
      </c>
      <c r="X101" s="882" t="e">
        <f>VLOOKUP(Q101,Q155:Q353,1,0)</f>
        <v>#N/A</v>
      </c>
      <c r="Y101" s="1229">
        <f>SUMIF($Q$115:Q309,X101,$S$115:S309)</f>
        <v>0</v>
      </c>
      <c r="AA101" s="818"/>
      <c r="AC101" s="1313" t="str">
        <f t="shared" si="17"/>
        <v>Planalto - PR</v>
      </c>
      <c r="AD101" s="1314">
        <f t="shared" si="18"/>
        <v>45988</v>
      </c>
      <c r="AE101" s="1314">
        <f t="shared" si="19"/>
        <v>46135</v>
      </c>
      <c r="AF101" s="1314">
        <f t="shared" si="20"/>
        <v>46449</v>
      </c>
      <c r="AG101" s="1315" t="str">
        <f t="shared" si="21"/>
        <v>500 SLOW - MALE</v>
      </c>
      <c r="AH101" s="1315" t="str">
        <f t="shared" si="22"/>
        <v>COBB</v>
      </c>
      <c r="AI101" s="1319"/>
      <c r="AJ101" s="818"/>
    </row>
    <row r="102" spans="1:36">
      <c r="A102" s="640" t="s">
        <v>17</v>
      </c>
      <c r="B102" s="641">
        <f>N41+K41</f>
        <v>45996</v>
      </c>
      <c r="C102" s="642">
        <v>45995</v>
      </c>
      <c r="D102" s="724">
        <v>100925</v>
      </c>
      <c r="E102" s="643">
        <f t="shared" ca="1" si="23"/>
        <v>42.714285714285715</v>
      </c>
      <c r="F102" s="643" t="str">
        <f>IFERROR(VLOOKUP(G102,Recria[[Granja Recria]:[Emp+CC]],4,0),"")</f>
        <v>10_267</v>
      </c>
      <c r="G102" s="725" t="s">
        <v>115</v>
      </c>
      <c r="H102" s="726" t="str">
        <f>IFERROR(VLOOKUP(G102,Recria[[Granja Recria]:[Núcleo]],2,0),"")</f>
        <v>(N1)</v>
      </c>
      <c r="I102" s="646">
        <v>63000</v>
      </c>
      <c r="J102" s="640" t="s">
        <v>45</v>
      </c>
      <c r="K102" s="640">
        <v>50</v>
      </c>
      <c r="L102" s="803" t="str">
        <f>VLOOKUP(M102,Raca_Linhagem[],2,0)</f>
        <v>COBB</v>
      </c>
      <c r="M102" s="803" t="s">
        <v>21</v>
      </c>
      <c r="N102" s="647">
        <f t="shared" si="16"/>
        <v>46142</v>
      </c>
      <c r="O102" s="692">
        <v>133226</v>
      </c>
      <c r="P102" s="648" t="str">
        <f>IFERROR(VLOOKUP(Q102,Producao[[Granja Produção]:[Emp+CC]],4,0),"")</f>
        <v>10_274</v>
      </c>
      <c r="Q102" s="1056" t="s">
        <v>208</v>
      </c>
      <c r="R102" s="648" t="str">
        <f>IFERROR(VLOOKUP(Q102,Producao[[Granja Produção]:[Núcleo]],2,0),"")</f>
        <v>(N1)</v>
      </c>
      <c r="S102" s="650">
        <v>32000</v>
      </c>
      <c r="T102" s="669">
        <f t="shared" ref="T102:T112" si="25">C102+(U102*7)-1</f>
        <v>46456</v>
      </c>
      <c r="U102" s="670">
        <v>66</v>
      </c>
      <c r="V102" s="880" t="s">
        <v>40</v>
      </c>
      <c r="W102" s="1259" t="str">
        <f t="shared" si="24"/>
        <v xml:space="preserve"> </v>
      </c>
      <c r="X102" s="882" t="e">
        <f>VLOOKUP(Q102,Q156:Q354,1,0)</f>
        <v>#N/A</v>
      </c>
      <c r="Y102" s="1229">
        <f>SUMIF($Q$115:Q310,X102,$S$115:S310)</f>
        <v>0</v>
      </c>
      <c r="AA102" s="818"/>
      <c r="AC102" s="1313" t="str">
        <f t="shared" si="17"/>
        <v>Planalto - PR</v>
      </c>
      <c r="AD102" s="1314">
        <f t="shared" si="18"/>
        <v>45995</v>
      </c>
      <c r="AE102" s="1314">
        <f t="shared" si="19"/>
        <v>46142</v>
      </c>
      <c r="AF102" s="1314">
        <f t="shared" si="20"/>
        <v>46456</v>
      </c>
      <c r="AG102" s="1315" t="str">
        <f t="shared" si="21"/>
        <v>500 SLOW - MALE</v>
      </c>
      <c r="AH102" s="1315" t="str">
        <f t="shared" si="22"/>
        <v>COBB</v>
      </c>
      <c r="AI102" s="1319"/>
      <c r="AJ102" s="818"/>
    </row>
    <row r="103" spans="1:36">
      <c r="A103" s="640" t="s">
        <v>17</v>
      </c>
      <c r="B103" s="641">
        <f>N41+K41</f>
        <v>45996</v>
      </c>
      <c r="C103" s="642">
        <v>45995</v>
      </c>
      <c r="D103" s="724">
        <v>100925</v>
      </c>
      <c r="E103" s="643">
        <f t="shared" ca="1" si="23"/>
        <v>42.714285714285715</v>
      </c>
      <c r="F103" s="643" t="str">
        <f>IFERROR(VLOOKUP(G103,Recria[[Granja Recria]:[Emp+CC]],4,0),"")</f>
        <v>10_267</v>
      </c>
      <c r="G103" s="725" t="s">
        <v>115</v>
      </c>
      <c r="H103" s="726" t="str">
        <f>IFERROR(VLOOKUP(G103,Recria[[Granja Recria]:[Núcleo]],2,0),"")</f>
        <v>(N1)</v>
      </c>
      <c r="I103" s="646"/>
      <c r="J103" s="640" t="s">
        <v>45</v>
      </c>
      <c r="K103" s="640">
        <v>50</v>
      </c>
      <c r="L103" s="803" t="str">
        <f>VLOOKUP(M103,Raca_Linhagem[],2,0)</f>
        <v>COBB</v>
      </c>
      <c r="M103" s="803" t="s">
        <v>21</v>
      </c>
      <c r="N103" s="647">
        <f t="shared" si="16"/>
        <v>46142</v>
      </c>
      <c r="O103" s="692">
        <v>133026</v>
      </c>
      <c r="P103" s="648" t="str">
        <f>IFERROR(VLOOKUP(Q103,Producao[[Granja Produção]:[Emp+CC]],4,0),"")</f>
        <v>10_43</v>
      </c>
      <c r="Q103" s="1056" t="s">
        <v>209</v>
      </c>
      <c r="R103" s="648" t="str">
        <f>IFERROR(VLOOKUP(Q103,Producao[[Granja Produção]:[Núcleo]],2,0),"")</f>
        <v>(N1)</v>
      </c>
      <c r="S103" s="650">
        <v>29000</v>
      </c>
      <c r="T103" s="669">
        <f t="shared" si="25"/>
        <v>46442</v>
      </c>
      <c r="U103" s="670">
        <v>64</v>
      </c>
      <c r="V103" s="701">
        <f>N203-T103</f>
        <v>37</v>
      </c>
      <c r="W103" s="671">
        <f t="shared" si="24"/>
        <v>46479</v>
      </c>
      <c r="X103" s="802" t="str">
        <f>VLOOKUP(Q103,Q159:Q355,1,0)</f>
        <v>São Braz 2 - PR</v>
      </c>
      <c r="Y103" s="1229">
        <f>SUMIF($Q$115:Q311,X103,$S$115:S311)</f>
        <v>34000</v>
      </c>
      <c r="AA103" s="818"/>
      <c r="AC103" s="1313" t="str">
        <f t="shared" si="17"/>
        <v>São Braz 2 - PR</v>
      </c>
      <c r="AD103" s="1314">
        <f t="shared" si="18"/>
        <v>45995</v>
      </c>
      <c r="AE103" s="1314">
        <f t="shared" si="19"/>
        <v>46142</v>
      </c>
      <c r="AF103" s="1314">
        <f t="shared" si="20"/>
        <v>46442</v>
      </c>
      <c r="AG103" s="1315" t="str">
        <f t="shared" si="21"/>
        <v>500 SLOW - MALE</v>
      </c>
      <c r="AH103" s="1315" t="str">
        <f t="shared" si="22"/>
        <v>COBB</v>
      </c>
      <c r="AI103" s="1319"/>
      <c r="AJ103" s="818"/>
    </row>
    <row r="104" spans="1:36">
      <c r="A104" s="640" t="s">
        <v>17</v>
      </c>
      <c r="B104" s="641">
        <f>N43+K43</f>
        <v>45989</v>
      </c>
      <c r="C104" s="642">
        <v>45988</v>
      </c>
      <c r="D104" s="724">
        <v>101025</v>
      </c>
      <c r="E104" s="643">
        <f t="shared" ca="1" si="23"/>
        <v>43.714285714285715</v>
      </c>
      <c r="F104" s="643" t="str">
        <f>IFERROR(VLOOKUP(G104,Recria[[Granja Recria]:[Emp+CC]],4,0),"")</f>
        <v>10_775</v>
      </c>
      <c r="G104" s="725" t="s">
        <v>120</v>
      </c>
      <c r="H104" s="726" t="str">
        <f>IFERROR(VLOOKUP(G104,Recria[[Granja Recria]:[Núcleo]],2,0),"")</f>
        <v>(N1)</v>
      </c>
      <c r="I104" s="646">
        <v>50000</v>
      </c>
      <c r="J104" s="640" t="s">
        <v>45</v>
      </c>
      <c r="K104" s="640">
        <v>51</v>
      </c>
      <c r="L104" s="804" t="str">
        <f>VLOOKUP(M104,Raca_Linhagem[],2,0)</f>
        <v>ROSS</v>
      </c>
      <c r="M104" s="804" t="s">
        <v>26</v>
      </c>
      <c r="N104" s="647">
        <f t="shared" si="16"/>
        <v>46135</v>
      </c>
      <c r="O104" s="692">
        <v>133126</v>
      </c>
      <c r="P104" s="648" t="str">
        <f>IFERROR(VLOOKUP(Q104,Producao[[Granja Produção]:[Emp+CC]],4,0),"")</f>
        <v>10_46</v>
      </c>
      <c r="Q104" s="1056" t="s">
        <v>210</v>
      </c>
      <c r="R104" s="648" t="str">
        <f>IFERROR(VLOOKUP(Q104,Producao[[Granja Produção]:[Núcleo]],2,0),"")</f>
        <v>(N2)</v>
      </c>
      <c r="S104" s="650">
        <f>I104*0.96</f>
        <v>48000</v>
      </c>
      <c r="T104" s="669">
        <f t="shared" si="25"/>
        <v>46456</v>
      </c>
      <c r="U104" s="670">
        <v>67</v>
      </c>
      <c r="V104" s="701">
        <f>N215-T104</f>
        <v>52</v>
      </c>
      <c r="W104" s="671">
        <f t="shared" si="24"/>
        <v>46508</v>
      </c>
      <c r="X104" s="802" t="str">
        <f>VLOOKUP(Q104,Q164:Q356,1,0)</f>
        <v>Salto Caxias Prod. 1 - PR</v>
      </c>
      <c r="Y104" s="1229">
        <f>SUMIF($Q$115:Q311,X104,$S$115:S311)</f>
        <v>48000</v>
      </c>
      <c r="AA104" s="818"/>
      <c r="AC104" s="1313" t="str">
        <f t="shared" si="17"/>
        <v>Salto Caxias Prod. 1 - PR</v>
      </c>
      <c r="AD104" s="1314">
        <f t="shared" si="18"/>
        <v>45988</v>
      </c>
      <c r="AE104" s="1314">
        <f t="shared" si="19"/>
        <v>46135</v>
      </c>
      <c r="AF104" s="1314">
        <f t="shared" si="20"/>
        <v>46456</v>
      </c>
      <c r="AG104" s="1315" t="str">
        <f t="shared" si="21"/>
        <v>AP95 - 344</v>
      </c>
      <c r="AH104" s="1315" t="str">
        <f t="shared" si="22"/>
        <v>ROSS</v>
      </c>
      <c r="AI104" s="1319"/>
      <c r="AJ104" s="818"/>
    </row>
    <row r="105" spans="1:36">
      <c r="A105" s="640" t="s">
        <v>17</v>
      </c>
      <c r="B105" s="641">
        <f>N37+K37</f>
        <v>45997</v>
      </c>
      <c r="C105" s="642">
        <v>45995</v>
      </c>
      <c r="D105" s="724">
        <v>101225</v>
      </c>
      <c r="E105" s="643">
        <f t="shared" ca="1" si="23"/>
        <v>42.714285714285715</v>
      </c>
      <c r="F105" s="643" t="str">
        <f>IFERROR(VLOOKUP(G105,Recria[[Granja Recria]:[Emp+CC]],4,0),"")</f>
        <v>10_140</v>
      </c>
      <c r="G105" s="725" t="s">
        <v>107</v>
      </c>
      <c r="H105" s="726" t="str">
        <f>IFERROR(VLOOKUP(G105,Recria[[Granja Recria]:[Núcleo]],2,0),"")</f>
        <v>(N1)</v>
      </c>
      <c r="I105" s="646">
        <v>42000</v>
      </c>
      <c r="J105" s="640" t="s">
        <v>60</v>
      </c>
      <c r="K105" s="640">
        <v>33</v>
      </c>
      <c r="L105" s="806" t="str">
        <f>VLOOKUP(M105,Raca_Linhagem[],2,0)</f>
        <v>COBB</v>
      </c>
      <c r="M105" s="806" t="s">
        <v>211</v>
      </c>
      <c r="N105" s="647">
        <f t="shared" si="16"/>
        <v>46142</v>
      </c>
      <c r="O105" s="692">
        <v>133326</v>
      </c>
      <c r="P105" s="648" t="str">
        <f>IFERROR(VLOOKUP(Q105,Producao[[Granja Produção]:[Emp+CC]],4,0),"")</f>
        <v>17_104</v>
      </c>
      <c r="Q105" s="1056" t="s">
        <v>212</v>
      </c>
      <c r="R105" s="648" t="str">
        <f>IFERROR(VLOOKUP(Q105,Producao[[Granja Produção]:[Núcleo]],2,0),"")</f>
        <v>(N1)</v>
      </c>
      <c r="S105" s="650">
        <v>40000</v>
      </c>
      <c r="T105" s="669">
        <f t="shared" si="25"/>
        <v>46456</v>
      </c>
      <c r="U105" s="670">
        <v>66</v>
      </c>
      <c r="V105" s="701">
        <f>N211-T105</f>
        <v>46</v>
      </c>
      <c r="W105" s="671">
        <f t="shared" si="24"/>
        <v>46502</v>
      </c>
      <c r="X105" s="802" t="str">
        <f>VLOOKUP(Q105,Q165:Q357,1,0)</f>
        <v>Bela Vista 1 - PR</v>
      </c>
      <c r="Y105" s="1229">
        <f>SUMIF($Q$115:Q311,X105,$S$115:S311)</f>
        <v>40320</v>
      </c>
      <c r="AA105" s="818"/>
      <c r="AC105" s="1313" t="str">
        <f t="shared" si="17"/>
        <v>Bela Vista 1 - PR</v>
      </c>
      <c r="AD105" s="1314">
        <f t="shared" si="18"/>
        <v>45995</v>
      </c>
      <c r="AE105" s="1314">
        <f t="shared" si="19"/>
        <v>46142</v>
      </c>
      <c r="AF105" s="1314">
        <f t="shared" si="20"/>
        <v>46456</v>
      </c>
      <c r="AG105" s="1315" t="str">
        <f t="shared" si="21"/>
        <v>500 SLOW - MX JBS</v>
      </c>
      <c r="AH105" s="1315" t="str">
        <f t="shared" si="22"/>
        <v>COBB</v>
      </c>
      <c r="AI105" s="1319"/>
      <c r="AJ105" s="818"/>
    </row>
    <row r="106" spans="1:36">
      <c r="A106" s="640" t="s">
        <v>17</v>
      </c>
      <c r="B106" s="641">
        <f>N33+K33</f>
        <v>45995</v>
      </c>
      <c r="C106" s="642">
        <v>45995</v>
      </c>
      <c r="D106" s="724">
        <v>101125</v>
      </c>
      <c r="E106" s="643">
        <f t="shared" ca="1" si="23"/>
        <v>42.714285714285715</v>
      </c>
      <c r="F106" s="643" t="str">
        <f>IFERROR(VLOOKUP(G106,Recria[[Granja Recria]:[Emp+CC]],4,0),"")</f>
        <v>10_1250</v>
      </c>
      <c r="G106" s="725" t="s">
        <v>101</v>
      </c>
      <c r="H106" s="726" t="str">
        <f>IFERROR(VLOOKUP(G106,Recria[[Granja Recria]:[Núcleo]],2,0),"")</f>
        <v>(N2)</v>
      </c>
      <c r="I106" s="646">
        <v>60000</v>
      </c>
      <c r="J106" s="640" t="s">
        <v>60</v>
      </c>
      <c r="K106" s="640">
        <v>19</v>
      </c>
      <c r="L106" s="804" t="str">
        <f>VLOOKUP(M106,Raca_Linhagem[],2,0)</f>
        <v>ROSS</v>
      </c>
      <c r="M106" s="804" t="s">
        <v>26</v>
      </c>
      <c r="N106" s="647">
        <f t="shared" si="16"/>
        <v>46142</v>
      </c>
      <c r="O106" s="692">
        <v>133026</v>
      </c>
      <c r="P106" s="648" t="str">
        <f>IFERROR(VLOOKUP(Q106,Producao[[Granja Produção]:[Emp+CC]],4,0),"")</f>
        <v>10_43</v>
      </c>
      <c r="Q106" s="1056" t="s">
        <v>209</v>
      </c>
      <c r="R106" s="648" t="str">
        <f>IFERROR(VLOOKUP(Q106,Producao[[Granja Produção]:[Núcleo]],2,0),"")</f>
        <v>(N1)</v>
      </c>
      <c r="S106" s="650">
        <v>3744</v>
      </c>
      <c r="T106" s="669">
        <f t="shared" si="25"/>
        <v>46442</v>
      </c>
      <c r="U106" s="670">
        <v>64</v>
      </c>
      <c r="V106" s="701">
        <f>N203-T103</f>
        <v>37</v>
      </c>
      <c r="W106" s="671">
        <f t="shared" si="24"/>
        <v>46479</v>
      </c>
      <c r="X106" s="802" t="str">
        <f>VLOOKUP(Q106,Q158:Q358,1,0)</f>
        <v>São Braz 2 - PR</v>
      </c>
      <c r="Y106" s="1229">
        <f>SUMIF($Q$115:Q312,X106,$S$115:S312)</f>
        <v>34000</v>
      </c>
      <c r="AA106" s="818"/>
      <c r="AC106" s="1313" t="str">
        <f t="shared" si="17"/>
        <v>São Braz 2 - PR</v>
      </c>
      <c r="AD106" s="1314">
        <f t="shared" si="18"/>
        <v>45995</v>
      </c>
      <c r="AE106" s="1314">
        <f t="shared" si="19"/>
        <v>46142</v>
      </c>
      <c r="AF106" s="1314">
        <f t="shared" si="20"/>
        <v>46442</v>
      </c>
      <c r="AG106" s="1315" t="str">
        <f t="shared" si="21"/>
        <v>AP95 - 344</v>
      </c>
      <c r="AH106" s="1315" t="str">
        <f t="shared" si="22"/>
        <v>ROSS</v>
      </c>
      <c r="AI106" s="1319"/>
      <c r="AJ106" s="818"/>
    </row>
    <row r="107" spans="1:36">
      <c r="A107" s="640" t="s">
        <v>17</v>
      </c>
      <c r="B107" s="641">
        <f>N33+K33</f>
        <v>45995</v>
      </c>
      <c r="C107" s="642">
        <v>45995</v>
      </c>
      <c r="D107" s="724">
        <v>101125</v>
      </c>
      <c r="E107" s="643">
        <f t="shared" ca="1" si="23"/>
        <v>42.714285714285715</v>
      </c>
      <c r="F107" s="643" t="str">
        <f>IFERROR(VLOOKUP(G107,Recria[[Granja Recria]:[Emp+CC]],4,0),"")</f>
        <v>10_1250</v>
      </c>
      <c r="G107" s="725" t="s">
        <v>101</v>
      </c>
      <c r="H107" s="726" t="str">
        <f>IFERROR(VLOOKUP(G107,Recria[[Granja Recria]:[Núcleo]],2,0),"")</f>
        <v>(N2)</v>
      </c>
      <c r="I107" s="646"/>
      <c r="J107" s="640" t="s">
        <v>60</v>
      </c>
      <c r="K107" s="640">
        <v>19</v>
      </c>
      <c r="L107" s="804" t="str">
        <f>VLOOKUP(M107,Raca_Linhagem[],2,0)</f>
        <v>ROSS</v>
      </c>
      <c r="M107" s="804" t="s">
        <v>26</v>
      </c>
      <c r="N107" s="647">
        <f t="shared" si="16"/>
        <v>46142</v>
      </c>
      <c r="O107" s="692">
        <v>133426</v>
      </c>
      <c r="P107" s="648" t="str">
        <f>IFERROR(VLOOKUP(Q107,Producao[[Granja Produção]:[Emp+CC]],4,0),"")</f>
        <v>10_178</v>
      </c>
      <c r="Q107" s="1056" t="s">
        <v>213</v>
      </c>
      <c r="R107" s="648" t="str">
        <f>IFERROR(VLOOKUP(Q107,Producao[[Granja Produção]:[Núcleo]],2,0),"")</f>
        <v>(N2)</v>
      </c>
      <c r="S107" s="650">
        <v>37000</v>
      </c>
      <c r="T107" s="669">
        <f t="shared" si="25"/>
        <v>46456</v>
      </c>
      <c r="U107" s="670">
        <v>66</v>
      </c>
      <c r="V107" s="880" t="s">
        <v>40</v>
      </c>
      <c r="W107" s="1259" t="str">
        <f t="shared" si="24"/>
        <v xml:space="preserve"> </v>
      </c>
      <c r="X107" s="882" t="e">
        <f>VLOOKUP(Q107,Q160:Q359,1,0)</f>
        <v>#N/A</v>
      </c>
      <c r="Y107" s="1229">
        <f>SUMIF($Q$115:Q313,X107,$S$115:S313)</f>
        <v>0</v>
      </c>
      <c r="AA107" s="818"/>
      <c r="AC107" s="1313" t="str">
        <f t="shared" si="17"/>
        <v>Entre Rios 2 - PR</v>
      </c>
      <c r="AD107" s="1314">
        <f t="shared" si="18"/>
        <v>45995</v>
      </c>
      <c r="AE107" s="1314">
        <f t="shared" si="19"/>
        <v>46142</v>
      </c>
      <c r="AF107" s="1314">
        <f t="shared" si="20"/>
        <v>46456</v>
      </c>
      <c r="AG107" s="1315" t="str">
        <f t="shared" si="21"/>
        <v>AP95 - 344</v>
      </c>
      <c r="AH107" s="1315" t="str">
        <f t="shared" si="22"/>
        <v>ROSS</v>
      </c>
      <c r="AI107" s="1319"/>
      <c r="AJ107" s="818"/>
    </row>
    <row r="108" spans="1:36">
      <c r="A108" s="640" t="s">
        <v>17</v>
      </c>
      <c r="B108" s="641">
        <f>N34+K34</f>
        <v>45995</v>
      </c>
      <c r="C108" s="642">
        <v>45995</v>
      </c>
      <c r="D108" s="724">
        <v>101125</v>
      </c>
      <c r="E108" s="643">
        <f t="shared" ca="1" si="23"/>
        <v>42.714285714285715</v>
      </c>
      <c r="F108" s="643" t="str">
        <f>IFERROR(VLOOKUP(G108,Recria[[Granja Recria]:[Emp+CC]],4,0),"")</f>
        <v>10_1250</v>
      </c>
      <c r="G108" s="725" t="s">
        <v>101</v>
      </c>
      <c r="H108" s="726" t="str">
        <f>IFERROR(VLOOKUP(G108,Recria[[Granja Recria]:[Núcleo]],2,0),"")</f>
        <v>(N2)</v>
      </c>
      <c r="I108" s="646"/>
      <c r="J108" s="640" t="s">
        <v>60</v>
      </c>
      <c r="K108" s="640">
        <v>19</v>
      </c>
      <c r="L108" s="804" t="str">
        <f>VLOOKUP(M108,Raca_Linhagem[],2,0)</f>
        <v>ROSS</v>
      </c>
      <c r="M108" s="804" t="s">
        <v>26</v>
      </c>
      <c r="N108" s="647">
        <f t="shared" si="16"/>
        <v>46142</v>
      </c>
      <c r="O108" s="692">
        <v>133526</v>
      </c>
      <c r="P108" s="648" t="str">
        <f>IFERROR(VLOOKUP(Q108,Producao[[Granja Produção]:[Emp+CC]],4,0),"")</f>
        <v>105_30</v>
      </c>
      <c r="Q108" s="1056" t="s">
        <v>214</v>
      </c>
      <c r="R108" s="648" t="str">
        <f>IFERROR(VLOOKUP(Q108,Producao[[Granja Produção]:[Núcleo]],2,0),"")</f>
        <v>(N1)</v>
      </c>
      <c r="S108" s="650">
        <v>16000</v>
      </c>
      <c r="T108" s="669">
        <f t="shared" si="25"/>
        <v>46477</v>
      </c>
      <c r="U108" s="670">
        <v>69</v>
      </c>
      <c r="V108" s="701">
        <f>N220-T108</f>
        <v>49</v>
      </c>
      <c r="W108" s="671">
        <f t="shared" si="24"/>
        <v>46526</v>
      </c>
      <c r="X108" s="802" t="str">
        <f>VLOOKUP(Q108,Q162:Q360,1,0)</f>
        <v>Itapejara - PR</v>
      </c>
      <c r="Y108" s="1229">
        <f>SUMIF($Q$115:Q314,X108,$S$115:S314)</f>
        <v>38000</v>
      </c>
      <c r="AA108" s="818"/>
      <c r="AC108" s="1313" t="str">
        <f t="shared" si="17"/>
        <v>Itapejara - PR</v>
      </c>
      <c r="AD108" s="1314">
        <f t="shared" si="18"/>
        <v>45995</v>
      </c>
      <c r="AE108" s="1314">
        <f t="shared" si="19"/>
        <v>46142</v>
      </c>
      <c r="AF108" s="1314">
        <f t="shared" si="20"/>
        <v>46477</v>
      </c>
      <c r="AG108" s="1315" t="str">
        <f t="shared" si="21"/>
        <v>AP95 - 344</v>
      </c>
      <c r="AH108" s="1315" t="str">
        <f t="shared" si="22"/>
        <v>ROSS</v>
      </c>
      <c r="AI108" s="1319"/>
      <c r="AJ108" s="818"/>
    </row>
    <row r="109" spans="1:36">
      <c r="A109" s="640" t="s">
        <v>17</v>
      </c>
      <c r="B109" s="641">
        <f>N54+K54</f>
        <v>46002</v>
      </c>
      <c r="C109" s="642">
        <v>46002</v>
      </c>
      <c r="D109" s="724">
        <v>101425</v>
      </c>
      <c r="E109" s="643">
        <f t="shared" ca="1" si="23"/>
        <v>41.714285714285715</v>
      </c>
      <c r="F109" s="643" t="str">
        <f>IFERROR(VLOOKUP(G109,Recria[[Granja Recria]:[Emp+CC]],4,0),"")</f>
        <v>139_149</v>
      </c>
      <c r="G109" s="725" t="s">
        <v>139</v>
      </c>
      <c r="H109" s="726" t="str">
        <f>IFERROR(VLOOKUP(G109,Recria[[Granja Recria]:[Núcleo]],2,0),"")</f>
        <v>(N2)</v>
      </c>
      <c r="I109" s="646">
        <v>60000</v>
      </c>
      <c r="J109" s="640" t="s">
        <v>45</v>
      </c>
      <c r="K109" s="640">
        <v>26</v>
      </c>
      <c r="L109" s="804" t="str">
        <f>VLOOKUP(M109,Raca_Linhagem[],2,0)</f>
        <v>ROSS</v>
      </c>
      <c r="M109" s="804" t="s">
        <v>26</v>
      </c>
      <c r="N109" s="647">
        <f t="shared" si="16"/>
        <v>46149</v>
      </c>
      <c r="O109" s="648">
        <v>133526</v>
      </c>
      <c r="P109" s="648" t="str">
        <f>IFERROR(VLOOKUP(Q109,Producao[[Granja Produção]:[Emp+CC]],4,0),"")</f>
        <v>105_30</v>
      </c>
      <c r="Q109" s="649" t="s">
        <v>214</v>
      </c>
      <c r="R109" s="648" t="str">
        <f>IFERROR(VLOOKUP(Q109,Producao[[Granja Produção]:[Núcleo]],2,0),"")</f>
        <v>(N1)</v>
      </c>
      <c r="S109" s="650">
        <v>16000</v>
      </c>
      <c r="T109" s="669">
        <f t="shared" si="25"/>
        <v>46477</v>
      </c>
      <c r="U109" s="670">
        <v>68</v>
      </c>
      <c r="V109" s="701">
        <f>N220-T108</f>
        <v>49</v>
      </c>
      <c r="W109" s="671">
        <f t="shared" si="24"/>
        <v>46526</v>
      </c>
      <c r="X109" s="802" t="str">
        <f>VLOOKUP(Q109,Q162:Q361,1,0)</f>
        <v>Itapejara - PR</v>
      </c>
      <c r="Y109" s="1229">
        <f>SUMIF($Q$115:Q315,X109,$S$115:S315)</f>
        <v>38000</v>
      </c>
      <c r="AA109" s="818"/>
      <c r="AC109" s="1313" t="str">
        <f t="shared" si="17"/>
        <v>Itapejara - PR</v>
      </c>
      <c r="AD109" s="1314">
        <f t="shared" si="18"/>
        <v>46002</v>
      </c>
      <c r="AE109" s="1314">
        <f t="shared" si="19"/>
        <v>46149</v>
      </c>
      <c r="AF109" s="1314">
        <f t="shared" si="20"/>
        <v>46477</v>
      </c>
      <c r="AG109" s="1315" t="str">
        <f t="shared" si="21"/>
        <v>AP95 - 344</v>
      </c>
      <c r="AH109" s="1315" t="str">
        <f t="shared" si="22"/>
        <v>ROSS</v>
      </c>
      <c r="AI109" s="1319"/>
      <c r="AJ109" s="818"/>
    </row>
    <row r="110" spans="1:36">
      <c r="A110" s="640" t="s">
        <v>17</v>
      </c>
      <c r="B110" s="641">
        <f>N54+K54</f>
        <v>46002</v>
      </c>
      <c r="C110" s="642">
        <v>46002</v>
      </c>
      <c r="D110" s="724">
        <v>101425</v>
      </c>
      <c r="E110" s="643">
        <f t="shared" ca="1" si="23"/>
        <v>41.714285714285715</v>
      </c>
      <c r="F110" s="643" t="str">
        <f>IFERROR(VLOOKUP(G110,Recria[[Granja Recria]:[Emp+CC]],4,0),"")</f>
        <v>139_149</v>
      </c>
      <c r="G110" s="725" t="s">
        <v>139</v>
      </c>
      <c r="H110" s="726" t="str">
        <f>IFERROR(VLOOKUP(G110,Recria[[Granja Recria]:[Núcleo]],2,0),"")</f>
        <v>(N2)</v>
      </c>
      <c r="I110" s="646"/>
      <c r="J110" s="640" t="s">
        <v>45</v>
      </c>
      <c r="K110" s="640">
        <v>26</v>
      </c>
      <c r="L110" s="804" t="str">
        <f>VLOOKUP(M110,Raca_Linhagem[],2,0)</f>
        <v>ROSS</v>
      </c>
      <c r="M110" s="804" t="s">
        <v>26</v>
      </c>
      <c r="N110" s="647">
        <f t="shared" si="16"/>
        <v>46149</v>
      </c>
      <c r="O110" s="648">
        <v>133626</v>
      </c>
      <c r="P110" s="648" t="str">
        <f>IFERROR(VLOOKUP(Q110,Producao[[Granja Produção]:[Emp+CC]],4,0),"")</f>
        <v>119_154</v>
      </c>
      <c r="Q110" s="649" t="s">
        <v>215</v>
      </c>
      <c r="R110" s="648" t="str">
        <f>IFERROR(VLOOKUP(Q110,Producao[[Granja Produção]:[Núcleo]],2,0),"")</f>
        <v>(N1)</v>
      </c>
      <c r="S110" s="650">
        <v>36000</v>
      </c>
      <c r="T110" s="669">
        <f t="shared" si="25"/>
        <v>46463</v>
      </c>
      <c r="U110" s="670">
        <v>66</v>
      </c>
      <c r="V110" s="701">
        <f>N212-T110</f>
        <v>45</v>
      </c>
      <c r="W110" s="671">
        <f t="shared" ref="W110" si="26">IFERROR(T110+V110," ")</f>
        <v>46508</v>
      </c>
      <c r="X110" s="802" t="str">
        <f>VLOOKUP(Q110,Q170:Q363,1,0)</f>
        <v>São Caetano - PR</v>
      </c>
      <c r="Y110" s="1229">
        <f>SUMIF($Q$115:Q316,X110,$S$115:S316)</f>
        <v>36480</v>
      </c>
      <c r="AA110" s="818"/>
      <c r="AC110" s="1313" t="str">
        <f t="shared" si="17"/>
        <v>São Caetano - PR</v>
      </c>
      <c r="AD110" s="1314">
        <f t="shared" si="18"/>
        <v>46002</v>
      </c>
      <c r="AE110" s="1314">
        <f t="shared" si="19"/>
        <v>46149</v>
      </c>
      <c r="AF110" s="1314">
        <f t="shared" si="20"/>
        <v>46463</v>
      </c>
      <c r="AG110" s="1315" t="str">
        <f t="shared" si="21"/>
        <v>AP95 - 344</v>
      </c>
      <c r="AH110" s="1315" t="str">
        <f t="shared" si="22"/>
        <v>ROSS</v>
      </c>
      <c r="AI110" s="1319"/>
      <c r="AJ110" s="818"/>
    </row>
    <row r="111" spans="1:36">
      <c r="A111" s="640" t="s">
        <v>17</v>
      </c>
      <c r="B111" s="641">
        <v>46008</v>
      </c>
      <c r="C111" s="642">
        <v>46009</v>
      </c>
      <c r="D111" s="724">
        <v>101325</v>
      </c>
      <c r="E111" s="643">
        <f t="shared" ca="1" si="23"/>
        <v>40.714285714285715</v>
      </c>
      <c r="F111" s="643" t="str">
        <f>IFERROR(VLOOKUP(G111,Recria[[Granja Recria]:[Emp+CC]],4,0),"")</f>
        <v>112_2399</v>
      </c>
      <c r="G111" s="725" t="s">
        <v>216</v>
      </c>
      <c r="H111" s="726" t="str">
        <f>IFERROR(VLOOKUP(G111,Recria[[Granja Recria]:[Núcleo]],2,0),"")</f>
        <v>(N5)</v>
      </c>
      <c r="I111" s="646">
        <v>61000</v>
      </c>
      <c r="J111" s="640" t="s">
        <v>60</v>
      </c>
      <c r="K111" s="640">
        <v>19</v>
      </c>
      <c r="L111" s="804" t="str">
        <f>VLOOKUP(M111,Raca_Linhagem[],2,0)</f>
        <v>ROSS</v>
      </c>
      <c r="M111" s="804" t="s">
        <v>26</v>
      </c>
      <c r="N111" s="647">
        <f t="shared" si="16"/>
        <v>46156</v>
      </c>
      <c r="O111" s="648">
        <v>133826</v>
      </c>
      <c r="P111" s="648" t="str">
        <f>IFERROR(VLOOKUP(Q111,Producao[[Granja Produção]:[Emp+CC]],4,0),"")</f>
        <v>10_1184</v>
      </c>
      <c r="Q111" s="649" t="s">
        <v>217</v>
      </c>
      <c r="R111" s="648" t="str">
        <f>IFERROR(VLOOKUP(Q111,Producao[[Granja Produção]:[Núcleo]],2,0),"")</f>
        <v>(N1)</v>
      </c>
      <c r="S111" s="650">
        <v>58000</v>
      </c>
      <c r="T111" s="669">
        <f t="shared" si="25"/>
        <v>46456</v>
      </c>
      <c r="U111" s="670">
        <v>64</v>
      </c>
      <c r="V111" s="701">
        <f>N210-T111</f>
        <v>43</v>
      </c>
      <c r="W111" s="671">
        <f t="shared" si="24"/>
        <v>46499</v>
      </c>
      <c r="X111" s="802" t="str">
        <f>VLOOKUP(Q111,Q170:Q363,1,0)</f>
        <v>Fundo da Grota - PR</v>
      </c>
      <c r="Y111" s="1229">
        <f>SUMIF($Q$115:Q317,X111,$S$115:S317)</f>
        <v>57600</v>
      </c>
      <c r="AA111" s="818"/>
      <c r="AC111" s="1313" t="str">
        <f t="shared" si="17"/>
        <v>Fundo da Grota - PR</v>
      </c>
      <c r="AD111" s="1314">
        <f t="shared" si="18"/>
        <v>46009</v>
      </c>
      <c r="AE111" s="1314">
        <f t="shared" si="19"/>
        <v>46156</v>
      </c>
      <c r="AF111" s="1314">
        <f t="shared" si="20"/>
        <v>46456</v>
      </c>
      <c r="AG111" s="1315" t="str">
        <f t="shared" si="21"/>
        <v>AP95 - 344</v>
      </c>
      <c r="AH111" s="1315" t="str">
        <f t="shared" si="22"/>
        <v>ROSS</v>
      </c>
      <c r="AI111" s="1319"/>
      <c r="AJ111" s="818"/>
    </row>
    <row r="112" spans="1:36">
      <c r="A112" s="640" t="s">
        <v>17</v>
      </c>
      <c r="B112" s="641">
        <f>N49+K49</f>
        <v>46010</v>
      </c>
      <c r="C112" s="642">
        <v>46009</v>
      </c>
      <c r="D112" s="724">
        <v>101525</v>
      </c>
      <c r="E112" s="643">
        <f t="shared" ca="1" si="23"/>
        <v>40.714285714285715</v>
      </c>
      <c r="F112" s="643" t="str">
        <f>IFERROR(VLOOKUP(G112,Recria[[Granja Recria]:[Emp+CC]],4,0),"")</f>
        <v>10_180</v>
      </c>
      <c r="G112" s="725" t="s">
        <v>135</v>
      </c>
      <c r="H112" s="726" t="str">
        <f>IFERROR(VLOOKUP(G112,Recria[[Granja Recria]:[Núcleo]],2,0),"")</f>
        <v>(N1)</v>
      </c>
      <c r="I112" s="646">
        <v>46000</v>
      </c>
      <c r="J112" s="640" t="s">
        <v>45</v>
      </c>
      <c r="K112" s="640">
        <v>54</v>
      </c>
      <c r="L112" s="803" t="str">
        <f>VLOOKUP(M112,Raca_Linhagem[],2,0)</f>
        <v>COBB</v>
      </c>
      <c r="M112" s="803" t="s">
        <v>21</v>
      </c>
      <c r="N112" s="647">
        <f t="shared" si="16"/>
        <v>46156</v>
      </c>
      <c r="O112" s="648" t="s">
        <v>218</v>
      </c>
      <c r="P112" s="648" t="str">
        <f>IFERROR(VLOOKUP(Q112,Producao[[Granja Produção]:[Emp+CC]],4,0),"")</f>
        <v>13_258</v>
      </c>
      <c r="Q112" s="649" t="s">
        <v>219</v>
      </c>
      <c r="R112" s="640" t="str">
        <f>IFERROR(VLOOKUP(Q112,Producao[[Granja Produção]:[Núcleo]],2,0),"")</f>
        <v>(N1)</v>
      </c>
      <c r="S112" s="650">
        <f>I112*0.96</f>
        <v>44160</v>
      </c>
      <c r="T112" s="669">
        <f t="shared" si="25"/>
        <v>46470</v>
      </c>
      <c r="U112" s="670">
        <v>66</v>
      </c>
      <c r="V112" s="701">
        <f>N216-T112</f>
        <v>40</v>
      </c>
      <c r="W112" s="671">
        <f t="shared" si="24"/>
        <v>46510</v>
      </c>
      <c r="X112" s="802" t="str">
        <f>VLOOKUP(Q112,Q172:Q364,1,0)</f>
        <v>Prezotto - SC</v>
      </c>
      <c r="Y112" s="1229">
        <f>SUMIF($Q$115:Q318,X112,$S$115:S318)</f>
        <v>44160</v>
      </c>
      <c r="AA112" s="818"/>
      <c r="AC112" s="1313" t="str">
        <f t="shared" si="17"/>
        <v>Prezotto - SC</v>
      </c>
      <c r="AD112" s="1314">
        <f t="shared" si="18"/>
        <v>46009</v>
      </c>
      <c r="AE112" s="1314">
        <f t="shared" si="19"/>
        <v>46156</v>
      </c>
      <c r="AF112" s="1314">
        <f t="shared" si="20"/>
        <v>46470</v>
      </c>
      <c r="AG112" s="1315" t="str">
        <f t="shared" si="21"/>
        <v>500 SLOW - MALE</v>
      </c>
      <c r="AH112" s="1315" t="str">
        <f t="shared" si="22"/>
        <v>COBB</v>
      </c>
      <c r="AI112" s="1319"/>
      <c r="AJ112" s="818"/>
    </row>
    <row r="113" spans="1:36">
      <c r="A113" s="729" t="s">
        <v>220</v>
      </c>
      <c r="B113" s="730">
        <v>46014</v>
      </c>
      <c r="C113" s="732">
        <v>46016</v>
      </c>
      <c r="D113" s="733">
        <v>500225</v>
      </c>
      <c r="E113" s="734">
        <f t="shared" ref="E113:E144" ca="1" si="27">IF((TODAY()-C113)/7&gt;U113,U113,(TODAY()-C113)/7)</f>
        <v>39.714285714285715</v>
      </c>
      <c r="F113" s="734" t="str">
        <f>IFERROR(VLOOKUP(G113,Recria[[Granja Recria]:[Emp+CC]],4,0),"")</f>
        <v>12_99</v>
      </c>
      <c r="G113" s="735" t="s">
        <v>221</v>
      </c>
      <c r="H113" s="736" t="str">
        <f>IFERROR(VLOOKUP(G113,Recria[[Granja Recria]:[Núcleo]],2,0),"")</f>
        <v>(N3)</v>
      </c>
      <c r="I113" s="737"/>
      <c r="J113" s="729" t="s">
        <v>45</v>
      </c>
      <c r="K113" s="729">
        <v>36</v>
      </c>
      <c r="L113" s="808" t="str">
        <f>VLOOKUP(M113,Raca_Linhagem[],2,0)</f>
        <v>COBB</v>
      </c>
      <c r="M113" s="808" t="s">
        <v>21</v>
      </c>
      <c r="N113" s="738">
        <v>46163</v>
      </c>
      <c r="O113" s="731" t="s">
        <v>222</v>
      </c>
      <c r="P113" s="734" t="str">
        <f>IFERROR(VLOOKUP(Q113,Producao[[Granja Produção]:[Emp+CC]],4,0),"")</f>
        <v>10_34</v>
      </c>
      <c r="Q113" s="735" t="s">
        <v>223</v>
      </c>
      <c r="R113" s="736" t="str">
        <f>IFERROR(VLOOKUP(Q113,Producao[[Granja Produção]:[Núcleo]],2,0),"")</f>
        <v>(N1)</v>
      </c>
      <c r="S113" s="737">
        <v>26000</v>
      </c>
      <c r="T113" s="738">
        <f t="shared" ref="T113:T146" si="28">C113+(U113*7)-1</f>
        <v>46491</v>
      </c>
      <c r="U113" s="739">
        <v>68</v>
      </c>
      <c r="V113" s="740">
        <f>N223-T113</f>
        <v>44</v>
      </c>
      <c r="W113" s="741">
        <v>46523</v>
      </c>
      <c r="X113" s="802" t="str">
        <f>VLOOKUP(Q113,Q173:Q366,1,0)</f>
        <v>Pinzon - PR</v>
      </c>
      <c r="Y113" s="1229">
        <f>SUMIF($Q$115:Q319,X113,$S$115:S319)</f>
        <v>25000</v>
      </c>
      <c r="AA113" s="818"/>
      <c r="AC113" s="1313" t="str">
        <f t="shared" si="17"/>
        <v>Pinzon - PR</v>
      </c>
      <c r="AD113" s="1314">
        <f t="shared" si="18"/>
        <v>46016</v>
      </c>
      <c r="AE113" s="1314">
        <f t="shared" si="19"/>
        <v>46163</v>
      </c>
      <c r="AF113" s="1314">
        <f t="shared" si="20"/>
        <v>46491</v>
      </c>
      <c r="AG113" s="1315" t="str">
        <f t="shared" si="21"/>
        <v>500 SLOW - MALE</v>
      </c>
      <c r="AH113" s="1315" t="str">
        <f t="shared" si="22"/>
        <v>COBB</v>
      </c>
      <c r="AI113" s="1319"/>
      <c r="AJ113" s="818"/>
    </row>
    <row r="114" spans="1:36">
      <c r="A114" s="640" t="s">
        <v>17</v>
      </c>
      <c r="B114" s="641">
        <f>N46+K46</f>
        <v>46031</v>
      </c>
      <c r="C114" s="642">
        <v>46030</v>
      </c>
      <c r="D114" s="724">
        <v>100126</v>
      </c>
      <c r="E114" s="643">
        <f t="shared" ca="1" si="27"/>
        <v>37.714285714285715</v>
      </c>
      <c r="F114" s="643" t="str">
        <f>IFERROR(VLOOKUP(G114,Recria[[Granja Recria]:[Emp+CC]],4,0),"")</f>
        <v>10_130</v>
      </c>
      <c r="G114" s="725" t="s">
        <v>123</v>
      </c>
      <c r="H114" s="726" t="str">
        <f>IFERROR(VLOOKUP(G114,Recria[[Granja Recria]:[Núcleo]],2,0),"")</f>
        <v>(N1)</v>
      </c>
      <c r="I114" s="646">
        <v>42000</v>
      </c>
      <c r="J114" s="640" t="s">
        <v>60</v>
      </c>
      <c r="K114" s="640">
        <v>14</v>
      </c>
      <c r="L114" s="803" t="str">
        <f>VLOOKUP(M114,Raca_Linhagem[],2,0)</f>
        <v>COBB</v>
      </c>
      <c r="M114" s="803" t="s">
        <v>21</v>
      </c>
      <c r="N114" s="647">
        <f t="shared" ref="N114:N147" si="29">C114+(22*7)-7</f>
        <v>46177</v>
      </c>
      <c r="O114" s="648"/>
      <c r="P114" s="675" t="str">
        <f>IFERROR(VLOOKUP(Q114,Producao[[Granja Produção]:[Emp+CC]],4,0),"")</f>
        <v>121_2237</v>
      </c>
      <c r="Q114" s="676" t="s">
        <v>224</v>
      </c>
      <c r="R114" s="677" t="str">
        <f>IFERROR(VLOOKUP(Q114,Producao[[Granja Produção]:[Núcleo]],2,0),"")</f>
        <v>(N1)</v>
      </c>
      <c r="S114" s="678">
        <v>37000</v>
      </c>
      <c r="T114" s="679">
        <f t="shared" si="28"/>
        <v>46498</v>
      </c>
      <c r="U114" s="680">
        <v>67</v>
      </c>
      <c r="V114" s="682">
        <f>N224-T114</f>
        <v>49</v>
      </c>
      <c r="W114" s="681">
        <f t="shared" ref="W114:W115" si="30">IFERROR(T114+V114," ")</f>
        <v>46547</v>
      </c>
      <c r="X114" s="1298" t="str">
        <f>VLOOKUP(Q114,Q174:Q367,1,0)</f>
        <v>Santelmo - SP</v>
      </c>
      <c r="Y114" s="1229" t="str">
        <f>G114&amp;D114</f>
        <v>Corti - PR100126</v>
      </c>
      <c r="Z114" s="818">
        <f>SUMIF($Y$114:$Y$314,Y114,$S$114:$S$1288)</f>
        <v>39800</v>
      </c>
      <c r="AA114" s="818"/>
      <c r="AC114" s="1313" t="str">
        <f t="shared" si="17"/>
        <v>Santelmo - SP</v>
      </c>
      <c r="AD114" s="1314">
        <f t="shared" si="18"/>
        <v>46030</v>
      </c>
      <c r="AE114" s="1314">
        <f t="shared" si="19"/>
        <v>46177</v>
      </c>
      <c r="AF114" s="1314">
        <f t="shared" si="20"/>
        <v>46498</v>
      </c>
      <c r="AG114" s="1315" t="str">
        <f t="shared" si="21"/>
        <v>500 SLOW - MALE</v>
      </c>
      <c r="AH114" s="1315" t="str">
        <f t="shared" si="22"/>
        <v>COBB</v>
      </c>
      <c r="AI114" s="1319"/>
      <c r="AJ114" s="818"/>
    </row>
    <row r="115" spans="1:36">
      <c r="A115" s="640" t="s">
        <v>17</v>
      </c>
      <c r="B115" s="641">
        <f>N46+K46</f>
        <v>46031</v>
      </c>
      <c r="C115" s="642">
        <v>46030</v>
      </c>
      <c r="D115" s="724">
        <v>100126</v>
      </c>
      <c r="E115" s="643">
        <f t="shared" ca="1" si="27"/>
        <v>37.714285714285715</v>
      </c>
      <c r="F115" s="643" t="str">
        <f>IFERROR(VLOOKUP(G115,Recria[[Granja Recria]:[Emp+CC]],4,0),"")</f>
        <v>10_130</v>
      </c>
      <c r="G115" s="725" t="s">
        <v>123</v>
      </c>
      <c r="H115" s="726" t="str">
        <f>IFERROR(VLOOKUP(G115,Recria[[Granja Recria]:[Núcleo]],2,0),"")</f>
        <v>(N1)</v>
      </c>
      <c r="I115" s="646"/>
      <c r="J115" s="640" t="s">
        <v>60</v>
      </c>
      <c r="K115" s="640">
        <v>14</v>
      </c>
      <c r="L115" s="803" t="str">
        <f>VLOOKUP(M115,Raca_Linhagem[],2,0)</f>
        <v>COBB</v>
      </c>
      <c r="M115" s="803" t="s">
        <v>21</v>
      </c>
      <c r="N115" s="647">
        <f t="shared" ref="N115" si="31">C115+(22*7)-7</f>
        <v>46177</v>
      </c>
      <c r="O115" s="692">
        <v>134226</v>
      </c>
      <c r="P115" s="648" t="str">
        <f>IFERROR(VLOOKUP(Q115,Producao[[Granja Produção]:[Emp+CC]],4,0),"")</f>
        <v>10_1183</v>
      </c>
      <c r="Q115" s="649" t="s">
        <v>225</v>
      </c>
      <c r="R115" s="640" t="str">
        <f>IFERROR(VLOOKUP(Q115,Producao[[Granja Produção]:[Núcleo]],2,0),"")</f>
        <v>(N1)</v>
      </c>
      <c r="S115" s="650">
        <v>2800</v>
      </c>
      <c r="T115" s="669">
        <f t="shared" si="28"/>
        <v>46498</v>
      </c>
      <c r="U115" s="670">
        <v>67</v>
      </c>
      <c r="V115" s="701">
        <f>N224-T115</f>
        <v>49</v>
      </c>
      <c r="W115" s="671">
        <f t="shared" si="30"/>
        <v>46547</v>
      </c>
      <c r="X115" s="802" t="str">
        <f>VLOOKUP(Q115,Q175:Q368,1,0)</f>
        <v>Linha Nova - PR</v>
      </c>
      <c r="Y115" s="1229" t="str">
        <f t="shared" ref="Y115:Y175" si="32">G115&amp;D115</f>
        <v>Corti - PR100126</v>
      </c>
      <c r="Z115" s="818">
        <f>SUMIF($Y$114:$Y$314,Y115,$S$114:$S$1288)</f>
        <v>39800</v>
      </c>
      <c r="AA115" s="818"/>
      <c r="AC115" s="1313" t="str">
        <f t="shared" si="17"/>
        <v>Linha Nova - PR</v>
      </c>
      <c r="AD115" s="1314">
        <f t="shared" si="18"/>
        <v>46030</v>
      </c>
      <c r="AE115" s="1314">
        <f t="shared" si="19"/>
        <v>46177</v>
      </c>
      <c r="AF115" s="1314">
        <f t="shared" si="20"/>
        <v>46498</v>
      </c>
      <c r="AG115" s="1315" t="str">
        <f t="shared" si="21"/>
        <v>500 SLOW - MALE</v>
      </c>
      <c r="AH115" s="1315" t="str">
        <f t="shared" si="22"/>
        <v>COBB</v>
      </c>
      <c r="AI115" s="1319"/>
      <c r="AJ115" s="818"/>
    </row>
    <row r="116" spans="1:36">
      <c r="A116" s="640" t="s">
        <v>17</v>
      </c>
      <c r="B116" s="641">
        <f>N60+K60</f>
        <v>46030</v>
      </c>
      <c r="C116" s="642">
        <v>46030</v>
      </c>
      <c r="D116" s="724">
        <v>100226</v>
      </c>
      <c r="E116" s="643">
        <f t="shared" ca="1" si="27"/>
        <v>37.714285714285715</v>
      </c>
      <c r="F116" s="643" t="str">
        <f>IFERROR(VLOOKUP(G116,Recria[[Granja Recria]:[Emp+CC]],4,0),"")</f>
        <v>27_165</v>
      </c>
      <c r="G116" s="725" t="s">
        <v>151</v>
      </c>
      <c r="H116" s="726" t="str">
        <f>IFERROR(VLOOKUP(G116,Recria[[Granja Recria]:[Núcleo]],2,0),"")</f>
        <v>(N1)</v>
      </c>
      <c r="I116" s="646">
        <v>42000</v>
      </c>
      <c r="J116" s="640" t="s">
        <v>45</v>
      </c>
      <c r="K116" s="640">
        <v>55</v>
      </c>
      <c r="L116" s="803" t="str">
        <f>VLOOKUP(M116,Raca_Linhagem[],2,0)</f>
        <v>COBB</v>
      </c>
      <c r="M116" s="803" t="s">
        <v>21</v>
      </c>
      <c r="N116" s="647">
        <f t="shared" si="29"/>
        <v>46177</v>
      </c>
      <c r="O116" s="692">
        <v>134226</v>
      </c>
      <c r="P116" s="648" t="str">
        <f>IFERROR(VLOOKUP(Q116,Producao[[Granja Produção]:[Emp+CC]],4,0),"")</f>
        <v>10_1183</v>
      </c>
      <c r="Q116" s="649" t="s">
        <v>225</v>
      </c>
      <c r="R116" s="640" t="str">
        <f>IFERROR(VLOOKUP(Q116,Producao[[Granja Produção]:[Núcleo]],2,0),"")</f>
        <v>(N1)</v>
      </c>
      <c r="S116" s="650">
        <f>I116*0.96</f>
        <v>40320</v>
      </c>
      <c r="T116" s="669">
        <f t="shared" si="28"/>
        <v>46498</v>
      </c>
      <c r="U116" s="670">
        <v>67</v>
      </c>
      <c r="V116" s="701">
        <f>N224-T115</f>
        <v>49</v>
      </c>
      <c r="W116" s="671">
        <f t="shared" ref="W116:W149" si="33">IFERROR(T116+V116," ")</f>
        <v>46547</v>
      </c>
      <c r="X116" s="802" t="str">
        <f>VLOOKUP(Q116,Q174:Q368,1,0)</f>
        <v>Linha Nova - PR</v>
      </c>
      <c r="Y116" s="1229" t="str">
        <f t="shared" si="32"/>
        <v>Rio Chopim 1 - PR100226</v>
      </c>
      <c r="Z116" s="818">
        <f>SUMIF($Y$114:$Y$314,Y116,$S$114:$S$1288)</f>
        <v>40320</v>
      </c>
      <c r="AA116" s="818"/>
      <c r="AC116" s="1313" t="str">
        <f t="shared" si="17"/>
        <v>Linha Nova - PR</v>
      </c>
      <c r="AD116" s="1314">
        <f t="shared" si="18"/>
        <v>46030</v>
      </c>
      <c r="AE116" s="1314">
        <f t="shared" si="19"/>
        <v>46177</v>
      </c>
      <c r="AF116" s="1314">
        <f t="shared" si="20"/>
        <v>46498</v>
      </c>
      <c r="AG116" s="1315" t="str">
        <f t="shared" si="21"/>
        <v>500 SLOW - MALE</v>
      </c>
      <c r="AH116" s="1315" t="str">
        <f t="shared" si="22"/>
        <v>COBB</v>
      </c>
      <c r="AI116" s="1319"/>
      <c r="AJ116" s="818"/>
    </row>
    <row r="117" spans="1:36">
      <c r="A117" s="640" t="s">
        <v>17</v>
      </c>
      <c r="B117" s="641">
        <f>N62+K62</f>
        <v>46038</v>
      </c>
      <c r="C117" s="642">
        <v>46037</v>
      </c>
      <c r="D117" s="724">
        <v>100426</v>
      </c>
      <c r="E117" s="643">
        <f t="shared" ca="1" si="27"/>
        <v>36.714285714285715</v>
      </c>
      <c r="F117" s="643" t="str">
        <f>IFERROR(VLOOKUP(G117,Recria[[Granja Recria]:[Emp+CC]],4,0),"")</f>
        <v>10_327</v>
      </c>
      <c r="G117" s="644" t="s">
        <v>157</v>
      </c>
      <c r="H117" s="645" t="str">
        <f>IFERROR(VLOOKUP(G117,Recria[[Granja Recria]:[Núcleo]],2,0),"")</f>
        <v>(N2)</v>
      </c>
      <c r="I117" s="646">
        <v>38000</v>
      </c>
      <c r="J117" s="640" t="s">
        <v>45</v>
      </c>
      <c r="K117" s="640">
        <v>55</v>
      </c>
      <c r="L117" s="803" t="str">
        <f>VLOOKUP(M117,Raca_Linhagem[],2,0)</f>
        <v>COBB</v>
      </c>
      <c r="M117" s="803" t="s">
        <v>21</v>
      </c>
      <c r="N117" s="647">
        <f t="shared" si="29"/>
        <v>46184</v>
      </c>
      <c r="O117" s="692">
        <v>134226</v>
      </c>
      <c r="P117" s="648" t="str">
        <f>IFERROR(VLOOKUP(Q117,Producao[[Granja Produção]:[Emp+CC]],4,0),"")</f>
        <v>10_1183</v>
      </c>
      <c r="Q117" s="1056" t="s">
        <v>225</v>
      </c>
      <c r="R117" s="648" t="str">
        <f>IFERROR(VLOOKUP(Q117,Producao[[Granja Produção]:[Núcleo]],2,0),"")</f>
        <v>(N1)</v>
      </c>
      <c r="S117" s="650">
        <f>I117*0.96</f>
        <v>36480</v>
      </c>
      <c r="T117" s="669">
        <f t="shared" si="28"/>
        <v>46498</v>
      </c>
      <c r="U117" s="670">
        <v>66</v>
      </c>
      <c r="V117" s="701">
        <f>N224-T115</f>
        <v>49</v>
      </c>
      <c r="W117" s="671">
        <f t="shared" si="33"/>
        <v>46547</v>
      </c>
      <c r="X117" s="802" t="str">
        <f>VLOOKUP(Q117,Q175:Q369,1,0)</f>
        <v>Linha Nova - PR</v>
      </c>
      <c r="Y117" s="1229" t="str">
        <f t="shared" si="32"/>
        <v>Santa Tereza 2 - PR100426</v>
      </c>
      <c r="Z117" s="818">
        <f>SUMIF($Y$114:$Y$314,Y117,$S$114:$S$1288)</f>
        <v>36480</v>
      </c>
      <c r="AA117" s="818"/>
      <c r="AC117" s="1313" t="str">
        <f t="shared" ref="AC117:AC172" si="34">Q117</f>
        <v>Linha Nova - PR</v>
      </c>
      <c r="AD117" s="1314">
        <f t="shared" si="18"/>
        <v>46037</v>
      </c>
      <c r="AE117" s="1314">
        <f t="shared" si="19"/>
        <v>46184</v>
      </c>
      <c r="AF117" s="1314">
        <f t="shared" si="20"/>
        <v>46498</v>
      </c>
      <c r="AG117" s="1315" t="str">
        <f t="shared" si="21"/>
        <v>500 SLOW - MALE</v>
      </c>
      <c r="AH117" s="1315" t="str">
        <f t="shared" si="22"/>
        <v>COBB</v>
      </c>
      <c r="AI117" s="1319"/>
      <c r="AJ117" s="818"/>
    </row>
    <row r="118" spans="1:36">
      <c r="A118" s="640" t="s">
        <v>17</v>
      </c>
      <c r="B118" s="641">
        <f>N59+K59</f>
        <v>46032</v>
      </c>
      <c r="C118" s="642">
        <v>46037</v>
      </c>
      <c r="D118" s="724">
        <v>100326</v>
      </c>
      <c r="E118" s="643">
        <f t="shared" ca="1" si="27"/>
        <v>36.714285714285715</v>
      </c>
      <c r="F118" s="643" t="str">
        <f>IFERROR(VLOOKUP(G118,Recria[[Granja Recria]:[Emp+CC]],4,0),"")</f>
        <v>10_1405</v>
      </c>
      <c r="G118" s="725" t="s">
        <v>148</v>
      </c>
      <c r="H118" s="726" t="str">
        <f>IFERROR(VLOOKUP(G118,Recria[[Granja Recria]:[Núcleo]],2,0),"")</f>
        <v>(N1)</v>
      </c>
      <c r="I118" s="646">
        <v>60000</v>
      </c>
      <c r="J118" s="640" t="s">
        <v>45</v>
      </c>
      <c r="K118" s="640">
        <v>51</v>
      </c>
      <c r="L118" s="806" t="str">
        <f>VLOOKUP(M118,Raca_Linhagem[],2,0)</f>
        <v>COBB</v>
      </c>
      <c r="M118" s="806" t="s">
        <v>37</v>
      </c>
      <c r="N118" s="647">
        <f t="shared" si="29"/>
        <v>46184</v>
      </c>
      <c r="O118" s="692">
        <v>134326</v>
      </c>
      <c r="P118" s="648" t="str">
        <f>IFERROR(VLOOKUP(Q118,Producao[[Granja Produção]:[Emp+CC]],4,0),"")</f>
        <v>10_1459</v>
      </c>
      <c r="Q118" s="649" t="s">
        <v>226</v>
      </c>
      <c r="R118" s="640" t="str">
        <f>IFERROR(VLOOKUP(Q118,Producao[[Granja Produção]:[Núcleo]],2,0),"")</f>
        <v>(N3)</v>
      </c>
      <c r="S118" s="650">
        <f>I118*0.96</f>
        <v>57600</v>
      </c>
      <c r="T118" s="669">
        <f t="shared" si="28"/>
        <v>46498</v>
      </c>
      <c r="U118" s="670">
        <v>66</v>
      </c>
      <c r="V118" s="701">
        <f>N225-T118</f>
        <v>49</v>
      </c>
      <c r="W118" s="671">
        <f t="shared" si="33"/>
        <v>46547</v>
      </c>
      <c r="X118" s="802" t="str">
        <f>VLOOKUP(Q118,Q177:Q370,1,0)</f>
        <v>Canguçu 3 - PR</v>
      </c>
      <c r="Y118" s="1229" t="str">
        <f t="shared" si="32"/>
        <v>Rio Chopim 3 - PR100326</v>
      </c>
      <c r="Z118" s="818">
        <f>SUMIF($Y$114:$Y$314,Y118,$S$114:$S$1288)</f>
        <v>57600</v>
      </c>
      <c r="AA118" s="818"/>
      <c r="AC118" s="1313" t="str">
        <f t="shared" si="34"/>
        <v>Canguçu 3 - PR</v>
      </c>
      <c r="AD118" s="1314">
        <f t="shared" si="18"/>
        <v>46037</v>
      </c>
      <c r="AE118" s="1314">
        <f t="shared" si="19"/>
        <v>46184</v>
      </c>
      <c r="AF118" s="1314">
        <f t="shared" si="20"/>
        <v>46498</v>
      </c>
      <c r="AG118" s="1315" t="str">
        <f t="shared" si="21"/>
        <v>500 SLOW - MALE JBS</v>
      </c>
      <c r="AH118" s="1315" t="str">
        <f t="shared" si="22"/>
        <v>COBB</v>
      </c>
      <c r="AI118" s="1319"/>
      <c r="AJ118" s="818"/>
    </row>
    <row r="119" spans="1:36">
      <c r="A119" s="655" t="s">
        <v>17</v>
      </c>
      <c r="B119" s="742">
        <f>N63+K63</f>
        <v>46043</v>
      </c>
      <c r="C119" s="656">
        <v>46044</v>
      </c>
      <c r="D119" s="724">
        <v>100526</v>
      </c>
      <c r="E119" s="657">
        <f t="shared" ca="1" si="27"/>
        <v>35.714285714285715</v>
      </c>
      <c r="F119" s="657" t="str">
        <f>IFERROR(VLOOKUP(G119,Recria[[Granja Recria]:[Emp+CC]],4,0),"")</f>
        <v>117_1531</v>
      </c>
      <c r="G119" s="725" t="s">
        <v>160</v>
      </c>
      <c r="H119" s="726" t="str">
        <f>IFERROR(VLOOKUP(G119,Recria[[Granja Recria]:[Núcleo]],2,0),"")</f>
        <v>(N7)</v>
      </c>
      <c r="I119" s="743">
        <v>84000</v>
      </c>
      <c r="J119" s="655" t="s">
        <v>20</v>
      </c>
      <c r="K119" s="655">
        <v>23</v>
      </c>
      <c r="L119" s="803" t="str">
        <f>VLOOKUP(M119,Raca_Linhagem[],2,0)</f>
        <v>COBB</v>
      </c>
      <c r="M119" s="803" t="s">
        <v>21</v>
      </c>
      <c r="N119" s="647">
        <f t="shared" si="29"/>
        <v>46191</v>
      </c>
      <c r="O119" s="692">
        <v>134426</v>
      </c>
      <c r="P119" s="648" t="str">
        <f>IFERROR(VLOOKUP(Q119,Producao[[Granja Produção]:[Emp+CC]],4,0),"")</f>
        <v>107_248</v>
      </c>
      <c r="Q119" s="649" t="s">
        <v>227</v>
      </c>
      <c r="R119" s="640" t="str">
        <f>IFERROR(VLOOKUP(Q119,Producao[[Granja Produção]:[Núcleo]],2,0),"")</f>
        <v>(N1)</v>
      </c>
      <c r="S119" s="650">
        <v>40000</v>
      </c>
      <c r="T119" s="669">
        <f t="shared" si="28"/>
        <v>46512</v>
      </c>
      <c r="U119" s="670">
        <v>67</v>
      </c>
      <c r="V119" s="701">
        <f>N227-T119</f>
        <v>49</v>
      </c>
      <c r="W119" s="671">
        <f t="shared" si="33"/>
        <v>46561</v>
      </c>
      <c r="X119" s="802" t="str">
        <f>VLOOKUP(Q119,Q177:Q371,1,0)</f>
        <v>Trindade - SC</v>
      </c>
      <c r="Y119" s="1229" t="str">
        <f t="shared" si="32"/>
        <v>Bom S. Rec. 2 - PR100526</v>
      </c>
      <c r="Z119" s="818">
        <f>SUMIF($Y$114:$Y$314,Y119,$S$114:$S$1288)</f>
        <v>80000</v>
      </c>
      <c r="AA119" s="818"/>
      <c r="AC119" s="1313" t="str">
        <f t="shared" si="34"/>
        <v>Trindade - SC</v>
      </c>
      <c r="AD119" s="1314">
        <f t="shared" si="18"/>
        <v>46044</v>
      </c>
      <c r="AE119" s="1314">
        <f t="shared" si="19"/>
        <v>46191</v>
      </c>
      <c r="AF119" s="1314">
        <f t="shared" si="20"/>
        <v>46512</v>
      </c>
      <c r="AG119" s="1315" t="str">
        <f t="shared" si="21"/>
        <v>500 SLOW - MALE</v>
      </c>
      <c r="AH119" s="1315" t="str">
        <f t="shared" si="22"/>
        <v>COBB</v>
      </c>
      <c r="AI119" s="1319"/>
      <c r="AJ119" s="818"/>
    </row>
    <row r="120" spans="1:36">
      <c r="A120" s="655" t="s">
        <v>17</v>
      </c>
      <c r="B120" s="742">
        <f>N63+K63</f>
        <v>46043</v>
      </c>
      <c r="C120" s="656">
        <v>46044</v>
      </c>
      <c r="D120" s="724">
        <v>100526</v>
      </c>
      <c r="E120" s="657">
        <f t="shared" ca="1" si="27"/>
        <v>35.714285714285715</v>
      </c>
      <c r="F120" s="657" t="str">
        <f>IFERROR(VLOOKUP(G120,Recria[[Granja Recria]:[Emp+CC]],4,0),"")</f>
        <v>117_1531</v>
      </c>
      <c r="G120" s="725" t="s">
        <v>160</v>
      </c>
      <c r="H120" s="726" t="str">
        <f>IFERROR(VLOOKUP(G120,Recria[[Granja Recria]:[Núcleo]],2,0),"")</f>
        <v>(N7)</v>
      </c>
      <c r="I120" s="743"/>
      <c r="J120" s="655" t="s">
        <v>20</v>
      </c>
      <c r="K120" s="655">
        <v>23</v>
      </c>
      <c r="L120" s="803" t="str">
        <f>VLOOKUP(M120,Raca_Linhagem[],2,0)</f>
        <v>COBB</v>
      </c>
      <c r="M120" s="803" t="s">
        <v>21</v>
      </c>
      <c r="N120" s="647">
        <f t="shared" si="29"/>
        <v>46191</v>
      </c>
      <c r="O120" s="692">
        <v>134526</v>
      </c>
      <c r="P120" s="648" t="str">
        <f>IFERROR(VLOOKUP(Q120,Producao[[Granja Produção]:[Emp+CC]],4,0),"")</f>
        <v>10_204</v>
      </c>
      <c r="Q120" s="649" t="s">
        <v>228</v>
      </c>
      <c r="R120" s="640" t="str">
        <f>IFERROR(VLOOKUP(Q120,Producao[[Granja Produção]:[Núcleo]],2,0),"")</f>
        <v>(N1)</v>
      </c>
      <c r="S120" s="650">
        <v>40000</v>
      </c>
      <c r="T120" s="669">
        <f t="shared" si="28"/>
        <v>46512</v>
      </c>
      <c r="U120" s="670">
        <v>67</v>
      </c>
      <c r="V120" s="701">
        <f>N228-T120</f>
        <v>49</v>
      </c>
      <c r="W120" s="671">
        <f t="shared" si="33"/>
        <v>46561</v>
      </c>
      <c r="X120" s="802" t="str">
        <f>VLOOKUP(Q120,Q178:Q372,1,0)</f>
        <v>Km 45 nucleo 1 - PR</v>
      </c>
      <c r="Y120" s="1229" t="str">
        <f t="shared" si="32"/>
        <v>Bom S. Rec. 2 - PR100526</v>
      </c>
      <c r="Z120" s="818">
        <f>SUMIF($Y$114:$Y$314,Y120,$S$114:$S$1288)</f>
        <v>80000</v>
      </c>
      <c r="AA120" s="818"/>
      <c r="AC120" s="1313" t="str">
        <f t="shared" si="34"/>
        <v>Km 45 nucleo 1 - PR</v>
      </c>
      <c r="AD120" s="1314">
        <f t="shared" si="18"/>
        <v>46044</v>
      </c>
      <c r="AE120" s="1314">
        <f t="shared" si="19"/>
        <v>46191</v>
      </c>
      <c r="AF120" s="1314">
        <f t="shared" si="20"/>
        <v>46512</v>
      </c>
      <c r="AG120" s="1315" t="str">
        <f t="shared" si="21"/>
        <v>500 SLOW - MALE</v>
      </c>
      <c r="AH120" s="1315" t="str">
        <f t="shared" si="22"/>
        <v>COBB</v>
      </c>
      <c r="AI120" s="1319"/>
      <c r="AJ120" s="818"/>
    </row>
    <row r="121" spans="1:36">
      <c r="A121" s="640" t="s">
        <v>17</v>
      </c>
      <c r="B121" s="641">
        <f>N56+K56</f>
        <v>46057</v>
      </c>
      <c r="C121" s="642">
        <v>46058</v>
      </c>
      <c r="D121" s="724">
        <v>100626</v>
      </c>
      <c r="E121" s="643">
        <f t="shared" ca="1" si="27"/>
        <v>33.714285714285715</v>
      </c>
      <c r="F121" s="643" t="str">
        <f>IFERROR(VLOOKUP(G121,Recria[[Granja Recria]:[Emp+CC]],4,0),"")</f>
        <v>10_116</v>
      </c>
      <c r="G121" s="644" t="s">
        <v>144</v>
      </c>
      <c r="H121" s="645" t="str">
        <f>IFERROR(VLOOKUP(G121,Recria[[Granja Recria]:[Núcleo]],2,0),"")</f>
        <v>(N1)</v>
      </c>
      <c r="I121" s="646">
        <v>60000</v>
      </c>
      <c r="J121" s="640" t="s">
        <v>60</v>
      </c>
      <c r="K121" s="640">
        <v>20</v>
      </c>
      <c r="L121" s="804" t="str">
        <f>VLOOKUP(M121,Raca_Linhagem[],2,0)</f>
        <v>ROSS</v>
      </c>
      <c r="M121" s="804" t="s">
        <v>229</v>
      </c>
      <c r="N121" s="647">
        <f>C121+(22*7)-7</f>
        <v>46205</v>
      </c>
      <c r="O121" s="692">
        <v>134626</v>
      </c>
      <c r="P121" s="648" t="str">
        <f>IFERROR(VLOOKUP(Q121,Producao[[Granja Produção]:[Emp+CC]],4,0),"")</f>
        <v>123_1536</v>
      </c>
      <c r="Q121" s="649" t="s">
        <v>230</v>
      </c>
      <c r="R121" s="640" t="str">
        <f>IFERROR(VLOOKUP(Q121,Producao[[Granja Produção]:[Núcleo]],2,0),"")</f>
        <v>(N1)</v>
      </c>
      <c r="S121" s="650">
        <v>57000</v>
      </c>
      <c r="T121" s="669">
        <f t="shared" si="28"/>
        <v>46519</v>
      </c>
      <c r="U121" s="670">
        <v>66</v>
      </c>
      <c r="V121" s="701">
        <f>N229-T121</f>
        <v>54</v>
      </c>
      <c r="W121" s="671">
        <f t="shared" si="33"/>
        <v>46573</v>
      </c>
      <c r="X121" s="802" t="str">
        <f>VLOOKUP(Q121,Q178:Q373,1,0)</f>
        <v>Fronteira 1 - PR</v>
      </c>
      <c r="Y121" s="1229" t="str">
        <f t="shared" si="32"/>
        <v>Santa Izabel - PR100626</v>
      </c>
      <c r="Z121" s="818">
        <f>SUMIF($Y$114:$Y$314,Y121,$S$114:$S$1288)</f>
        <v>57000</v>
      </c>
      <c r="AA121" s="818"/>
      <c r="AC121" s="1313" t="str">
        <f t="shared" si="34"/>
        <v>Fronteira 1 - PR</v>
      </c>
      <c r="AD121" s="1314">
        <f t="shared" si="18"/>
        <v>46058</v>
      </c>
      <c r="AE121" s="1314">
        <f t="shared" si="19"/>
        <v>46205</v>
      </c>
      <c r="AF121" s="1314">
        <f t="shared" si="20"/>
        <v>46519</v>
      </c>
      <c r="AG121" s="1315" t="str">
        <f t="shared" si="21"/>
        <v>APN - 344</v>
      </c>
      <c r="AH121" s="1315" t="str">
        <f t="shared" si="22"/>
        <v>ROSS</v>
      </c>
      <c r="AI121" s="1319"/>
      <c r="AJ121" s="818"/>
    </row>
    <row r="122" spans="1:36">
      <c r="A122" s="640" t="s">
        <v>17</v>
      </c>
      <c r="B122" s="742">
        <f>N61+K61</f>
        <v>46065</v>
      </c>
      <c r="C122" s="656">
        <v>46065</v>
      </c>
      <c r="D122" s="724">
        <v>100726</v>
      </c>
      <c r="E122" s="657">
        <f t="shared" ca="1" si="27"/>
        <v>32.714285714285715</v>
      </c>
      <c r="F122" s="657" t="str">
        <f>IFERROR(VLOOKUP(G122,Recria[[Granja Recria]:[Emp+CC]],4,0),"")</f>
        <v>10_1182</v>
      </c>
      <c r="G122" s="725" t="s">
        <v>154</v>
      </c>
      <c r="H122" s="726" t="str">
        <f>IFERROR(VLOOKUP(G122,Recria[[Granja Recria]:[Núcleo]],2,0),"")</f>
        <v>(N2)</v>
      </c>
      <c r="I122" s="743">
        <v>60000</v>
      </c>
      <c r="J122" s="655" t="s">
        <v>60</v>
      </c>
      <c r="K122" s="655">
        <v>30</v>
      </c>
      <c r="L122" s="803" t="str">
        <f>VLOOKUP(M122,Raca_Linhagem[],2,0)</f>
        <v>COBB</v>
      </c>
      <c r="M122" s="803" t="s">
        <v>21</v>
      </c>
      <c r="N122" s="647">
        <f t="shared" si="29"/>
        <v>46212</v>
      </c>
      <c r="O122" s="692">
        <v>134726</v>
      </c>
      <c r="P122" s="648" t="str">
        <f>IFERROR(VLOOKUP(Q122,Producao[[Granja Produção]:[Emp+CC]],4,0),"")</f>
        <v>10_358</v>
      </c>
      <c r="Q122" s="649" t="s">
        <v>231</v>
      </c>
      <c r="R122" s="640" t="str">
        <f>IFERROR(VLOOKUP(Q122,Producao[[Granja Produção]:[Núcleo]],2,0),"")</f>
        <v>(N1)</v>
      </c>
      <c r="S122" s="650">
        <v>57000</v>
      </c>
      <c r="T122" s="669">
        <f t="shared" si="28"/>
        <v>46533</v>
      </c>
      <c r="U122" s="670">
        <v>67</v>
      </c>
      <c r="V122" s="701">
        <f>N236-T122</f>
        <v>72</v>
      </c>
      <c r="W122" s="671">
        <f t="shared" si="33"/>
        <v>46605</v>
      </c>
      <c r="X122" s="802" t="str">
        <f>VLOOKUP(Q122,Q185:Q374,1,0)</f>
        <v>Scolari - PR</v>
      </c>
      <c r="Y122" s="1229" t="str">
        <f t="shared" si="32"/>
        <v>N. S. Carmo 2 - PR100726</v>
      </c>
      <c r="Z122" s="818">
        <f>SUMIF($Y$114:$Y$314,Y122,$S$114:$S$1288)</f>
        <v>57000</v>
      </c>
      <c r="AA122" s="818"/>
      <c r="AC122" s="1313" t="str">
        <f t="shared" si="34"/>
        <v>Scolari - PR</v>
      </c>
      <c r="AD122" s="1314">
        <f t="shared" si="18"/>
        <v>46065</v>
      </c>
      <c r="AE122" s="1314">
        <f t="shared" si="19"/>
        <v>46212</v>
      </c>
      <c r="AF122" s="1314">
        <f t="shared" si="20"/>
        <v>46533</v>
      </c>
      <c r="AG122" s="1315" t="str">
        <f t="shared" si="21"/>
        <v>500 SLOW - MALE</v>
      </c>
      <c r="AH122" s="1315" t="str">
        <f t="shared" si="22"/>
        <v>COBB</v>
      </c>
      <c r="AI122" s="1319"/>
      <c r="AJ122" s="818"/>
    </row>
    <row r="123" spans="1:36">
      <c r="A123" s="655" t="s">
        <v>17</v>
      </c>
      <c r="B123" s="742">
        <f>N71+K71</f>
        <v>46074</v>
      </c>
      <c r="C123" s="656">
        <v>46072</v>
      </c>
      <c r="D123" s="724">
        <v>101026</v>
      </c>
      <c r="E123" s="657">
        <f t="shared" ca="1" si="27"/>
        <v>31.714285714285715</v>
      </c>
      <c r="F123" s="657" t="str">
        <f>IFERROR(VLOOKUP(G123,Recria[[Granja Recria]:[Emp+CC]],4,0),"")</f>
        <v>124_47</v>
      </c>
      <c r="G123" s="725" t="s">
        <v>52</v>
      </c>
      <c r="H123" s="726" t="str">
        <f>IFERROR(VLOOKUP(G123,Recria[[Granja Recria]:[Núcleo]],2,0),"")</f>
        <v>(N1)</v>
      </c>
      <c r="I123" s="743">
        <v>30000</v>
      </c>
      <c r="J123" s="655" t="s">
        <v>45</v>
      </c>
      <c r="K123" s="655">
        <v>61</v>
      </c>
      <c r="L123" s="803" t="str">
        <f>VLOOKUP(M123,Raca_Linhagem[],2,0)</f>
        <v>COBB</v>
      </c>
      <c r="M123" s="803" t="s">
        <v>21</v>
      </c>
      <c r="N123" s="647">
        <f t="shared" si="29"/>
        <v>46219</v>
      </c>
      <c r="O123" s="692">
        <v>134726</v>
      </c>
      <c r="P123" s="648" t="str">
        <f>IFERROR(VLOOKUP(Q123,Producao[[Granja Produção]:[Emp+CC]],4,0),"")</f>
        <v>10_358</v>
      </c>
      <c r="Q123" s="649" t="s">
        <v>231</v>
      </c>
      <c r="R123" s="640" t="str">
        <f>IFERROR(VLOOKUP(Q123,Producao[[Granja Produção]:[Núcleo]],2,0),"")</f>
        <v>(N1)</v>
      </c>
      <c r="S123" s="650">
        <v>19000</v>
      </c>
      <c r="T123" s="669">
        <f t="shared" si="28"/>
        <v>46533</v>
      </c>
      <c r="U123" s="670">
        <v>66</v>
      </c>
      <c r="V123" s="701">
        <f>N236-T122</f>
        <v>72</v>
      </c>
      <c r="W123" s="671">
        <f t="shared" si="33"/>
        <v>46605</v>
      </c>
      <c r="X123" s="802" t="str">
        <f>VLOOKUP(Q123,Q185:Q375,1,0)</f>
        <v>Scolari - PR</v>
      </c>
      <c r="Y123" s="1229" t="str">
        <f t="shared" si="32"/>
        <v>Quedas - PR101026</v>
      </c>
      <c r="Z123" s="818">
        <f>SUMIF($Y$114:$Y$314,Y123,$S$114:$S$1288)</f>
        <v>28000</v>
      </c>
      <c r="AA123" s="818"/>
      <c r="AC123" s="1313" t="str">
        <f t="shared" si="34"/>
        <v>Scolari - PR</v>
      </c>
      <c r="AD123" s="1314">
        <f t="shared" si="18"/>
        <v>46072</v>
      </c>
      <c r="AE123" s="1314">
        <f t="shared" si="19"/>
        <v>46219</v>
      </c>
      <c r="AF123" s="1314">
        <f t="shared" si="20"/>
        <v>46533</v>
      </c>
      <c r="AG123" s="1315" t="str">
        <f t="shared" si="21"/>
        <v>500 SLOW - MALE</v>
      </c>
      <c r="AH123" s="1315" t="str">
        <f t="shared" si="22"/>
        <v>COBB</v>
      </c>
      <c r="AI123" s="1319"/>
      <c r="AJ123" s="818"/>
    </row>
    <row r="124" spans="1:36">
      <c r="A124" s="655" t="s">
        <v>17</v>
      </c>
      <c r="B124" s="742">
        <f>N71+K71</f>
        <v>46074</v>
      </c>
      <c r="C124" s="656">
        <v>46072</v>
      </c>
      <c r="D124" s="724">
        <v>101026</v>
      </c>
      <c r="E124" s="657">
        <f t="shared" ca="1" si="27"/>
        <v>31.714285714285715</v>
      </c>
      <c r="F124" s="657" t="str">
        <f>IFERROR(VLOOKUP(G124,Recria[[Granja Recria]:[Emp+CC]],4,0),"")</f>
        <v>124_47</v>
      </c>
      <c r="G124" s="725" t="s">
        <v>52</v>
      </c>
      <c r="H124" s="726" t="str">
        <f>IFERROR(VLOOKUP(G124,Recria[[Granja Recria]:[Núcleo]],2,0),"")</f>
        <v>(N1)</v>
      </c>
      <c r="I124" s="743"/>
      <c r="J124" s="655" t="s">
        <v>45</v>
      </c>
      <c r="K124" s="655">
        <v>65</v>
      </c>
      <c r="L124" s="803" t="str">
        <f>VLOOKUP(M124,Raca_Linhagem[],2,0)</f>
        <v>COBB</v>
      </c>
      <c r="M124" s="803" t="s">
        <v>21</v>
      </c>
      <c r="N124" s="674">
        <f t="shared" si="29"/>
        <v>46219</v>
      </c>
      <c r="O124" s="675"/>
      <c r="P124" s="675" t="str">
        <f>IFERROR(VLOOKUP(Q124,Producao[[Granja Produção]:[Emp+CC]],4,0),"")</f>
        <v>126_2244</v>
      </c>
      <c r="Q124" s="1168" t="s">
        <v>22</v>
      </c>
      <c r="R124" s="677" t="str">
        <f>IFERROR(VLOOKUP(Q124,Producao[[Granja Produção]:[Núcleo]],2,0),"")</f>
        <v>(N1)</v>
      </c>
      <c r="S124" s="702">
        <v>9000</v>
      </c>
      <c r="T124" s="679">
        <f t="shared" si="28"/>
        <v>46533</v>
      </c>
      <c r="U124" s="680">
        <v>66</v>
      </c>
      <c r="V124" s="682"/>
      <c r="W124" s="681">
        <f t="shared" si="33"/>
        <v>46533</v>
      </c>
      <c r="X124" s="1298" t="e">
        <f>VLOOKUP(Q124,Q186:Q376,1,0)</f>
        <v>#N/A</v>
      </c>
      <c r="Y124" s="1229" t="str">
        <f t="shared" si="32"/>
        <v>Quedas - PR101026</v>
      </c>
      <c r="Z124" s="818">
        <f>SUMIF($Y$114:$Y$314,Y124,$S$114:$S$1288)</f>
        <v>28000</v>
      </c>
      <c r="AA124" s="818"/>
      <c r="AC124" s="1313" t="str">
        <f t="shared" si="34"/>
        <v>Beltrame - SP</v>
      </c>
      <c r="AD124" s="1314">
        <f t="shared" si="18"/>
        <v>46072</v>
      </c>
      <c r="AE124" s="1314">
        <f t="shared" si="19"/>
        <v>46219</v>
      </c>
      <c r="AF124" s="1314">
        <f t="shared" si="20"/>
        <v>46533</v>
      </c>
      <c r="AG124" s="1315" t="str">
        <f t="shared" si="21"/>
        <v>500 SLOW - MALE</v>
      </c>
      <c r="AH124" s="1315" t="str">
        <f t="shared" si="22"/>
        <v>COBB</v>
      </c>
      <c r="AI124" s="1319"/>
      <c r="AJ124" s="818"/>
    </row>
    <row r="125" spans="1:36">
      <c r="A125" s="655" t="s">
        <v>17</v>
      </c>
      <c r="B125" s="742">
        <f>N65+K65</f>
        <v>46078</v>
      </c>
      <c r="C125" s="656">
        <v>46079</v>
      </c>
      <c r="D125" s="724">
        <v>100826</v>
      </c>
      <c r="E125" s="657">
        <f t="shared" ca="1" si="27"/>
        <v>30.714285714285715</v>
      </c>
      <c r="F125" s="657" t="str">
        <f>IFERROR(VLOOKUP(G125,Recria[[Granja Recria]:[Emp+CC]],4,0),"")</f>
        <v>10_203</v>
      </c>
      <c r="G125" s="725" t="s">
        <v>25</v>
      </c>
      <c r="H125" s="726" t="str">
        <f>IFERROR(VLOOKUP(G125,Recria[[Granja Recria]:[Núcleo]],2,0),"")</f>
        <v>(N1)</v>
      </c>
      <c r="I125" s="743">
        <v>60000</v>
      </c>
      <c r="J125" s="655" t="s">
        <v>60</v>
      </c>
      <c r="K125" s="655">
        <v>26</v>
      </c>
      <c r="L125" s="803" t="str">
        <f>VLOOKUP(M125,Raca_Linhagem[],2,0)</f>
        <v>COBB</v>
      </c>
      <c r="M125" s="803" t="s">
        <v>232</v>
      </c>
      <c r="N125" s="674">
        <f t="shared" si="29"/>
        <v>46226</v>
      </c>
      <c r="O125" s="675"/>
      <c r="P125" s="675" t="str">
        <f>IFERROR(VLOOKUP(Q125,Producao[[Granja Produção]:[Emp+CC]],4,0),"")</f>
        <v>126_2244</v>
      </c>
      <c r="Q125" s="1168" t="s">
        <v>22</v>
      </c>
      <c r="R125" s="677" t="str">
        <f>IFERROR(VLOOKUP(Q125,Producao[[Granja Produção]:[Núcleo]],2,0),"")</f>
        <v>(N1)</v>
      </c>
      <c r="S125" s="702">
        <v>15000</v>
      </c>
      <c r="T125" s="679">
        <f t="shared" si="28"/>
        <v>46540</v>
      </c>
      <c r="U125" s="680">
        <v>66</v>
      </c>
      <c r="V125" s="682"/>
      <c r="W125" s="681">
        <f t="shared" si="33"/>
        <v>46540</v>
      </c>
      <c r="X125" s="1298" t="e">
        <f>VLOOKUP(Q125,Q180:Q377,1,0)</f>
        <v>#N/A</v>
      </c>
      <c r="Y125" s="1229" t="str">
        <f t="shared" si="32"/>
        <v>Picolli Rec. - PR100826</v>
      </c>
      <c r="Z125" s="818">
        <f>SUMIF($Y$114:$Y$314,Y125,$S$114:$S$1288)</f>
        <v>56680</v>
      </c>
      <c r="AA125" s="818"/>
      <c r="AC125" s="1313" t="str">
        <f t="shared" si="34"/>
        <v>Beltrame - SP</v>
      </c>
      <c r="AD125" s="1314">
        <f t="shared" si="18"/>
        <v>46079</v>
      </c>
      <c r="AE125" s="1314">
        <f t="shared" si="19"/>
        <v>46226</v>
      </c>
      <c r="AF125" s="1314">
        <f t="shared" si="20"/>
        <v>46540</v>
      </c>
      <c r="AG125" s="1315" t="str">
        <f t="shared" si="21"/>
        <v>800 SLOW - MX</v>
      </c>
      <c r="AH125" s="1315" t="str">
        <f t="shared" si="22"/>
        <v>COBB</v>
      </c>
      <c r="AI125" s="1319"/>
      <c r="AJ125" s="818"/>
    </row>
    <row r="126" spans="1:36">
      <c r="A126" s="655" t="s">
        <v>17</v>
      </c>
      <c r="B126" s="742">
        <f>N65+K65</f>
        <v>46078</v>
      </c>
      <c r="C126" s="656">
        <v>46079</v>
      </c>
      <c r="D126" s="724">
        <v>100826</v>
      </c>
      <c r="E126" s="657">
        <f t="shared" ca="1" si="27"/>
        <v>30.714285714285715</v>
      </c>
      <c r="F126" s="657" t="str">
        <f>IFERROR(VLOOKUP(G126,Recria[[Granja Recria]:[Emp+CC]],4,0),"")</f>
        <v>10_203</v>
      </c>
      <c r="G126" s="725" t="s">
        <v>25</v>
      </c>
      <c r="H126" s="726" t="str">
        <f>IFERROR(VLOOKUP(G126,Recria[[Granja Recria]:[Núcleo]],2,0),"")</f>
        <v>(N1)</v>
      </c>
      <c r="I126" s="743"/>
      <c r="J126" s="655" t="s">
        <v>60</v>
      </c>
      <c r="K126" s="655">
        <v>26</v>
      </c>
      <c r="L126" s="803" t="str">
        <f>VLOOKUP(M126,Raca_Linhagem[],2,0)</f>
        <v>COBB</v>
      </c>
      <c r="M126" s="803" t="s">
        <v>232</v>
      </c>
      <c r="N126" s="647">
        <f t="shared" si="29"/>
        <v>46226</v>
      </c>
      <c r="O126" s="692">
        <v>134826</v>
      </c>
      <c r="P126" s="648" t="str">
        <f>IFERROR(VLOOKUP(Q126,Producao[[Granja Produção]:[Emp+CC]],4,0),"")</f>
        <v>96_1029</v>
      </c>
      <c r="Q126" s="1260" t="s">
        <v>42</v>
      </c>
      <c r="R126" s="648" t="str">
        <f>IFERROR(VLOOKUP(Q126,Producao[[Granja Produção]:[Núcleo]],2,0),"")</f>
        <v>(N1)</v>
      </c>
      <c r="S126" s="650">
        <v>29680</v>
      </c>
      <c r="T126" s="669">
        <f t="shared" si="28"/>
        <v>46533</v>
      </c>
      <c r="U126" s="670">
        <v>65</v>
      </c>
      <c r="V126" s="701">
        <f>N229-T126</f>
        <v>40</v>
      </c>
      <c r="W126" s="671">
        <f t="shared" si="33"/>
        <v>46573</v>
      </c>
      <c r="X126" s="802" t="str">
        <f>VLOOKUP(Q126,Q182:Q378,1,0)</f>
        <v>Bem-te-vi - SC</v>
      </c>
      <c r="Y126" s="1229" t="str">
        <f t="shared" si="32"/>
        <v>Picolli Rec. - PR100826</v>
      </c>
      <c r="Z126" s="818">
        <f>SUMIF($Y$114:$Y$314,Y126,$S$114:$S$1288)</f>
        <v>56680</v>
      </c>
      <c r="AA126" s="818"/>
      <c r="AC126" s="1313" t="str">
        <f t="shared" si="34"/>
        <v>Bem-te-vi - SC</v>
      </c>
      <c r="AD126" s="1314">
        <f t="shared" si="18"/>
        <v>46079</v>
      </c>
      <c r="AE126" s="1314">
        <f t="shared" si="19"/>
        <v>46226</v>
      </c>
      <c r="AF126" s="1314">
        <f t="shared" si="20"/>
        <v>46533</v>
      </c>
      <c r="AG126" s="1315" t="str">
        <f t="shared" si="21"/>
        <v>800 SLOW - MX</v>
      </c>
      <c r="AH126" s="1315" t="str">
        <f t="shared" si="22"/>
        <v>COBB</v>
      </c>
      <c r="AI126" s="1319"/>
      <c r="AJ126" s="818"/>
    </row>
    <row r="127" spans="1:36">
      <c r="A127" s="655" t="s">
        <v>17</v>
      </c>
      <c r="B127" s="742">
        <f>N65+K65</f>
        <v>46078</v>
      </c>
      <c r="C127" s="656">
        <v>46079</v>
      </c>
      <c r="D127" s="724">
        <v>100826</v>
      </c>
      <c r="E127" s="657">
        <f t="shared" ca="1" si="27"/>
        <v>30.714285714285715</v>
      </c>
      <c r="F127" s="657" t="str">
        <f>IFERROR(VLOOKUP(G127,Recria[[Granja Recria]:[Emp+CC]],4,0),"")</f>
        <v>10_203</v>
      </c>
      <c r="G127" s="725" t="s">
        <v>25</v>
      </c>
      <c r="H127" s="726" t="str">
        <f>IFERROR(VLOOKUP(G127,Recria[[Granja Recria]:[Núcleo]],2,0),"")</f>
        <v>(N1)</v>
      </c>
      <c r="I127" s="743"/>
      <c r="J127" s="655" t="s">
        <v>60</v>
      </c>
      <c r="K127" s="655">
        <v>26</v>
      </c>
      <c r="L127" s="803" t="str">
        <f>VLOOKUP(M127,Raca_Linhagem[],2,0)</f>
        <v>COBB</v>
      </c>
      <c r="M127" s="803" t="s">
        <v>232</v>
      </c>
      <c r="N127" s="647">
        <f t="shared" ref="N127" si="35">C127+(22*7)-7</f>
        <v>46226</v>
      </c>
      <c r="O127" s="692">
        <v>135126</v>
      </c>
      <c r="P127" s="648" t="str">
        <f>IFERROR(VLOOKUP(Q127,Producao[[Granja Produção]:[Emp+CC]],4,0),"")</f>
        <v>119_156</v>
      </c>
      <c r="Q127" s="1260" t="s">
        <v>233</v>
      </c>
      <c r="R127" s="648" t="str">
        <f>IFERROR(VLOOKUP(Q127,Producao[[Granja Produção]:[Núcleo]],2,0),"")</f>
        <v>(N1)</v>
      </c>
      <c r="S127" s="650">
        <v>12000</v>
      </c>
      <c r="T127" s="669">
        <f t="shared" si="28"/>
        <v>46533</v>
      </c>
      <c r="U127" s="670">
        <v>65</v>
      </c>
      <c r="V127" s="701">
        <f>N230-T127</f>
        <v>40</v>
      </c>
      <c r="W127" s="671">
        <f t="shared" si="33"/>
        <v>46573</v>
      </c>
      <c r="X127" s="802" t="str">
        <f>VLOOKUP(Q127,Q191:Q379,1,0)</f>
        <v>São Francisco - PR</v>
      </c>
      <c r="Y127" s="1229" t="str">
        <f t="shared" si="32"/>
        <v>Picolli Rec. - PR100826</v>
      </c>
      <c r="Z127" s="818">
        <f>SUMIF($Y$114:$Y$314,Y127,$S$114:$S$1288)</f>
        <v>56680</v>
      </c>
      <c r="AA127" s="818"/>
      <c r="AC127" s="1313" t="str">
        <f t="shared" si="34"/>
        <v>São Francisco - PR</v>
      </c>
      <c r="AD127" s="1314">
        <f t="shared" si="18"/>
        <v>46079</v>
      </c>
      <c r="AE127" s="1314">
        <f t="shared" si="19"/>
        <v>46226</v>
      </c>
      <c r="AF127" s="1314">
        <f t="shared" si="20"/>
        <v>46533</v>
      </c>
      <c r="AG127" s="1315" t="str">
        <f t="shared" si="21"/>
        <v>800 SLOW - MX</v>
      </c>
      <c r="AH127" s="1315" t="str">
        <f t="shared" si="22"/>
        <v>COBB</v>
      </c>
      <c r="AI127" s="1319"/>
      <c r="AJ127" s="818"/>
    </row>
    <row r="128" spans="1:36">
      <c r="A128" s="640" t="s">
        <v>17</v>
      </c>
      <c r="B128" s="641">
        <f>N66+K66</f>
        <v>46084</v>
      </c>
      <c r="C128" s="642">
        <v>46086</v>
      </c>
      <c r="D128" s="724">
        <v>100926</v>
      </c>
      <c r="E128" s="643">
        <f t="shared" ca="1" si="27"/>
        <v>29.714285714285715</v>
      </c>
      <c r="F128" s="643" t="str">
        <f>IFERROR(VLOOKUP(G128,Recria[[Granja Recria]:[Emp+CC]],4,0),"")</f>
        <v>10_1295</v>
      </c>
      <c r="G128" s="644" t="s">
        <v>19</v>
      </c>
      <c r="H128" s="645" t="str">
        <f>IFERROR(VLOOKUP(G128,Recria[[Granja Recria]:[Núcleo]],2,0),"")</f>
        <v>(N3)</v>
      </c>
      <c r="I128" s="646">
        <v>84000</v>
      </c>
      <c r="J128" s="640" t="s">
        <v>60</v>
      </c>
      <c r="K128" s="640">
        <v>26</v>
      </c>
      <c r="L128" s="803" t="str">
        <f>VLOOKUP(M128,Raca_Linhagem[],2,0)</f>
        <v>COBB</v>
      </c>
      <c r="M128" s="803" t="s">
        <v>232</v>
      </c>
      <c r="N128" s="647">
        <f t="shared" si="29"/>
        <v>46233</v>
      </c>
      <c r="O128" s="692">
        <v>135126</v>
      </c>
      <c r="P128" s="648" t="str">
        <f>IFERROR(VLOOKUP(Q128,Producao[[Granja Produção]:[Emp+CC]],4,0),"")</f>
        <v>119_156</v>
      </c>
      <c r="Q128" s="1260" t="s">
        <v>233</v>
      </c>
      <c r="R128" s="648" t="str">
        <f>IFERROR(VLOOKUP(Q128,Producao[[Granja Produção]:[Núcleo]],2,0),"")</f>
        <v>(N1)</v>
      </c>
      <c r="S128" s="650">
        <v>22000</v>
      </c>
      <c r="T128" s="669">
        <f t="shared" si="28"/>
        <v>46533</v>
      </c>
      <c r="U128" s="670">
        <v>64</v>
      </c>
      <c r="V128" s="701">
        <f>N230-T127</f>
        <v>40</v>
      </c>
      <c r="W128" s="671">
        <f t="shared" si="33"/>
        <v>46573</v>
      </c>
      <c r="X128" s="802" t="str">
        <f>VLOOKUP(Q128,Q187:Q380,1,0)</f>
        <v>São Francisco - PR</v>
      </c>
      <c r="Y128" s="1229" t="str">
        <f t="shared" si="32"/>
        <v>Esperança 3 - PR100926</v>
      </c>
      <c r="Z128" s="818">
        <f>SUMIF($Y$114:$Y$314,Y128,$S$114:$S$1288)</f>
        <v>80000</v>
      </c>
      <c r="AA128" s="818"/>
      <c r="AC128" s="1313" t="str">
        <f t="shared" si="34"/>
        <v>São Francisco - PR</v>
      </c>
      <c r="AD128" s="1314">
        <f t="shared" si="18"/>
        <v>46086</v>
      </c>
      <c r="AE128" s="1314">
        <f t="shared" si="19"/>
        <v>46233</v>
      </c>
      <c r="AF128" s="1314">
        <f t="shared" si="20"/>
        <v>46533</v>
      </c>
      <c r="AG128" s="1315" t="str">
        <f t="shared" si="21"/>
        <v>800 SLOW - MX</v>
      </c>
      <c r="AH128" s="1315" t="str">
        <f t="shared" si="22"/>
        <v>COBB</v>
      </c>
      <c r="AI128" s="1319"/>
      <c r="AJ128" s="818"/>
    </row>
    <row r="129" spans="1:36">
      <c r="A129" s="640" t="s">
        <v>17</v>
      </c>
      <c r="B129" s="641">
        <f>N66+K66</f>
        <v>46084</v>
      </c>
      <c r="C129" s="642">
        <v>46086</v>
      </c>
      <c r="D129" s="724">
        <v>100926</v>
      </c>
      <c r="E129" s="643">
        <f t="shared" ref="E129" ca="1" si="36">IF((TODAY()-C129)/7&gt;U129,U129,(TODAY()-C129)/7)</f>
        <v>29.714285714285715</v>
      </c>
      <c r="F129" s="643" t="str">
        <f>IFERROR(VLOOKUP(G129,Recria[[Granja Recria]:[Emp+CC]],4,0),"")</f>
        <v>10_1295</v>
      </c>
      <c r="G129" s="644" t="s">
        <v>19</v>
      </c>
      <c r="H129" s="645" t="str">
        <f>IFERROR(VLOOKUP(G129,Recria[[Granja Recria]:[Núcleo]],2,0),"")</f>
        <v>(N3)</v>
      </c>
      <c r="I129" s="646"/>
      <c r="J129" s="640" t="s">
        <v>60</v>
      </c>
      <c r="K129" s="640">
        <v>26</v>
      </c>
      <c r="L129" s="803" t="str">
        <f>VLOOKUP(M129,Raca_Linhagem[],2,0)</f>
        <v>COBB</v>
      </c>
      <c r="M129" s="803" t="s">
        <v>232</v>
      </c>
      <c r="N129" s="647">
        <f t="shared" ref="N129:N130" si="37">C129+(22*7)-7</f>
        <v>46233</v>
      </c>
      <c r="O129" s="692">
        <v>135026</v>
      </c>
      <c r="P129" s="648" t="str">
        <f>IFERROR(VLOOKUP(Q129,Producao[[Granja Produção]:[Emp+CC]],4,0),"")</f>
        <v>10_330</v>
      </c>
      <c r="Q129" s="1260" t="s">
        <v>28</v>
      </c>
      <c r="R129" s="648" t="str">
        <f>IFERROR(VLOOKUP(Q129,Producao[[Granja Produção]:[Núcleo]],2,0),"")</f>
        <v>(N1)</v>
      </c>
      <c r="S129" s="650">
        <v>58000</v>
      </c>
      <c r="T129" s="669">
        <f t="shared" ref="T129:T130" si="38">C129+(U129*7)-1</f>
        <v>46547</v>
      </c>
      <c r="U129" s="670">
        <v>66</v>
      </c>
      <c r="V129" s="701">
        <f>N233-T129</f>
        <v>44</v>
      </c>
      <c r="W129" s="671">
        <f t="shared" ref="W129:W130" si="39">IFERROR(T129+V129," ")</f>
        <v>46591</v>
      </c>
      <c r="X129" s="802" t="str">
        <f>VLOOKUP(Q129,Q188:Q381,1,0)</f>
        <v>Darlan - PR</v>
      </c>
      <c r="Y129" s="1229" t="str">
        <f t="shared" ref="Y129" si="40">G129&amp;D129</f>
        <v>Esperança 3 - PR100926</v>
      </c>
      <c r="Z129" s="818">
        <f>SUMIF($Y$114:$Y$314,Y129,$S$114:$S$1288)</f>
        <v>80000</v>
      </c>
      <c r="AA129" s="818"/>
      <c r="AC129" s="1313" t="str">
        <f t="shared" si="34"/>
        <v>Darlan - PR</v>
      </c>
      <c r="AD129" s="1314">
        <f t="shared" si="18"/>
        <v>46086</v>
      </c>
      <c r="AE129" s="1314">
        <f t="shared" si="19"/>
        <v>46233</v>
      </c>
      <c r="AF129" s="1314">
        <f t="shared" si="20"/>
        <v>46547</v>
      </c>
      <c r="AG129" s="1315" t="str">
        <f t="shared" si="21"/>
        <v>800 SLOW - MX</v>
      </c>
      <c r="AH129" s="1315" t="str">
        <f t="shared" si="22"/>
        <v>COBB</v>
      </c>
      <c r="AI129" s="1319"/>
      <c r="AJ129" s="818"/>
    </row>
    <row r="130" spans="1:36">
      <c r="A130" s="640" t="s">
        <v>17</v>
      </c>
      <c r="B130" s="641">
        <f>N77+K77</f>
        <v>46094</v>
      </c>
      <c r="C130" s="642">
        <v>46093</v>
      </c>
      <c r="D130" s="724">
        <v>101126</v>
      </c>
      <c r="E130" s="643">
        <f t="shared" ca="1" si="27"/>
        <v>28.714285714285715</v>
      </c>
      <c r="F130" s="643" t="str">
        <f>IFERROR(VLOOKUP(G130,Recria[[Granja Recria]:[Emp+CC]],4,0),"")</f>
        <v>112_29</v>
      </c>
      <c r="G130" s="644" t="s">
        <v>68</v>
      </c>
      <c r="H130" s="645" t="str">
        <f>IFERROR(VLOOKUP(G130,Recria[[Granja Recria]:[Núcleo]],2,0),"")</f>
        <v>(N1)</v>
      </c>
      <c r="I130" s="646">
        <v>107000</v>
      </c>
      <c r="J130" s="640" t="s">
        <v>45</v>
      </c>
      <c r="K130" s="640">
        <v>61</v>
      </c>
      <c r="L130" s="803" t="str">
        <f>VLOOKUP(M130,Raca_Linhagem[],2,0)</f>
        <v>COBB</v>
      </c>
      <c r="M130" s="803" t="s">
        <v>112</v>
      </c>
      <c r="N130" s="674">
        <f t="shared" si="37"/>
        <v>46240</v>
      </c>
      <c r="O130" s="675"/>
      <c r="P130" s="675" t="str">
        <f>IFERROR(VLOOKUP(Q130,Producao[[Granja Produção]:[Emp+CC]],4,0),"")</f>
        <v>18_473</v>
      </c>
      <c r="Q130" s="1168" t="s">
        <v>234</v>
      </c>
      <c r="R130" s="677" t="str">
        <f>IFERROR(VLOOKUP(Q130,Producao[[Granja Produção]:[Núcleo]],2,0),"")</f>
        <v>(N2)</v>
      </c>
      <c r="S130" s="702">
        <v>18000</v>
      </c>
      <c r="T130" s="679">
        <f t="shared" si="38"/>
        <v>46554</v>
      </c>
      <c r="U130" s="680">
        <v>66</v>
      </c>
      <c r="V130" s="682"/>
      <c r="W130" s="681">
        <f t="shared" si="39"/>
        <v>46554</v>
      </c>
      <c r="X130" s="1298" t="e">
        <f>VLOOKUP(Q130,Q191:Q381,1,0)</f>
        <v>#N/A</v>
      </c>
      <c r="Y130" s="1229" t="str">
        <f t="shared" si="32"/>
        <v>Pluma 1 - PR101126</v>
      </c>
      <c r="Z130" s="818">
        <f>SUMIF($Y$114:$Y$314,Y130,$S$114:$S$1288)</f>
        <v>101000</v>
      </c>
      <c r="AA130" s="818"/>
      <c r="AC130" s="1313" t="str">
        <f t="shared" si="34"/>
        <v>Pardinho 2 - SP</v>
      </c>
      <c r="AD130" s="1314">
        <f t="shared" ref="AD130:AD172" si="41">C130</f>
        <v>46093</v>
      </c>
      <c r="AE130" s="1314">
        <f t="shared" ref="AE130:AE172" si="42">N130</f>
        <v>46240</v>
      </c>
      <c r="AF130" s="1314">
        <f t="shared" ref="AF130:AF172" si="43">T130</f>
        <v>46554</v>
      </c>
      <c r="AG130" s="1315" t="str">
        <f t="shared" si="21"/>
        <v>500 SLOW - MX</v>
      </c>
      <c r="AH130" s="1315" t="str">
        <f t="shared" si="22"/>
        <v>COBB</v>
      </c>
      <c r="AI130" s="1319"/>
      <c r="AJ130" s="818"/>
    </row>
    <row r="131" spans="1:36">
      <c r="A131" s="640" t="s">
        <v>17</v>
      </c>
      <c r="B131" s="641">
        <f>N77+K77</f>
        <v>46094</v>
      </c>
      <c r="C131" s="642">
        <v>46093</v>
      </c>
      <c r="D131" s="724">
        <v>101126</v>
      </c>
      <c r="E131" s="643">
        <f t="shared" ca="1" si="27"/>
        <v>28.714285714285715</v>
      </c>
      <c r="F131" s="643" t="str">
        <f>IFERROR(VLOOKUP(G131,Recria[[Granja Recria]:[Emp+CC]],4,0),"")</f>
        <v>112_29</v>
      </c>
      <c r="G131" s="644" t="s">
        <v>68</v>
      </c>
      <c r="H131" s="645" t="str">
        <f>IFERROR(VLOOKUP(G131,Recria[[Granja Recria]:[Núcleo]],2,0),"")</f>
        <v>(N1)</v>
      </c>
      <c r="I131" s="646"/>
      <c r="J131" s="640" t="s">
        <v>45</v>
      </c>
      <c r="K131" s="640">
        <v>61</v>
      </c>
      <c r="L131" s="803" t="str">
        <f>VLOOKUP(M131,Raca_Linhagem[],2,0)</f>
        <v>COBB</v>
      </c>
      <c r="M131" s="803" t="s">
        <v>112</v>
      </c>
      <c r="N131" s="647">
        <f t="shared" si="29"/>
        <v>46240</v>
      </c>
      <c r="O131" s="692">
        <v>135226</v>
      </c>
      <c r="P131" s="648" t="str">
        <f>IFERROR(VLOOKUP(Q131,Producao[[Granja Produção]:[Emp+CC]],4,0),"")</f>
        <v>10_859</v>
      </c>
      <c r="Q131" s="1260" t="s">
        <v>34</v>
      </c>
      <c r="R131" s="648" t="str">
        <f>IFERROR(VLOOKUP(Q131,Producao[[Granja Produção]:[Núcleo]],2,0),"")</f>
        <v>(N1)</v>
      </c>
      <c r="S131" s="650">
        <v>57000</v>
      </c>
      <c r="T131" s="669">
        <f t="shared" si="28"/>
        <v>46554</v>
      </c>
      <c r="U131" s="670">
        <v>66</v>
      </c>
      <c r="V131" s="701">
        <f>N237-T131</f>
        <v>52</v>
      </c>
      <c r="W131" s="671">
        <f t="shared" si="33"/>
        <v>46606</v>
      </c>
      <c r="X131" s="802" t="str">
        <f>VLOOKUP(Q131,Q191:Q382,1,0)</f>
        <v>Iguaçu 1 - PR</v>
      </c>
      <c r="Y131" s="1229" t="str">
        <f t="shared" si="32"/>
        <v>Pluma 1 - PR101126</v>
      </c>
      <c r="Z131" s="818">
        <f>SUMIF($Y$114:$Y$314,Y131,$S$114:$S$1288)</f>
        <v>101000</v>
      </c>
      <c r="AA131" s="818"/>
      <c r="AC131" s="1313" t="str">
        <f t="shared" si="34"/>
        <v>Iguaçu 1 - PR</v>
      </c>
      <c r="AD131" s="1314">
        <f t="shared" si="41"/>
        <v>46093</v>
      </c>
      <c r="AE131" s="1314">
        <f t="shared" si="42"/>
        <v>46240</v>
      </c>
      <c r="AF131" s="1314">
        <f t="shared" si="43"/>
        <v>46554</v>
      </c>
      <c r="AG131" s="1315" t="str">
        <f t="shared" si="21"/>
        <v>500 SLOW - MX</v>
      </c>
      <c r="AH131" s="1315" t="str">
        <f t="shared" si="22"/>
        <v>COBB</v>
      </c>
      <c r="AI131" s="1319"/>
      <c r="AJ131" s="818"/>
    </row>
    <row r="132" spans="1:36">
      <c r="A132" s="640" t="s">
        <v>17</v>
      </c>
      <c r="B132" s="641">
        <f>N77+K77</f>
        <v>46094</v>
      </c>
      <c r="C132" s="642">
        <v>46093</v>
      </c>
      <c r="D132" s="724">
        <v>101126</v>
      </c>
      <c r="E132" s="643">
        <f t="shared" ca="1" si="27"/>
        <v>28.714285714285715</v>
      </c>
      <c r="F132" s="643" t="str">
        <f>IFERROR(VLOOKUP(G132,Recria[[Granja Recria]:[Emp+CC]],4,0),"")</f>
        <v>112_29</v>
      </c>
      <c r="G132" s="644" t="s">
        <v>68</v>
      </c>
      <c r="H132" s="645" t="str">
        <f>IFERROR(VLOOKUP(G132,Recria[[Granja Recria]:[Núcleo]],2,0),"")</f>
        <v>(N1)</v>
      </c>
      <c r="I132" s="646"/>
      <c r="J132" s="640" t="s">
        <v>45</v>
      </c>
      <c r="K132" s="640">
        <v>61</v>
      </c>
      <c r="L132" s="803" t="str">
        <f>VLOOKUP(M132,Raca_Linhagem[],2,0)</f>
        <v>COBB</v>
      </c>
      <c r="M132" s="803" t="s">
        <v>112</v>
      </c>
      <c r="N132" s="647">
        <f t="shared" ref="N132" si="44">C132+(22*7)-7</f>
        <v>46240</v>
      </c>
      <c r="O132" s="692">
        <v>135726</v>
      </c>
      <c r="P132" s="648" t="str">
        <f>IFERROR(VLOOKUP(Q132,Producao[[Granja Produção]:[Emp+CC]],4,0),"")</f>
        <v>120_45</v>
      </c>
      <c r="Q132" s="1033" t="s">
        <v>62</v>
      </c>
      <c r="R132" s="640" t="str">
        <f>IFERROR(VLOOKUP(Q132,Producao[[Granja Produção]:[Núcleo]],2,0),"")</f>
        <v>(N1)</v>
      </c>
      <c r="S132" s="650">
        <v>26000</v>
      </c>
      <c r="T132" s="669">
        <f t="shared" ref="T132" si="45">C132+(U132*7)-1</f>
        <v>46547</v>
      </c>
      <c r="U132" s="670">
        <v>65</v>
      </c>
      <c r="V132" s="701">
        <f>N232-T132</f>
        <v>49</v>
      </c>
      <c r="W132" s="671">
        <f t="shared" ref="W132" si="46">IFERROR(T132+V132," ")</f>
        <v>46596</v>
      </c>
      <c r="X132" s="802" t="str">
        <f>VLOOKUP(Q132,Q191:Q383,1,0)</f>
        <v>São Pedro - PR</v>
      </c>
      <c r="Y132" s="1229" t="str">
        <f t="shared" si="32"/>
        <v>Pluma 1 - PR101126</v>
      </c>
      <c r="Z132" s="818">
        <f>SUMIF($Y$114:$Y$314,Y132,$S$114:$S$1288)</f>
        <v>101000</v>
      </c>
      <c r="AA132" s="818"/>
      <c r="AC132" s="1313" t="str">
        <f t="shared" si="34"/>
        <v>São Pedro - PR</v>
      </c>
      <c r="AD132" s="1314">
        <f t="shared" si="41"/>
        <v>46093</v>
      </c>
      <c r="AE132" s="1314">
        <f t="shared" si="42"/>
        <v>46240</v>
      </c>
      <c r="AF132" s="1314">
        <f t="shared" si="43"/>
        <v>46547</v>
      </c>
      <c r="AG132" s="1315" t="str">
        <f t="shared" si="21"/>
        <v>500 SLOW - MX</v>
      </c>
      <c r="AH132" s="1315" t="str">
        <f t="shared" si="22"/>
        <v>COBB</v>
      </c>
      <c r="AI132" s="1319"/>
      <c r="AJ132" s="818"/>
    </row>
    <row r="133" spans="1:36">
      <c r="A133" s="640" t="s">
        <v>17</v>
      </c>
      <c r="B133" s="641">
        <f>N70+K70</f>
        <v>46099</v>
      </c>
      <c r="C133" s="642">
        <v>46100</v>
      </c>
      <c r="D133" s="724">
        <v>101326</v>
      </c>
      <c r="E133" s="643">
        <f t="shared" ca="1" si="27"/>
        <v>27.714285714285715</v>
      </c>
      <c r="F133" s="643" t="str">
        <f>IFERROR(VLOOKUP(G133,Recria[[Granja Recria]:[Emp+CC]],4,0),"")</f>
        <v>128_1367</v>
      </c>
      <c r="G133" s="644" t="s">
        <v>36</v>
      </c>
      <c r="H133" s="645" t="str">
        <f>IFERROR(VLOOKUP(G133,Recria[[Granja Recria]:[Núcleo]],2,0),"")</f>
        <v>(N1)</v>
      </c>
      <c r="I133" s="646">
        <v>60000</v>
      </c>
      <c r="J133" s="640" t="s">
        <v>60</v>
      </c>
      <c r="K133" s="640">
        <v>36</v>
      </c>
      <c r="L133" s="803" t="str">
        <f>VLOOKUP(M133,Raca_Linhagem[],2,0)</f>
        <v>COBB</v>
      </c>
      <c r="M133" s="803" t="s">
        <v>21</v>
      </c>
      <c r="N133" s="647">
        <f t="shared" si="29"/>
        <v>46247</v>
      </c>
      <c r="O133" s="692">
        <v>135526</v>
      </c>
      <c r="P133" s="648" t="str">
        <f>IFERROR(VLOOKUP(Q133,Producao[[Granja Produção]:[Emp+CC]],4,0),"")</f>
        <v>10_329</v>
      </c>
      <c r="Q133" s="1033" t="s">
        <v>50</v>
      </c>
      <c r="R133" s="640" t="str">
        <f>IFERROR(VLOOKUP(Q133,Producao[[Granja Produção]:[Núcleo]],2,0),"")</f>
        <v>(N1)</v>
      </c>
      <c r="S133" s="650">
        <v>57000</v>
      </c>
      <c r="T133" s="669">
        <f t="shared" si="28"/>
        <v>46568</v>
      </c>
      <c r="U133" s="670">
        <v>67</v>
      </c>
      <c r="V133" s="701">
        <f>N238-T133</f>
        <v>49</v>
      </c>
      <c r="W133" s="671">
        <f t="shared" si="33"/>
        <v>46617</v>
      </c>
      <c r="X133" s="802" t="str">
        <f>VLOOKUP(Q133,Q196:Q384,1,0)</f>
        <v>Rossi 1 - PR</v>
      </c>
      <c r="Y133" s="1229" t="str">
        <f t="shared" si="32"/>
        <v>Alto da Serra - PR101326</v>
      </c>
      <c r="Z133" s="818">
        <f>SUMIF($Y$114:$Y$314,Y133,$S$114:$S$1288)</f>
        <v>57000</v>
      </c>
      <c r="AA133" s="818"/>
      <c r="AC133" s="1313" t="str">
        <f t="shared" si="34"/>
        <v>Rossi 1 - PR</v>
      </c>
      <c r="AD133" s="1314">
        <f t="shared" si="41"/>
        <v>46100</v>
      </c>
      <c r="AE133" s="1314">
        <f t="shared" si="42"/>
        <v>46247</v>
      </c>
      <c r="AF133" s="1314">
        <f t="shared" si="43"/>
        <v>46568</v>
      </c>
      <c r="AG133" s="1315" t="str">
        <f t="shared" si="21"/>
        <v>500 SLOW - MALE</v>
      </c>
      <c r="AH133" s="1315" t="str">
        <f t="shared" si="22"/>
        <v>COBB</v>
      </c>
      <c r="AI133" s="1319"/>
      <c r="AJ133" s="818"/>
    </row>
    <row r="134" spans="1:36">
      <c r="A134" s="640" t="s">
        <v>17</v>
      </c>
      <c r="B134" s="641">
        <f>N81+K81</f>
        <v>46101</v>
      </c>
      <c r="C134" s="642">
        <v>46100</v>
      </c>
      <c r="D134" s="724">
        <v>101426</v>
      </c>
      <c r="E134" s="643">
        <f t="shared" ca="1" si="27"/>
        <v>27.714285714285715</v>
      </c>
      <c r="F134" s="643" t="str">
        <f>IFERROR(VLOOKUP(G134,Recria[[Granja Recria]:[Emp+CC]],4,0),"")</f>
        <v>10_328</v>
      </c>
      <c r="G134" s="725" t="s">
        <v>44</v>
      </c>
      <c r="H134" s="726" t="str">
        <f>IFERROR(VLOOKUP(G134,Recria[[Granja Recria]:[Núcleo]],2,0),"")</f>
        <v>(N3)</v>
      </c>
      <c r="I134" s="646">
        <v>38000</v>
      </c>
      <c r="J134" s="640" t="s">
        <v>45</v>
      </c>
      <c r="K134" s="640">
        <v>63</v>
      </c>
      <c r="L134" s="803" t="str">
        <f>VLOOKUP(M134,Raca_Linhagem[],2,0)</f>
        <v>COBB</v>
      </c>
      <c r="M134" s="638" t="s">
        <v>235</v>
      </c>
      <c r="N134" s="647">
        <f t="shared" si="29"/>
        <v>46247</v>
      </c>
      <c r="O134" s="692">
        <v>135326</v>
      </c>
      <c r="P134" s="648" t="str">
        <f>IFERROR(VLOOKUP(Q134,Producao[[Granja Produção]:[Emp+CC]],4,0),"")</f>
        <v>11_150</v>
      </c>
      <c r="Q134" s="1260" t="s">
        <v>54</v>
      </c>
      <c r="R134" s="648" t="str">
        <f>IFERROR(VLOOKUP(Q134,Producao[[Granja Produção]:[Núcleo]],2,0),"")</f>
        <v>(N1)</v>
      </c>
      <c r="S134" s="650">
        <v>38744</v>
      </c>
      <c r="T134" s="669">
        <f t="shared" si="28"/>
        <v>46561</v>
      </c>
      <c r="U134" s="670">
        <v>66</v>
      </c>
      <c r="V134" s="701">
        <f>N239-T134</f>
        <v>56</v>
      </c>
      <c r="W134" s="671">
        <f t="shared" si="33"/>
        <v>46617</v>
      </c>
      <c r="X134" s="802" t="str">
        <f>VLOOKUP(Q134,Q195:Q385,1,0)</f>
        <v>São Roque - PR</v>
      </c>
      <c r="Y134" s="1229" t="str">
        <f t="shared" si="32"/>
        <v>Santa Tereza 3 - PR101426</v>
      </c>
      <c r="Z134" s="818">
        <f>SUMIF($Y$114:$Y$314,Y134,$S$114:$S$1288)</f>
        <v>38744</v>
      </c>
      <c r="AA134" s="818"/>
      <c r="AC134" s="1313" t="str">
        <f t="shared" si="34"/>
        <v>São Roque - PR</v>
      </c>
      <c r="AD134" s="1314">
        <f t="shared" si="41"/>
        <v>46100</v>
      </c>
      <c r="AE134" s="1314">
        <f t="shared" si="42"/>
        <v>46247</v>
      </c>
      <c r="AF134" s="1314">
        <f t="shared" si="43"/>
        <v>46561</v>
      </c>
      <c r="AG134" s="1315" t="str">
        <f t="shared" si="21"/>
        <v>CDP4 SF - MX</v>
      </c>
      <c r="AH134" s="1315" t="str">
        <f t="shared" si="22"/>
        <v>COBB</v>
      </c>
      <c r="AI134" s="1319"/>
      <c r="AJ134" s="818"/>
    </row>
    <row r="135" spans="1:36">
      <c r="A135" s="640" t="s">
        <v>17</v>
      </c>
      <c r="B135" s="742">
        <f>N80+K80</f>
        <v>46112</v>
      </c>
      <c r="C135" s="656">
        <v>46107</v>
      </c>
      <c r="D135" s="1054">
        <v>101526</v>
      </c>
      <c r="E135" s="657">
        <f t="shared" ca="1" si="27"/>
        <v>26.714285714285715</v>
      </c>
      <c r="F135" s="657" t="str">
        <f>IFERROR(VLOOKUP(G135,Recria[[Granja Recria]:[Emp+CC]],4,0),"")</f>
        <v>10_1940</v>
      </c>
      <c r="G135" s="725" t="s">
        <v>187</v>
      </c>
      <c r="H135" s="726" t="str">
        <f>IFERROR(VLOOKUP(G135,Recria[[Granja Recria]:[Núcleo]],2,0),"")</f>
        <v>(N1)</v>
      </c>
      <c r="I135" s="743">
        <v>60000</v>
      </c>
      <c r="J135" s="655" t="s">
        <v>45</v>
      </c>
      <c r="K135" s="655">
        <v>55</v>
      </c>
      <c r="L135" s="807" t="str">
        <f>VLOOKUP(M135,Raca_Linhagem[],2,0)</f>
        <v>ROSS</v>
      </c>
      <c r="M135" s="804" t="s">
        <v>26</v>
      </c>
      <c r="N135" s="714">
        <f t="shared" si="29"/>
        <v>46254</v>
      </c>
      <c r="O135" s="715">
        <v>135426</v>
      </c>
      <c r="P135" s="716" t="str">
        <f>IFERROR(VLOOKUP(Q135,Producao[[Granja Produção]:[Emp+CC]],4,0),"")</f>
        <v>10_2383</v>
      </c>
      <c r="Q135" s="717" t="s">
        <v>236</v>
      </c>
      <c r="R135" s="718" t="str">
        <f>IFERROR(VLOOKUP(Q135,Producao[[Granja Produção]:[Núcleo]],2,0),"")</f>
        <v>(N3)</v>
      </c>
      <c r="S135" s="719">
        <v>57000</v>
      </c>
      <c r="T135" s="720">
        <f t="shared" si="28"/>
        <v>46568</v>
      </c>
      <c r="U135" s="721">
        <v>66</v>
      </c>
      <c r="V135" s="722">
        <f>N241-T135</f>
        <v>61</v>
      </c>
      <c r="W135" s="723">
        <f t="shared" si="33"/>
        <v>46629</v>
      </c>
      <c r="X135" s="802" t="str">
        <f>VLOOKUP(Q135,Q199:Q386,1,0)</f>
        <v>Aliança Prod. 2 - PR</v>
      </c>
      <c r="Y135" s="1229" t="str">
        <f t="shared" si="32"/>
        <v>Aliança - PR101526</v>
      </c>
      <c r="Z135" s="818">
        <f>SUMIF($Y$114:$Y$314,Y135,$S$114:$S$1288)</f>
        <v>57000</v>
      </c>
      <c r="AA135" s="818"/>
      <c r="AC135" s="1313" t="str">
        <f t="shared" si="34"/>
        <v>Aliança Prod. 2 - PR</v>
      </c>
      <c r="AD135" s="1314">
        <f t="shared" si="41"/>
        <v>46107</v>
      </c>
      <c r="AE135" s="1314">
        <f t="shared" si="42"/>
        <v>46254</v>
      </c>
      <c r="AF135" s="1314">
        <f t="shared" si="43"/>
        <v>46568</v>
      </c>
      <c r="AG135" s="1315" t="str">
        <f t="shared" si="21"/>
        <v>AP95 - 344</v>
      </c>
      <c r="AH135" s="1315" t="str">
        <f t="shared" si="22"/>
        <v>ROSS</v>
      </c>
      <c r="AJ135" s="818"/>
    </row>
    <row r="136" spans="1:36">
      <c r="A136" s="655" t="s">
        <v>17</v>
      </c>
      <c r="B136" s="742">
        <f>N72+K72</f>
        <v>46115</v>
      </c>
      <c r="C136" s="656">
        <v>46114</v>
      </c>
      <c r="D136" s="1054">
        <v>101626</v>
      </c>
      <c r="E136" s="657">
        <f t="shared" ca="1" si="27"/>
        <v>25.714285714285715</v>
      </c>
      <c r="F136" s="657" t="str">
        <f>IFERROR(VLOOKUP(G136,Recria[[Granja Recria]:[Emp+CC]],4,0),"")</f>
        <v>10_857</v>
      </c>
      <c r="G136" s="725" t="s">
        <v>47</v>
      </c>
      <c r="H136" s="726" t="str">
        <f>IFERROR(VLOOKUP(G136,Recria[[Granja Recria]:[Núcleo]],2,0),"")</f>
        <v>(N2)</v>
      </c>
      <c r="I136" s="743">
        <v>61000</v>
      </c>
      <c r="J136" s="655" t="s">
        <v>60</v>
      </c>
      <c r="K136" s="655">
        <v>29</v>
      </c>
      <c r="L136" s="806" t="str">
        <f>VLOOKUP(M136,Raca_Linhagem[],2,0)</f>
        <v>COBB</v>
      </c>
      <c r="M136" s="806" t="s">
        <v>37</v>
      </c>
      <c r="N136" s="647">
        <f t="shared" si="29"/>
        <v>46261</v>
      </c>
      <c r="O136" s="692">
        <v>135826</v>
      </c>
      <c r="P136" s="648" t="str">
        <f>IFERROR(VLOOKUP(Q136,Producao[[Granja Produção]:[Emp+CC]],4,0),"")</f>
        <v>10_860</v>
      </c>
      <c r="Q136" s="1260" t="s">
        <v>57</v>
      </c>
      <c r="R136" s="648" t="str">
        <f>IFERROR(VLOOKUP(Q136,Producao[[Granja Produção]:[Núcleo]],2,0),"")</f>
        <v>(N1)</v>
      </c>
      <c r="S136" s="650">
        <v>58000</v>
      </c>
      <c r="T136" s="669">
        <f t="shared" si="28"/>
        <v>46575</v>
      </c>
      <c r="U136" s="670">
        <v>66</v>
      </c>
      <c r="V136" s="701">
        <f>N240-T136</f>
        <v>42</v>
      </c>
      <c r="W136" s="671">
        <f t="shared" si="33"/>
        <v>46617</v>
      </c>
      <c r="X136" s="802" t="str">
        <f>VLOOKUP(Q136,Q200:Q387,1,0)</f>
        <v>Canguçu 1 - PR</v>
      </c>
      <c r="Y136" s="1229" t="str">
        <f t="shared" si="32"/>
        <v>Viganó 2 - PR101626</v>
      </c>
      <c r="Z136" s="818">
        <f>SUMIF($Y$114:$Y$314,Y136,$S$114:$S$1288)</f>
        <v>58000</v>
      </c>
      <c r="AA136" s="818"/>
      <c r="AC136" s="1313" t="str">
        <f t="shared" si="34"/>
        <v>Canguçu 1 - PR</v>
      </c>
      <c r="AD136" s="1314">
        <f t="shared" si="41"/>
        <v>46114</v>
      </c>
      <c r="AE136" s="1314">
        <f t="shared" si="42"/>
        <v>46261</v>
      </c>
      <c r="AF136" s="1314">
        <f t="shared" si="43"/>
        <v>46575</v>
      </c>
      <c r="AG136" s="1315" t="str">
        <f t="shared" si="21"/>
        <v>500 SLOW - MALE JBS</v>
      </c>
      <c r="AH136" s="1315" t="str">
        <f t="shared" si="22"/>
        <v>COBB</v>
      </c>
      <c r="AJ136" s="818"/>
    </row>
    <row r="137" spans="1:36">
      <c r="A137" s="655" t="s">
        <v>17</v>
      </c>
      <c r="B137" s="742">
        <f>N69+K69</f>
        <v>46116</v>
      </c>
      <c r="C137" s="656">
        <v>46114</v>
      </c>
      <c r="D137" s="1054">
        <v>101226</v>
      </c>
      <c r="E137" s="657">
        <f t="shared" ca="1" si="27"/>
        <v>25.714285714285715</v>
      </c>
      <c r="F137" s="657" t="str">
        <f>IFERROR(VLOOKUP(G137,Recria[[Granja Recria]:[Emp+CC]],4,0),"")</f>
        <v>117_139</v>
      </c>
      <c r="G137" s="725" t="s">
        <v>30</v>
      </c>
      <c r="H137" s="726" t="str">
        <f>IFERROR(VLOOKUP(G137,Recria[[Granja Recria]:[Núcleo]],2,0),"")</f>
        <v>(N4)</v>
      </c>
      <c r="I137" s="743">
        <v>42000</v>
      </c>
      <c r="J137" s="655" t="s">
        <v>60</v>
      </c>
      <c r="K137" s="655">
        <v>19</v>
      </c>
      <c r="L137" s="806" t="str">
        <f>VLOOKUP(M137,Raca_Linhagem[],2,0)</f>
        <v>COBB</v>
      </c>
      <c r="M137" s="806" t="s">
        <v>37</v>
      </c>
      <c r="N137" s="647">
        <f t="shared" si="29"/>
        <v>46261</v>
      </c>
      <c r="O137" s="692">
        <v>136226</v>
      </c>
      <c r="P137" s="648" t="str">
        <f>IFERROR(VLOOKUP(Q137,Producao[[Granja Produção]:[Emp+CC]],4,0),"")</f>
        <v>84_159</v>
      </c>
      <c r="Q137" s="1260" t="s">
        <v>73</v>
      </c>
      <c r="R137" s="648" t="str">
        <f>IFERROR(VLOOKUP(Q137,Producao[[Granja Produção]:[Núcleo]],2,0),"")</f>
        <v>(N1)</v>
      </c>
      <c r="S137" s="650">
        <v>28000</v>
      </c>
      <c r="T137" s="669">
        <f t="shared" si="28"/>
        <v>46596</v>
      </c>
      <c r="U137" s="670">
        <v>69</v>
      </c>
      <c r="V137" s="701">
        <f>N246-T137</f>
        <v>48</v>
      </c>
      <c r="W137" s="671">
        <f t="shared" si="33"/>
        <v>46644</v>
      </c>
      <c r="X137" s="802" t="str">
        <f>VLOOKUP(Q137,Q200:Q389,1,0)</f>
        <v>Faxinal 1 - SC</v>
      </c>
      <c r="Y137" s="1229" t="str">
        <f t="shared" si="32"/>
        <v>Bom S. Rec. 1 - PR101226</v>
      </c>
      <c r="Z137" s="818">
        <f>SUMIF($Y$114:$Y$314,Y137,$S$114:$S$1288)</f>
        <v>36000</v>
      </c>
      <c r="AA137" s="818"/>
      <c r="AC137" s="1313" t="str">
        <f t="shared" si="34"/>
        <v>Faxinal 1 - SC</v>
      </c>
      <c r="AD137" s="1314">
        <f t="shared" si="41"/>
        <v>46114</v>
      </c>
      <c r="AE137" s="1314">
        <f t="shared" si="42"/>
        <v>46261</v>
      </c>
      <c r="AF137" s="1314">
        <f t="shared" si="43"/>
        <v>46596</v>
      </c>
      <c r="AG137" s="1315" t="str">
        <f t="shared" si="21"/>
        <v>500 SLOW - MALE JBS</v>
      </c>
      <c r="AH137" s="1315" t="str">
        <f t="shared" si="22"/>
        <v>COBB</v>
      </c>
      <c r="AJ137" s="818"/>
    </row>
    <row r="138" spans="1:36">
      <c r="A138" s="655" t="s">
        <v>17</v>
      </c>
      <c r="B138" s="742">
        <f>N69+K69</f>
        <v>46116</v>
      </c>
      <c r="C138" s="656">
        <v>46114</v>
      </c>
      <c r="D138" s="1054">
        <v>101226</v>
      </c>
      <c r="E138" s="657">
        <f t="shared" ref="E138" ca="1" si="47">IF((TODAY()-C138)/7&gt;U138,U138,(TODAY()-C138)/7)</f>
        <v>25.714285714285715</v>
      </c>
      <c r="F138" s="657" t="str">
        <f>IFERROR(VLOOKUP(G138,Recria[[Granja Recria]:[Emp+CC]],4,0),"")</f>
        <v>117_139</v>
      </c>
      <c r="G138" s="725" t="s">
        <v>30</v>
      </c>
      <c r="H138" s="726" t="str">
        <f>IFERROR(VLOOKUP(G138,Recria[[Granja Recria]:[Núcleo]],2,0),"")</f>
        <v>(N4)</v>
      </c>
      <c r="I138" s="743"/>
      <c r="J138" s="655" t="s">
        <v>60</v>
      </c>
      <c r="K138" s="655">
        <v>19</v>
      </c>
      <c r="L138" s="806" t="str">
        <f>VLOOKUP(M138,Raca_Linhagem[],2,0)</f>
        <v>COBB</v>
      </c>
      <c r="M138" s="806" t="s">
        <v>37</v>
      </c>
      <c r="N138" s="647">
        <f t="shared" ref="N138" si="48">C138+(22*7)-7</f>
        <v>46261</v>
      </c>
      <c r="O138" s="692"/>
      <c r="P138" s="648" t="str">
        <f>IFERROR(VLOOKUP(Q138,Producao[[Granja Produção]:[Emp+CC]],4,0),"")</f>
        <v>130_451</v>
      </c>
      <c r="Q138" s="1260" t="s">
        <v>65</v>
      </c>
      <c r="R138" s="648" t="str">
        <f>IFERROR(VLOOKUP(Q138,Producao[[Granja Produção]:[Núcleo]],2,0),"")</f>
        <v>(N1)</v>
      </c>
      <c r="S138" s="650">
        <v>8000</v>
      </c>
      <c r="T138" s="1058">
        <f t="shared" ref="T138" si="49">C138+(U138*7)-1</f>
        <v>46582</v>
      </c>
      <c r="U138" s="1059">
        <v>67</v>
      </c>
      <c r="V138" s="1060"/>
      <c r="W138" s="1061">
        <f t="shared" ref="W138" si="50">IFERROR(T138+V138," ")</f>
        <v>46582</v>
      </c>
      <c r="X138" s="1298" t="e">
        <f>VLOOKUP(Q138,Q201:Q390,1,0)</f>
        <v>#N/A</v>
      </c>
      <c r="Y138" s="1229" t="str">
        <f t="shared" si="32"/>
        <v>Bom S. Rec. 1 - PR101226</v>
      </c>
      <c r="Z138" s="818">
        <f>SUMIF($Y$114:$Y$314,Y138,$S$114:$S$1288)</f>
        <v>36000</v>
      </c>
      <c r="AA138" s="818"/>
      <c r="AC138" s="1313" t="str">
        <f t="shared" si="34"/>
        <v>Brodoski - SP</v>
      </c>
      <c r="AD138" s="1314">
        <f t="shared" si="41"/>
        <v>46114</v>
      </c>
      <c r="AE138" s="1314">
        <f t="shared" si="42"/>
        <v>46261</v>
      </c>
      <c r="AF138" s="1314">
        <f t="shared" si="43"/>
        <v>46582</v>
      </c>
      <c r="AG138" s="1315" t="str">
        <f t="shared" si="21"/>
        <v>500 SLOW - MALE JBS</v>
      </c>
      <c r="AH138" s="1315" t="str">
        <f t="shared" si="22"/>
        <v>COBB</v>
      </c>
      <c r="AJ138" s="818"/>
    </row>
    <row r="139" spans="1:36">
      <c r="A139" s="655" t="s">
        <v>17</v>
      </c>
      <c r="B139" s="742">
        <f>N75+K75</f>
        <v>46119</v>
      </c>
      <c r="C139" s="656">
        <v>46121</v>
      </c>
      <c r="D139" s="1054">
        <v>101926</v>
      </c>
      <c r="E139" s="657">
        <f t="shared" ca="1" si="27"/>
        <v>24.714285714285715</v>
      </c>
      <c r="F139" s="657" t="str">
        <f>IFERROR(VLOOKUP(G139,Recria[[Granja Recria]:[Emp+CC]],4,0),"")</f>
        <v>139_49</v>
      </c>
      <c r="G139" s="725" t="s">
        <v>59</v>
      </c>
      <c r="H139" s="726" t="str">
        <f>IFERROR(VLOOKUP(G139,Recria[[Granja Recria]:[Núcleo]],2,0),"")</f>
        <v>(N1)</v>
      </c>
      <c r="I139" s="743">
        <v>60000</v>
      </c>
      <c r="J139" s="655" t="s">
        <v>60</v>
      </c>
      <c r="K139" s="655">
        <v>35</v>
      </c>
      <c r="L139" s="803" t="str">
        <f>VLOOKUP(M139,Raca_Linhagem[],2,0)</f>
        <v>COBB</v>
      </c>
      <c r="M139" s="803" t="s">
        <v>21</v>
      </c>
      <c r="N139" s="647">
        <f t="shared" si="29"/>
        <v>46268</v>
      </c>
      <c r="O139" s="692">
        <v>135626</v>
      </c>
      <c r="P139" s="648" t="str">
        <f>IFERROR(VLOOKUP(Q139,Producao[[Granja Produção]:[Emp+CC]],4,0),"")</f>
        <v>10_31</v>
      </c>
      <c r="Q139" s="1260" t="s">
        <v>237</v>
      </c>
      <c r="R139" s="648" t="str">
        <f>IFERROR(VLOOKUP(Q139,Producao[[Granja Produção]:[Núcleo]],2,0),"")</f>
        <v>(N1)</v>
      </c>
      <c r="S139" s="650">
        <v>15000</v>
      </c>
      <c r="T139" s="669">
        <f t="shared" si="28"/>
        <v>46582</v>
      </c>
      <c r="U139" s="670">
        <v>66</v>
      </c>
      <c r="V139" s="701">
        <f>N243-T139</f>
        <v>42</v>
      </c>
      <c r="W139" s="671">
        <f t="shared" si="33"/>
        <v>46624</v>
      </c>
      <c r="X139" s="802" t="str">
        <f>VLOOKUP(Q139,Q206:Q390,1,0)</f>
        <v>Jairo Guzzo - PR</v>
      </c>
      <c r="Y139" s="1229" t="str">
        <f t="shared" si="32"/>
        <v>Esperança 1  - PR101926</v>
      </c>
      <c r="Z139" s="818">
        <f>SUMIF($Y$114:$Y$314,Y139,$S$114:$S$1288)</f>
        <v>57000</v>
      </c>
      <c r="AA139" s="818"/>
      <c r="AC139" s="1313" t="str">
        <f t="shared" si="34"/>
        <v>Jairo Guzzo - PR</v>
      </c>
      <c r="AD139" s="1314">
        <f t="shared" si="41"/>
        <v>46121</v>
      </c>
      <c r="AE139" s="1314">
        <f t="shared" si="42"/>
        <v>46268</v>
      </c>
      <c r="AF139" s="1314">
        <f t="shared" si="43"/>
        <v>46582</v>
      </c>
      <c r="AG139" s="1315" t="str">
        <f t="shared" si="21"/>
        <v>500 SLOW - MALE</v>
      </c>
      <c r="AH139" s="1315" t="str">
        <f t="shared" si="22"/>
        <v>COBB</v>
      </c>
      <c r="AJ139" s="818"/>
    </row>
    <row r="140" spans="1:36">
      <c r="A140" s="655" t="s">
        <v>17</v>
      </c>
      <c r="B140" s="742">
        <f>N75+K75</f>
        <v>46119</v>
      </c>
      <c r="C140" s="656">
        <v>46121</v>
      </c>
      <c r="D140" s="1054">
        <v>101926</v>
      </c>
      <c r="E140" s="657">
        <f t="shared" ref="E140" ca="1" si="51">IF((TODAY()-C140)/7&gt;U140,U140,(TODAY()-C140)/7)</f>
        <v>24.714285714285715</v>
      </c>
      <c r="F140" s="657" t="str">
        <f>IFERROR(VLOOKUP(G140,Recria[[Granja Recria]:[Emp+CC]],4,0),"")</f>
        <v>139_49</v>
      </c>
      <c r="G140" s="725" t="s">
        <v>59</v>
      </c>
      <c r="H140" s="726" t="str">
        <f>IFERROR(VLOOKUP(G140,Recria[[Granja Recria]:[Núcleo]],2,0),"")</f>
        <v>(N1)</v>
      </c>
      <c r="I140" s="743"/>
      <c r="J140" s="655" t="s">
        <v>60</v>
      </c>
      <c r="K140" s="655">
        <v>35</v>
      </c>
      <c r="L140" s="803" t="str">
        <f>VLOOKUP(M140,Raca_Linhagem[],2,0)</f>
        <v>COBB</v>
      </c>
      <c r="M140" s="803" t="s">
        <v>21</v>
      </c>
      <c r="N140" s="647">
        <f t="shared" ref="N140" si="52">C140+(22*7)-7</f>
        <v>46268</v>
      </c>
      <c r="O140" s="692">
        <v>136126</v>
      </c>
      <c r="P140" s="648" t="str">
        <f>IFERROR(VLOOKUP(Q140,Producao[[Granja Produção]:[Emp+CC]],4,0),"")</f>
        <v>17_105</v>
      </c>
      <c r="Q140" s="1260" t="s">
        <v>85</v>
      </c>
      <c r="R140" s="648" t="str">
        <f>IFERROR(VLOOKUP(Q140,Producao[[Granja Produção]:[Núcleo]],2,0),"")</f>
        <v>(N2)</v>
      </c>
      <c r="S140" s="650">
        <v>42000</v>
      </c>
      <c r="T140" s="669">
        <f t="shared" ref="T140" si="53">C140+(U140*7)-1</f>
        <v>46582</v>
      </c>
      <c r="U140" s="670">
        <v>66</v>
      </c>
      <c r="V140" s="701">
        <f>N234-T140</f>
        <v>14</v>
      </c>
      <c r="W140" s="671">
        <f t="shared" ref="W140" si="54">IFERROR(T140+V140," ")</f>
        <v>46596</v>
      </c>
      <c r="X140" s="802" t="str">
        <f>VLOOKUP(Q140,Q207:Q391,1,0)</f>
        <v>Bela Vista 2 - PR</v>
      </c>
      <c r="Y140" s="1229" t="str">
        <f t="shared" ref="Y140" si="55">G140&amp;D140</f>
        <v>Esperança 1  - PR101926</v>
      </c>
      <c r="Z140" s="818">
        <f>SUMIF($Y$114:$Y$314,Y140,$S$114:$S$1288)</f>
        <v>57000</v>
      </c>
      <c r="AA140" s="818"/>
      <c r="AC140" s="1313" t="str">
        <f t="shared" si="34"/>
        <v>Bela Vista 2 - PR</v>
      </c>
      <c r="AD140" s="1314">
        <f t="shared" si="41"/>
        <v>46121</v>
      </c>
      <c r="AE140" s="1314">
        <f t="shared" si="42"/>
        <v>46268</v>
      </c>
      <c r="AF140" s="1314">
        <f t="shared" si="43"/>
        <v>46582</v>
      </c>
      <c r="AG140" s="1315" t="str">
        <f t="shared" si="21"/>
        <v>500 SLOW - MALE</v>
      </c>
      <c r="AH140" s="1315" t="str">
        <f t="shared" si="22"/>
        <v>COBB</v>
      </c>
      <c r="AJ140" s="818"/>
    </row>
    <row r="141" spans="1:36">
      <c r="A141" s="655" t="s">
        <v>17</v>
      </c>
      <c r="B141" s="742">
        <f>N86+K86</f>
        <v>46122</v>
      </c>
      <c r="C141" s="656">
        <v>46121</v>
      </c>
      <c r="D141" s="1054">
        <v>101726</v>
      </c>
      <c r="E141" s="657">
        <f t="shared" ca="1" si="27"/>
        <v>24.714285714285715</v>
      </c>
      <c r="F141" s="657" t="str">
        <f>IFERROR(VLOOKUP(G141,Recria[[Granja Recria]:[Emp+CC]],4,0),"")</f>
        <v>10_776</v>
      </c>
      <c r="G141" s="725" t="s">
        <v>89</v>
      </c>
      <c r="H141" s="726" t="str">
        <f>IFERROR(VLOOKUP(G141,Recria[[Granja Recria]:[Núcleo]],2,0),"")</f>
        <v>(N3)</v>
      </c>
      <c r="I141" s="743">
        <v>75000</v>
      </c>
      <c r="J141" s="655" t="s">
        <v>45</v>
      </c>
      <c r="K141" s="655">
        <v>50</v>
      </c>
      <c r="L141" s="804" t="str">
        <f>VLOOKUP(M141,Raca_Linhagem[],2,0)</f>
        <v>ROSS</v>
      </c>
      <c r="M141" s="804" t="s">
        <v>26</v>
      </c>
      <c r="N141" s="647">
        <f t="shared" si="29"/>
        <v>46268</v>
      </c>
      <c r="O141" s="692">
        <v>135926</v>
      </c>
      <c r="P141" s="648" t="str">
        <f>IFERROR(VLOOKUP(Q141,Producao[[Granja Produção]:[Emp+CC]],4,0),"")</f>
        <v>10_1027</v>
      </c>
      <c r="Q141" s="1260" t="s">
        <v>71</v>
      </c>
      <c r="R141" s="648" t="str">
        <f>IFERROR(VLOOKUP(Q141,Producao[[Granja Produção]:[Núcleo]],2,0),"")</f>
        <v>(N1)</v>
      </c>
      <c r="S141" s="650">
        <f>I141*0.955</f>
        <v>71625</v>
      </c>
      <c r="T141" s="669">
        <f t="shared" si="28"/>
        <v>46582</v>
      </c>
      <c r="U141" s="670">
        <v>66</v>
      </c>
      <c r="V141" s="701">
        <f>N245-T141</f>
        <v>55</v>
      </c>
      <c r="W141" s="671">
        <f t="shared" si="33"/>
        <v>46637</v>
      </c>
      <c r="X141" s="802" t="str">
        <f>VLOOKUP(Q141,Q208:Q391,1,0)</f>
        <v>Bragapolis - PR</v>
      </c>
      <c r="Y141" s="1229" t="str">
        <f t="shared" si="32"/>
        <v>Panorama 3 - PR101726</v>
      </c>
      <c r="Z141" s="818">
        <f>SUMIF($Y$114:$Y$314,Y141,$S$114:$S$1288)</f>
        <v>71625</v>
      </c>
      <c r="AA141" s="818"/>
      <c r="AC141" s="1313" t="str">
        <f t="shared" si="34"/>
        <v>Bragapolis - PR</v>
      </c>
      <c r="AD141" s="1314">
        <f t="shared" si="41"/>
        <v>46121</v>
      </c>
      <c r="AE141" s="1314">
        <f t="shared" si="42"/>
        <v>46268</v>
      </c>
      <c r="AF141" s="1314">
        <f t="shared" si="43"/>
        <v>46582</v>
      </c>
      <c r="AG141" s="1315" t="str">
        <f t="shared" si="21"/>
        <v>AP95 - 344</v>
      </c>
      <c r="AH141" s="1315" t="str">
        <f t="shared" si="22"/>
        <v>ROSS</v>
      </c>
      <c r="AJ141" s="818"/>
    </row>
    <row r="142" spans="1:36">
      <c r="A142" s="655" t="s">
        <v>17</v>
      </c>
      <c r="B142" s="742">
        <f>N83+K83</f>
        <v>46134</v>
      </c>
      <c r="C142" s="656">
        <v>46135</v>
      </c>
      <c r="D142" s="1054">
        <v>102026</v>
      </c>
      <c r="E142" s="657">
        <f t="shared" ca="1" si="27"/>
        <v>22.714285714285715</v>
      </c>
      <c r="F142" s="657" t="str">
        <f>IFERROR(VLOOKUP(G142,Recria[[Granja Recria]:[Emp+CC]],4,0),"")</f>
        <v>112_16</v>
      </c>
      <c r="G142" s="725" t="s">
        <v>79</v>
      </c>
      <c r="H142" s="726" t="str">
        <f>IFERROR(VLOOKUP(G142,Recria[[Granja Recria]:[Núcleo]],2,0),"")</f>
        <v>(N3)</v>
      </c>
      <c r="I142" s="743">
        <v>60000</v>
      </c>
      <c r="J142" s="655" t="s">
        <v>60</v>
      </c>
      <c r="K142" s="655">
        <v>22</v>
      </c>
      <c r="L142" s="803" t="str">
        <f>VLOOKUP(M142,Raca_Linhagem[],2,0)</f>
        <v>COBB</v>
      </c>
      <c r="M142" s="803" t="s">
        <v>232</v>
      </c>
      <c r="N142" s="703">
        <f t="shared" si="29"/>
        <v>46282</v>
      </c>
      <c r="O142" s="704">
        <v>136326</v>
      </c>
      <c r="P142" s="1126" t="str">
        <f>IFERROR(VLOOKUP(Q142,Producao[[Granja Produção]:[Emp+CC]],4,0),"")</f>
        <v>10_1296</v>
      </c>
      <c r="Q142" s="1299" t="s">
        <v>81</v>
      </c>
      <c r="R142" s="705" t="str">
        <f>IFERROR(VLOOKUP(Q142,Producao[[Granja Produção]:[Núcleo]],2,0),"")</f>
        <v>(N2)</v>
      </c>
      <c r="S142" s="1069">
        <v>57000</v>
      </c>
      <c r="T142" s="669">
        <f t="shared" si="28"/>
        <v>46582</v>
      </c>
      <c r="U142" s="670">
        <v>64</v>
      </c>
      <c r="V142" s="701">
        <f>N242-T142</f>
        <v>44</v>
      </c>
      <c r="W142" s="671">
        <f t="shared" si="33"/>
        <v>46626</v>
      </c>
      <c r="X142" s="802" t="str">
        <f>VLOOKUP(Q142,Q213:Q396,1,0)</f>
        <v>Canguçu 2 - PR</v>
      </c>
      <c r="Y142" s="1229" t="str">
        <f t="shared" si="32"/>
        <v>Pluma 3 - PR102026</v>
      </c>
      <c r="Z142" s="818">
        <f>SUMIF($Y$114:$Y$314,Y142,$S$114:$S$1288)</f>
        <v>57000</v>
      </c>
      <c r="AA142" s="818"/>
      <c r="AC142" s="1313" t="str">
        <f t="shared" si="34"/>
        <v>Canguçu 2 - PR</v>
      </c>
      <c r="AD142" s="1314">
        <f t="shared" si="41"/>
        <v>46135</v>
      </c>
      <c r="AE142" s="1314">
        <f t="shared" si="42"/>
        <v>46282</v>
      </c>
      <c r="AF142" s="1314">
        <f t="shared" si="43"/>
        <v>46582</v>
      </c>
      <c r="AG142" s="1315" t="str">
        <f t="shared" si="21"/>
        <v>800 SLOW - MX</v>
      </c>
      <c r="AH142" s="1315" t="str">
        <f t="shared" si="22"/>
        <v>COBB</v>
      </c>
      <c r="AJ142" s="818"/>
    </row>
    <row r="143" spans="1:36">
      <c r="A143" s="655" t="s">
        <v>17</v>
      </c>
      <c r="B143" s="742">
        <f>N91+K91</f>
        <v>46137</v>
      </c>
      <c r="C143" s="656">
        <v>46135</v>
      </c>
      <c r="D143" s="1054">
        <v>101826</v>
      </c>
      <c r="E143" s="657">
        <f t="shared" ca="1" si="27"/>
        <v>22.714285714285715</v>
      </c>
      <c r="F143" s="657" t="str">
        <f>IFERROR(VLOOKUP(G143,Recria[[Granja Recria]:[Emp+CC]],4,0),"")</f>
        <v>112_1939</v>
      </c>
      <c r="G143" s="725" t="s">
        <v>83</v>
      </c>
      <c r="H143" s="726" t="str">
        <f>IFERROR(VLOOKUP(G143,Recria[[Granja Recria]:[Núcleo]],2,0),"")</f>
        <v>(N4)</v>
      </c>
      <c r="I143" s="743">
        <v>42000</v>
      </c>
      <c r="J143" s="655" t="s">
        <v>45</v>
      </c>
      <c r="K143" s="655">
        <v>50</v>
      </c>
      <c r="L143" s="804" t="str">
        <f>VLOOKUP(M143,Raca_Linhagem[],2,0)</f>
        <v>ROSS</v>
      </c>
      <c r="M143" s="804" t="s">
        <v>26</v>
      </c>
      <c r="N143" s="714">
        <f t="shared" si="29"/>
        <v>46282</v>
      </c>
      <c r="O143" s="715">
        <v>134926</v>
      </c>
      <c r="P143" s="716" t="str">
        <f>IFERROR(VLOOKUP(Q143,Producao[[Granja Produção]:[Emp+CC]],4,0),"")</f>
        <v>116_2296</v>
      </c>
      <c r="Q143" s="717" t="s">
        <v>238</v>
      </c>
      <c r="R143" s="718" t="str">
        <f>IFERROR(VLOOKUP(Q143,Producao[[Granja Produção]:[Núcleo]],2,0),"")</f>
        <v>(N2)</v>
      </c>
      <c r="S143" s="719">
        <v>40000</v>
      </c>
      <c r="T143" s="720">
        <f t="shared" si="28"/>
        <v>46603</v>
      </c>
      <c r="U143" s="721">
        <v>67</v>
      </c>
      <c r="V143" s="722">
        <f>N249-T143</f>
        <v>44</v>
      </c>
      <c r="W143" s="723">
        <f t="shared" si="33"/>
        <v>46647</v>
      </c>
      <c r="X143" s="802" t="str">
        <f>VLOOKUP(Q143,Q211:Q393,1,0)</f>
        <v>Vora 2 - PR</v>
      </c>
      <c r="Y143" s="1229" t="str">
        <f t="shared" si="32"/>
        <v>Pluma 4 - PR101826</v>
      </c>
      <c r="Z143" s="818">
        <f>SUMIF($Y$114:$Y$314,Y143,$S$114:$S$1288)</f>
        <v>80000</v>
      </c>
      <c r="AA143" s="818"/>
      <c r="AC143" s="1313" t="str">
        <f t="shared" si="34"/>
        <v>Vora 2 - PR</v>
      </c>
      <c r="AD143" s="1314">
        <f t="shared" si="41"/>
        <v>46135</v>
      </c>
      <c r="AE143" s="1314">
        <f t="shared" si="42"/>
        <v>46282</v>
      </c>
      <c r="AF143" s="1314">
        <f t="shared" si="43"/>
        <v>46603</v>
      </c>
      <c r="AG143" s="1315" t="str">
        <f t="shared" ref="AG143:AG203" si="56">M143</f>
        <v>AP95 - 344</v>
      </c>
      <c r="AH143" s="1315" t="str">
        <f t="shared" ref="AH143:AH203" si="57">L143</f>
        <v>ROSS</v>
      </c>
      <c r="AJ143" s="818"/>
    </row>
    <row r="144" spans="1:36">
      <c r="A144" s="655" t="s">
        <v>17</v>
      </c>
      <c r="B144" s="742">
        <f>N92+K92</f>
        <v>46137</v>
      </c>
      <c r="C144" s="656">
        <v>46142</v>
      </c>
      <c r="D144" s="1054">
        <v>101826</v>
      </c>
      <c r="E144" s="657">
        <f t="shared" ca="1" si="27"/>
        <v>21.714285714285715</v>
      </c>
      <c r="F144" s="657" t="str">
        <f>IFERROR(VLOOKUP(G144,Recria[[Granja Recria]:[Emp+CC]],4,0),"")</f>
        <v>112_1939</v>
      </c>
      <c r="G144" s="725" t="s">
        <v>83</v>
      </c>
      <c r="H144" s="726" t="str">
        <f>IFERROR(VLOOKUP(G144,Recria[[Granja Recria]:[Núcleo]],2,0),"")</f>
        <v>(N4)</v>
      </c>
      <c r="I144" s="743">
        <v>42000</v>
      </c>
      <c r="J144" s="655" t="s">
        <v>45</v>
      </c>
      <c r="K144" s="655">
        <v>50</v>
      </c>
      <c r="L144" s="804" t="str">
        <f>VLOOKUP(M144,Raca_Linhagem[],2,0)</f>
        <v>ROSS</v>
      </c>
      <c r="M144" s="804" t="s">
        <v>26</v>
      </c>
      <c r="N144" s="714">
        <f t="shared" si="29"/>
        <v>46289</v>
      </c>
      <c r="O144" s="715">
        <v>134926</v>
      </c>
      <c r="P144" s="716" t="str">
        <f>IFERROR(VLOOKUP(Q144,Producao[[Granja Produção]:[Emp+CC]],4,0),"")</f>
        <v>116_2296</v>
      </c>
      <c r="Q144" s="717" t="s">
        <v>238</v>
      </c>
      <c r="R144" s="718" t="str">
        <f>IFERROR(VLOOKUP(Q144,Producao[[Granja Produção]:[Núcleo]],2,0),"")</f>
        <v>(N2)</v>
      </c>
      <c r="S144" s="719">
        <v>40000</v>
      </c>
      <c r="T144" s="720">
        <f t="shared" si="28"/>
        <v>46610</v>
      </c>
      <c r="U144" s="721">
        <v>67</v>
      </c>
      <c r="V144" s="722">
        <f>N249-T143</f>
        <v>44</v>
      </c>
      <c r="W144" s="723">
        <f t="shared" si="33"/>
        <v>46654</v>
      </c>
      <c r="X144" s="802" t="str">
        <f>VLOOKUP(Q144,Q211:Q394,1,0)</f>
        <v>Vora 2 - PR</v>
      </c>
      <c r="Y144" s="1229" t="str">
        <f t="shared" si="32"/>
        <v>Pluma 4 - PR101826</v>
      </c>
      <c r="Z144" s="818">
        <f>SUMIF($Y$114:$Y$314,Y144,$S$114:$S$1288)</f>
        <v>80000</v>
      </c>
      <c r="AA144" s="818"/>
      <c r="AC144" s="1313" t="str">
        <f t="shared" si="34"/>
        <v>Vora 2 - PR</v>
      </c>
      <c r="AD144" s="1314">
        <f t="shared" si="41"/>
        <v>46142</v>
      </c>
      <c r="AE144" s="1314">
        <f t="shared" si="42"/>
        <v>46289</v>
      </c>
      <c r="AF144" s="1314">
        <f t="shared" si="43"/>
        <v>46610</v>
      </c>
      <c r="AG144" s="1315" t="str">
        <f t="shared" si="56"/>
        <v>AP95 - 344</v>
      </c>
      <c r="AH144" s="1315" t="str">
        <f t="shared" si="57"/>
        <v>ROSS</v>
      </c>
      <c r="AJ144" s="818"/>
    </row>
    <row r="145" spans="1:36">
      <c r="A145" s="655" t="s">
        <v>17</v>
      </c>
      <c r="B145" s="742">
        <f>N90+K90</f>
        <v>46137</v>
      </c>
      <c r="C145" s="656">
        <v>46135</v>
      </c>
      <c r="D145" s="1054">
        <v>102226</v>
      </c>
      <c r="E145" s="657">
        <f ca="1">IF((TODAY()-C145)/7&gt;U145,U145,(TODAY()-C145)/7)</f>
        <v>22.714285714285715</v>
      </c>
      <c r="F145" s="657" t="str">
        <f>IFERROR(VLOOKUP(G145,Recria[[Granja Recria]:[Emp+CC]],4,0),"")</f>
        <v>10_1938</v>
      </c>
      <c r="G145" s="725" t="s">
        <v>75</v>
      </c>
      <c r="H145" s="726" t="str">
        <f>IFERROR(VLOOKUP(G145,Recria[[Granja Recria]:[Núcleo]],2,0),"")</f>
        <v>(N1)</v>
      </c>
      <c r="I145" s="743">
        <v>45000</v>
      </c>
      <c r="J145" s="655" t="s">
        <v>60</v>
      </c>
      <c r="K145" s="655">
        <v>41</v>
      </c>
      <c r="L145" s="806" t="str">
        <f>VLOOKUP(M145,Raca_Linhagem[],2,0)</f>
        <v>COBB</v>
      </c>
      <c r="M145" s="806" t="s">
        <v>37</v>
      </c>
      <c r="N145" s="703">
        <f>C145+(22*7)-7</f>
        <v>46282</v>
      </c>
      <c r="O145" s="704">
        <v>136426</v>
      </c>
      <c r="P145" s="1126" t="str">
        <f>IFERROR(VLOOKUP(Q145,Producao[[Granja Produção]:[Emp+CC]],4,0),"")</f>
        <v>10_1460</v>
      </c>
      <c r="Q145" s="1068" t="s">
        <v>92</v>
      </c>
      <c r="R145" s="705" t="str">
        <f>IFERROR(VLOOKUP(Q145,Producao[[Granja Produção]:[Núcleo]],2,0),"")</f>
        <v>(N3)</v>
      </c>
      <c r="S145" s="1069">
        <v>42000</v>
      </c>
      <c r="T145" s="669">
        <f>C145+(U145*7)-1</f>
        <v>46610</v>
      </c>
      <c r="U145" s="670">
        <v>68</v>
      </c>
      <c r="V145" s="701">
        <f>N251-T145</f>
        <v>43</v>
      </c>
      <c r="W145" s="671">
        <f>IFERROR(T145+V145," ")</f>
        <v>46653</v>
      </c>
      <c r="X145" s="802" t="str">
        <f>VLOOKUP(Q145,Q206:Q392,1,0)</f>
        <v>Iguaçu 2 - PR</v>
      </c>
      <c r="Y145" s="1229" t="str">
        <f>G145&amp;D145</f>
        <v>São Fco de Assis - PR102226</v>
      </c>
      <c r="Z145" s="818">
        <f>SUMIF($Y$114:$Y$314,Y145,$S$114:$S$1288)</f>
        <v>42000</v>
      </c>
      <c r="AA145" s="818"/>
      <c r="AC145" s="1313" t="str">
        <f t="shared" si="34"/>
        <v>Iguaçu 2 - PR</v>
      </c>
      <c r="AD145" s="1314">
        <f t="shared" si="41"/>
        <v>46135</v>
      </c>
      <c r="AE145" s="1314">
        <f t="shared" si="42"/>
        <v>46282</v>
      </c>
      <c r="AF145" s="1314">
        <f t="shared" si="43"/>
        <v>46610</v>
      </c>
      <c r="AG145" s="1315" t="str">
        <f t="shared" si="56"/>
        <v>500 SLOW - MALE JBS</v>
      </c>
      <c r="AH145" s="1315" t="str">
        <f t="shared" si="57"/>
        <v>COBB</v>
      </c>
      <c r="AJ145" s="818"/>
    </row>
    <row r="146" spans="1:36">
      <c r="A146" s="655" t="s">
        <v>17</v>
      </c>
      <c r="B146" s="742">
        <f>N97+K97</f>
        <v>46142</v>
      </c>
      <c r="C146" s="656">
        <v>46142</v>
      </c>
      <c r="D146" s="1054">
        <v>102126</v>
      </c>
      <c r="E146" s="657">
        <f t="shared" ref="E146:E169" ca="1" si="58">IF((TODAY()-C146)/7&gt;U146,U146,(TODAY()-C146)/7)</f>
        <v>21.714285714285715</v>
      </c>
      <c r="F146" s="657" t="str">
        <f>IFERROR(VLOOKUP(G146,Recria[[Granja Recria]:[Emp+CC]],4,0),"")</f>
        <v>10_369</v>
      </c>
      <c r="G146" s="725" t="s">
        <v>104</v>
      </c>
      <c r="H146" s="726" t="str">
        <f>IFERROR(VLOOKUP(G146,Recria[[Granja Recria]:[Núcleo]],2,0),"")</f>
        <v>(N2)</v>
      </c>
      <c r="I146" s="743">
        <v>66000</v>
      </c>
      <c r="J146" s="655" t="s">
        <v>45</v>
      </c>
      <c r="K146" s="655">
        <v>50</v>
      </c>
      <c r="L146" s="803" t="str">
        <f>VLOOKUP(M146,Raca_Linhagem[],2,0)</f>
        <v>COBB</v>
      </c>
      <c r="M146" s="803" t="s">
        <v>112</v>
      </c>
      <c r="N146" s="703">
        <f t="shared" si="29"/>
        <v>46289</v>
      </c>
      <c r="O146" s="704">
        <v>136426</v>
      </c>
      <c r="P146" s="1126" t="str">
        <f>IFERROR(VLOOKUP(Q146,Producao[[Granja Produção]:[Emp+CC]],4,0),"")</f>
        <v>10_1460</v>
      </c>
      <c r="Q146" s="1068" t="s">
        <v>92</v>
      </c>
      <c r="R146" s="705" t="str">
        <f>IFERROR(VLOOKUP(Q146,Producao[[Granja Produção]:[Núcleo]],2,0),"")</f>
        <v>(N3)</v>
      </c>
      <c r="S146" s="1069">
        <v>17000</v>
      </c>
      <c r="T146" s="669">
        <f t="shared" si="28"/>
        <v>46610</v>
      </c>
      <c r="U146" s="670">
        <v>67</v>
      </c>
      <c r="V146" s="701">
        <f>N249-T145</f>
        <v>37</v>
      </c>
      <c r="W146" s="671">
        <f t="shared" si="33"/>
        <v>46647</v>
      </c>
      <c r="X146" s="802" t="str">
        <f>VLOOKUP(Q146,Q214:Q397,1,0)</f>
        <v>Iguaçu 2 - PR</v>
      </c>
      <c r="Y146" s="1229" t="str">
        <f t="shared" si="32"/>
        <v>Panorama 2 - PR102126</v>
      </c>
      <c r="Z146" s="818">
        <f>SUMIF($Y$114:$Y$314,Y146,$S$114:$S$1288)</f>
        <v>62000</v>
      </c>
      <c r="AA146" s="818"/>
      <c r="AC146" s="1313" t="str">
        <f t="shared" si="34"/>
        <v>Iguaçu 2 - PR</v>
      </c>
      <c r="AD146" s="1314">
        <f t="shared" si="41"/>
        <v>46142</v>
      </c>
      <c r="AE146" s="1314">
        <f t="shared" si="42"/>
        <v>46289</v>
      </c>
      <c r="AF146" s="1314">
        <f t="shared" si="43"/>
        <v>46610</v>
      </c>
      <c r="AG146" s="1315" t="str">
        <f t="shared" si="56"/>
        <v>500 SLOW - MX</v>
      </c>
      <c r="AH146" s="1315" t="str">
        <f t="shared" si="57"/>
        <v>COBB</v>
      </c>
      <c r="AJ146" s="818"/>
    </row>
    <row r="147" spans="1:36">
      <c r="A147" s="655" t="s">
        <v>17</v>
      </c>
      <c r="B147" s="742">
        <f>N98+K98</f>
        <v>46142</v>
      </c>
      <c r="C147" s="656">
        <v>46142</v>
      </c>
      <c r="D147" s="1054">
        <v>102126</v>
      </c>
      <c r="E147" s="657">
        <f t="shared" ref="E147" ca="1" si="59">IF((TODAY()-C147)/7&gt;U147,U147,(TODAY()-C147)/7)</f>
        <v>21.714285714285715</v>
      </c>
      <c r="F147" s="657" t="str">
        <f>IFERROR(VLOOKUP(G147,Recria[[Granja Recria]:[Emp+CC]],4,0),"")</f>
        <v>10_369</v>
      </c>
      <c r="G147" s="725" t="s">
        <v>104</v>
      </c>
      <c r="H147" s="726" t="str">
        <f>IFERROR(VLOOKUP(G147,Recria[[Granja Recria]:[Núcleo]],2,0),"")</f>
        <v>(N2)</v>
      </c>
      <c r="I147" s="743"/>
      <c r="J147" s="655" t="s">
        <v>45</v>
      </c>
      <c r="K147" s="655">
        <v>50</v>
      </c>
      <c r="L147" s="803" t="str">
        <f>VLOOKUP(M147,Raca_Linhagem[],2,0)</f>
        <v>COBB</v>
      </c>
      <c r="M147" s="803" t="s">
        <v>112</v>
      </c>
      <c r="N147" s="703">
        <f t="shared" si="29"/>
        <v>46289</v>
      </c>
      <c r="O147" s="704">
        <v>136626</v>
      </c>
      <c r="P147" s="1126" t="str">
        <f>IFERROR(VLOOKUP(Q147,Producao[[Granja Produção]:[Emp+CC]],4,0),"")</f>
        <v>84_162</v>
      </c>
      <c r="Q147" s="1068" t="s">
        <v>93</v>
      </c>
      <c r="R147" s="705" t="str">
        <f>IFERROR(VLOOKUP(Q147,Producao[[Granja Produção]:[Núcleo]],2,0),"")</f>
        <v>(N2)</v>
      </c>
      <c r="S147" s="1069">
        <v>15000</v>
      </c>
      <c r="T147" s="669">
        <f t="shared" ref="T147" si="60">C147+(U147*7)-1</f>
        <v>46603</v>
      </c>
      <c r="U147" s="670">
        <v>66</v>
      </c>
      <c r="V147" s="701">
        <f>N247-T147</f>
        <v>41</v>
      </c>
      <c r="W147" s="671">
        <f t="shared" ref="W147" si="61">IFERROR(T147+V147," ")</f>
        <v>46644</v>
      </c>
      <c r="X147" s="802" t="str">
        <f>VLOOKUP(Q147,Q215:Q398,1,0)</f>
        <v>Faxinal 2 - SC</v>
      </c>
      <c r="Y147" s="1229" t="str">
        <f t="shared" ref="Y147" si="62">G147&amp;D147</f>
        <v>Panorama 2 - PR102126</v>
      </c>
      <c r="Z147" s="818">
        <f>SUMIF($Y$114:$Y$314,Y147,$S$114:$S$1288)</f>
        <v>62000</v>
      </c>
      <c r="AA147" s="818"/>
      <c r="AC147" s="1313" t="str">
        <f t="shared" si="34"/>
        <v>Faxinal 2 - SC</v>
      </c>
      <c r="AD147" s="1314">
        <f t="shared" si="41"/>
        <v>46142</v>
      </c>
      <c r="AE147" s="1314">
        <f t="shared" si="42"/>
        <v>46289</v>
      </c>
      <c r="AF147" s="1314">
        <f t="shared" si="43"/>
        <v>46603</v>
      </c>
      <c r="AG147" s="1315" t="str">
        <f t="shared" si="56"/>
        <v>500 SLOW - MX</v>
      </c>
      <c r="AH147" s="1315" t="str">
        <f t="shared" si="57"/>
        <v>COBB</v>
      </c>
      <c r="AJ147" s="818"/>
    </row>
    <row r="148" spans="1:36">
      <c r="A148" s="655" t="s">
        <v>17</v>
      </c>
      <c r="B148" s="742">
        <f>N98+K98</f>
        <v>46142</v>
      </c>
      <c r="C148" s="656">
        <v>46142</v>
      </c>
      <c r="D148" s="1054">
        <v>102126</v>
      </c>
      <c r="E148" s="657">
        <f t="shared" ref="E148" ca="1" si="63">IF((TODAY()-C148)/7&gt;U148,U148,(TODAY()-C148)/7)</f>
        <v>21.714285714285715</v>
      </c>
      <c r="F148" s="657" t="str">
        <f>IFERROR(VLOOKUP(G148,Recria[[Granja Recria]:[Emp+CC]],4,0),"")</f>
        <v>10_369</v>
      </c>
      <c r="G148" s="725" t="s">
        <v>104</v>
      </c>
      <c r="H148" s="726" t="str">
        <f>IFERROR(VLOOKUP(G148,Recria[[Granja Recria]:[Núcleo]],2,0),"")</f>
        <v>(N2)</v>
      </c>
      <c r="I148" s="743"/>
      <c r="J148" s="655" t="s">
        <v>45</v>
      </c>
      <c r="K148" s="655">
        <v>50</v>
      </c>
      <c r="L148" s="803" t="str">
        <f>VLOOKUP(M148,Raca_Linhagem[],2,0)</f>
        <v>COBB</v>
      </c>
      <c r="M148" s="803" t="s">
        <v>112</v>
      </c>
      <c r="N148" s="703">
        <f t="shared" ref="N148" si="64">C148+(22*7)-7</f>
        <v>46289</v>
      </c>
      <c r="O148" s="704">
        <v>137326</v>
      </c>
      <c r="P148" s="1126" t="str">
        <f>IFERROR(VLOOKUP(Q148,Producao[[Granja Produção]:[Emp+CC]],4,0),"")</f>
        <v>101_1079</v>
      </c>
      <c r="Q148" s="1245" t="s">
        <v>126</v>
      </c>
      <c r="R148" s="705" t="str">
        <f>IFERROR(VLOOKUP(Q148,Producao[[Granja Produção]:[Núcleo]],2,0),"")</f>
        <v>(N1)</v>
      </c>
      <c r="S148" s="1069">
        <v>30000</v>
      </c>
      <c r="T148" s="669">
        <f t="shared" ref="T148" si="65">C148+(U148*7)-1</f>
        <v>46624</v>
      </c>
      <c r="U148" s="670">
        <v>69</v>
      </c>
      <c r="V148" s="701">
        <f>N256-T148</f>
        <v>53</v>
      </c>
      <c r="W148" s="671">
        <f t="shared" ref="W148" si="66">IFERROR(T148+V148," ")</f>
        <v>46677</v>
      </c>
      <c r="X148" s="802" t="str">
        <f>VLOOKUP(Q148,Q216:Q399,1,0)</f>
        <v>Ponte serrada 1 - SC</v>
      </c>
      <c r="Y148" s="1229" t="str">
        <f t="shared" ref="Y148" si="67">G148&amp;D148</f>
        <v>Panorama 2 - PR102126</v>
      </c>
      <c r="Z148" s="818">
        <f>SUMIF($Y$114:$Y$314,Y148,$S$114:$S$1288)</f>
        <v>62000</v>
      </c>
      <c r="AA148" s="818"/>
      <c r="AC148" s="1313" t="str">
        <f t="shared" si="34"/>
        <v>Ponte serrada 1 - SC</v>
      </c>
      <c r="AD148" s="1314">
        <f t="shared" si="41"/>
        <v>46142</v>
      </c>
      <c r="AE148" s="1314">
        <f t="shared" si="42"/>
        <v>46289</v>
      </c>
      <c r="AF148" s="1314">
        <f t="shared" si="43"/>
        <v>46624</v>
      </c>
      <c r="AG148" s="1315" t="str">
        <f t="shared" si="56"/>
        <v>500 SLOW - MX</v>
      </c>
      <c r="AH148" s="1315" t="str">
        <f t="shared" si="57"/>
        <v>COBB</v>
      </c>
      <c r="AJ148" s="818"/>
    </row>
    <row r="149" spans="1:36">
      <c r="A149" s="655" t="s">
        <v>17</v>
      </c>
      <c r="B149" s="742">
        <f>N99+K99</f>
        <v>46151</v>
      </c>
      <c r="C149" s="656">
        <v>46149</v>
      </c>
      <c r="D149" s="1054">
        <v>102326</v>
      </c>
      <c r="E149" s="657">
        <f t="shared" ca="1" si="58"/>
        <v>20.714285714285715</v>
      </c>
      <c r="F149" s="657" t="str">
        <f>IFERROR(VLOOKUP(G149,Recria[[Granja Recria]:[Emp+CC]],4,0),"")</f>
        <v>27_181</v>
      </c>
      <c r="G149" s="725" t="s">
        <v>111</v>
      </c>
      <c r="H149" s="726" t="str">
        <f>IFERROR(VLOOKUP(G149,Recria[[Granja Recria]:[Núcleo]],2,0),"")</f>
        <v>(N2)</v>
      </c>
      <c r="I149" s="743">
        <v>42000</v>
      </c>
      <c r="J149" s="655" t="s">
        <v>45</v>
      </c>
      <c r="K149" s="655">
        <v>59</v>
      </c>
      <c r="L149" s="804" t="str">
        <f>VLOOKUP(M149,Raca_Linhagem[],2,0)</f>
        <v>ROSS</v>
      </c>
      <c r="M149" s="804" t="s">
        <v>26</v>
      </c>
      <c r="N149" s="703">
        <f t="shared" ref="N149:N174" si="68">C149+(22*7)-7</f>
        <v>46296</v>
      </c>
      <c r="O149" s="704">
        <v>136026</v>
      </c>
      <c r="P149" s="1126" t="str">
        <f>IFERROR(VLOOKUP(Q149,Producao[[Granja Produção]:[Emp+CC]],4,0),"")</f>
        <v>25_53</v>
      </c>
      <c r="Q149" s="1068" t="s">
        <v>77</v>
      </c>
      <c r="R149" s="705" t="str">
        <f>IFERROR(VLOOKUP(Q149,Producao[[Granja Produção]:[Núcleo]],2,0),"")</f>
        <v>(N1)</v>
      </c>
      <c r="S149" s="1069">
        <v>40000</v>
      </c>
      <c r="T149" s="669">
        <f t="shared" ref="T149:T175" si="69">C149+(U149*7)-1</f>
        <v>46610</v>
      </c>
      <c r="U149" s="670">
        <v>66</v>
      </c>
      <c r="V149" s="701">
        <f>N252-T149</f>
        <v>55</v>
      </c>
      <c r="W149" s="671">
        <f t="shared" si="33"/>
        <v>46665</v>
      </c>
      <c r="X149" s="802" t="str">
        <f>VLOOKUP(Q149,Q215:Q398,1,0)</f>
        <v>Mariott - PR</v>
      </c>
      <c r="Y149" s="1229" t="str">
        <f t="shared" si="32"/>
        <v>Rio Chopim 2 - PR102326</v>
      </c>
      <c r="Z149" s="818">
        <f>SUMIF($Y$114:$Y$314,Y149,$S$114:$S$1288)</f>
        <v>40000</v>
      </c>
      <c r="AA149" s="818"/>
      <c r="AC149" s="1313" t="str">
        <f t="shared" si="34"/>
        <v>Mariott - PR</v>
      </c>
      <c r="AD149" s="1314">
        <f t="shared" si="41"/>
        <v>46149</v>
      </c>
      <c r="AE149" s="1314">
        <f t="shared" si="42"/>
        <v>46296</v>
      </c>
      <c r="AF149" s="1314">
        <f t="shared" si="43"/>
        <v>46610</v>
      </c>
      <c r="AG149" s="1315" t="str">
        <f t="shared" si="56"/>
        <v>AP95 - 344</v>
      </c>
      <c r="AH149" s="1315" t="str">
        <f t="shared" si="57"/>
        <v>ROSS</v>
      </c>
      <c r="AJ149" s="818"/>
    </row>
    <row r="150" spans="1:36">
      <c r="A150" s="655" t="s">
        <v>17</v>
      </c>
      <c r="B150" s="742">
        <f>N95+K95</f>
        <v>46157</v>
      </c>
      <c r="C150" s="656">
        <v>46156</v>
      </c>
      <c r="D150" s="1054">
        <v>102426</v>
      </c>
      <c r="E150" s="657">
        <f t="shared" ca="1" si="58"/>
        <v>19.714285714285715</v>
      </c>
      <c r="F150" s="657" t="str">
        <f>IFERROR(VLOOKUP(G150,Recria[[Granja Recria]:[Emp+CC]],4,0),"")</f>
        <v>10_169</v>
      </c>
      <c r="G150" s="725" t="s">
        <v>95</v>
      </c>
      <c r="H150" s="726" t="str">
        <f>IFERROR(VLOOKUP(G150,Recria[[Granja Recria]:[Núcleo]],2,0),"")</f>
        <v>(N1)</v>
      </c>
      <c r="I150" s="743">
        <v>43000</v>
      </c>
      <c r="J150" s="655" t="s">
        <v>60</v>
      </c>
      <c r="K150" s="655">
        <v>20</v>
      </c>
      <c r="L150" s="803" t="str">
        <f>VLOOKUP(M150,Raca_Linhagem[],2,0)</f>
        <v>COBB</v>
      </c>
      <c r="M150" s="806" t="s">
        <v>37</v>
      </c>
      <c r="N150" s="703">
        <f t="shared" si="68"/>
        <v>46303</v>
      </c>
      <c r="O150" s="704">
        <v>136726</v>
      </c>
      <c r="P150" s="1126" t="str">
        <f>IFERROR(VLOOKUP(Q150,Producao[[Granja Produção]:[Emp+CC]],4,0),"")</f>
        <v>85_158</v>
      </c>
      <c r="Q150" s="1299" t="s">
        <v>109</v>
      </c>
      <c r="R150" s="705" t="str">
        <f>IFERROR(VLOOKUP(Q150,Producao[[Granja Produção]:[Núcleo]],2,0),"")</f>
        <v>(N1)</v>
      </c>
      <c r="S150" s="1069">
        <v>18000</v>
      </c>
      <c r="T150" s="669">
        <f t="shared" si="69"/>
        <v>46624</v>
      </c>
      <c r="U150" s="670">
        <v>67</v>
      </c>
      <c r="V150" s="701">
        <f>N260-T150</f>
        <v>58</v>
      </c>
      <c r="W150" s="671">
        <f t="shared" ref="W150:W175" si="70">IFERROR(T150+V150," ")</f>
        <v>46682</v>
      </c>
      <c r="X150" s="802" t="str">
        <f>VLOOKUP(Q150,Q218:Q399,1,0)</f>
        <v>Tortato - SC</v>
      </c>
      <c r="Y150" s="1229" t="str">
        <f t="shared" si="32"/>
        <v>N. S. Carmo 1 - PR102426</v>
      </c>
      <c r="Z150" s="818">
        <f>SUMIF($Y$114:$Y$314,Y150,$S$114:$S$1288)</f>
        <v>41000</v>
      </c>
      <c r="AA150" s="818"/>
      <c r="AC150" s="1313" t="str">
        <f t="shared" si="34"/>
        <v>Tortato - SC</v>
      </c>
      <c r="AD150" s="1314">
        <f t="shared" si="41"/>
        <v>46156</v>
      </c>
      <c r="AE150" s="1314">
        <f t="shared" si="42"/>
        <v>46303</v>
      </c>
      <c r="AF150" s="1314">
        <f t="shared" si="43"/>
        <v>46624</v>
      </c>
      <c r="AG150" s="1315" t="str">
        <f t="shared" si="56"/>
        <v>500 SLOW - MALE JBS</v>
      </c>
      <c r="AH150" s="1315" t="str">
        <f t="shared" si="57"/>
        <v>COBB</v>
      </c>
      <c r="AJ150" s="818"/>
    </row>
    <row r="151" spans="1:36">
      <c r="A151" s="655" t="s">
        <v>17</v>
      </c>
      <c r="B151" s="742">
        <f>N95+K95</f>
        <v>46157</v>
      </c>
      <c r="C151" s="656">
        <v>46156</v>
      </c>
      <c r="D151" s="1054">
        <v>102426</v>
      </c>
      <c r="E151" s="657">
        <f t="shared" ref="E151" ca="1" si="71">IF((TODAY()-C151)/7&gt;U151,U151,(TODAY()-C151)/7)</f>
        <v>19.714285714285715</v>
      </c>
      <c r="F151" s="657" t="str">
        <f>IFERROR(VLOOKUP(G151,Recria[[Granja Recria]:[Emp+CC]],4,0),"")</f>
        <v>10_169</v>
      </c>
      <c r="G151" s="725" t="s">
        <v>95</v>
      </c>
      <c r="H151" s="726" t="str">
        <f>IFERROR(VLOOKUP(G151,Recria[[Granja Recria]:[Núcleo]],2,0),"")</f>
        <v>(N1)</v>
      </c>
      <c r="I151" s="743"/>
      <c r="J151" s="655" t="s">
        <v>60</v>
      </c>
      <c r="K151" s="655">
        <v>20</v>
      </c>
      <c r="L151" s="803" t="str">
        <f>VLOOKUP(M151,Raca_Linhagem[],2,0)</f>
        <v>COBB</v>
      </c>
      <c r="M151" s="806" t="s">
        <v>37</v>
      </c>
      <c r="N151" s="703">
        <f t="shared" ref="N151" si="72">C151+(22*7)-7</f>
        <v>46303</v>
      </c>
      <c r="O151" s="704">
        <v>134026</v>
      </c>
      <c r="P151" s="1126" t="str">
        <f>IFERROR(VLOOKUP(Q151,Producao[[Granja Produção]:[Emp+CC]],4,0),"")</f>
        <v>13_1458</v>
      </c>
      <c r="Q151" s="1068" t="s">
        <v>108</v>
      </c>
      <c r="R151" s="705" t="str">
        <f>IFERROR(VLOOKUP(Q151,Producao[[Granja Produção]:[Núcleo]],2,0),"")</f>
        <v>(N1)</v>
      </c>
      <c r="S151" s="1069">
        <v>23000</v>
      </c>
      <c r="T151" s="669">
        <f t="shared" ref="T151" si="73">C151+(U151*7)-1</f>
        <v>46624</v>
      </c>
      <c r="U151" s="670">
        <v>67</v>
      </c>
      <c r="V151" s="701">
        <f>N261-T151</f>
        <v>69</v>
      </c>
      <c r="W151" s="671">
        <f t="shared" ref="W151" si="74">IFERROR(T151+V151," ")</f>
        <v>46693</v>
      </c>
      <c r="X151" s="802" t="str">
        <f>VLOOKUP(Q151,Q219:Q400,1,0)</f>
        <v>Fiorin - SC</v>
      </c>
      <c r="Y151" s="1229" t="str">
        <f t="shared" ref="Y151" si="75">G151&amp;D151</f>
        <v>N. S. Carmo 1 - PR102426</v>
      </c>
      <c r="Z151" s="818">
        <f>SUMIF($Y$114:$Y$314,Y151,$S$114:$S$1288)</f>
        <v>41000</v>
      </c>
      <c r="AA151" s="818"/>
      <c r="AC151" s="1313" t="str">
        <f t="shared" ref="AC151" si="76">Q151</f>
        <v>Fiorin - SC</v>
      </c>
      <c r="AD151" s="1314">
        <f t="shared" ref="AD151" si="77">C151</f>
        <v>46156</v>
      </c>
      <c r="AE151" s="1314">
        <f t="shared" ref="AE151" si="78">N151</f>
        <v>46303</v>
      </c>
      <c r="AF151" s="1314">
        <f t="shared" ref="AF151" si="79">T151</f>
        <v>46624</v>
      </c>
      <c r="AG151" s="1315" t="str">
        <f t="shared" ref="AG151" si="80">M151</f>
        <v>500 SLOW - MALE JBS</v>
      </c>
      <c r="AH151" s="1315" t="str">
        <f t="shared" ref="AH151" si="81">L151</f>
        <v>COBB</v>
      </c>
      <c r="AJ151" s="818"/>
    </row>
    <row r="152" spans="1:36">
      <c r="A152" s="655" t="s">
        <v>17</v>
      </c>
      <c r="B152" s="742">
        <f>N93+K93</f>
        <v>46156</v>
      </c>
      <c r="C152" s="656">
        <v>46156</v>
      </c>
      <c r="D152" s="1054">
        <v>102526</v>
      </c>
      <c r="E152" s="657">
        <f t="shared" ca="1" si="58"/>
        <v>19.714285714285715</v>
      </c>
      <c r="F152" s="657" t="str">
        <f>IFERROR(VLOOKUP(G152,Recria[[Granja Recria]:[Emp+CC]],4,0),"")</f>
        <v>112_67</v>
      </c>
      <c r="G152" s="725" t="s">
        <v>132</v>
      </c>
      <c r="H152" s="726" t="str">
        <f>IFERROR(VLOOKUP(G152,Recria[[Granja Recria]:[Núcleo]],2,0),"")</f>
        <v>(N2)</v>
      </c>
      <c r="I152" s="743">
        <v>72000</v>
      </c>
      <c r="J152" s="655" t="s">
        <v>60</v>
      </c>
      <c r="K152" s="655">
        <v>25</v>
      </c>
      <c r="L152" s="803" t="str">
        <f>VLOOKUP(M152,Raca_Linhagem[],2,0)</f>
        <v>COBB</v>
      </c>
      <c r="M152" s="803" t="s">
        <v>112</v>
      </c>
      <c r="N152" s="703">
        <f t="shared" si="68"/>
        <v>46303</v>
      </c>
      <c r="O152" s="704">
        <v>138026</v>
      </c>
      <c r="P152" s="705" t="str">
        <f>IFERROR(VLOOKUP(Q152,Producao[[Granja Produção]:[Emp+CC]],4,0),"")</f>
        <v>10_44</v>
      </c>
      <c r="Q152" s="1068" t="s">
        <v>127</v>
      </c>
      <c r="R152" s="705" t="str">
        <f>IFERROR(VLOOKUP(Q152,Producao[[Granja Produção]:[Núcleo]],2,0),"")</f>
        <v>(N1)</v>
      </c>
      <c r="S152" s="1069">
        <v>29000</v>
      </c>
      <c r="T152" s="669">
        <f t="shared" si="69"/>
        <v>46624</v>
      </c>
      <c r="U152" s="670">
        <v>67</v>
      </c>
      <c r="V152" s="701">
        <f>N260-T150</f>
        <v>58</v>
      </c>
      <c r="W152" s="671">
        <f t="shared" si="70"/>
        <v>46682</v>
      </c>
      <c r="X152" s="802" t="e">
        <f>VLOOKUP(Q152,Q217:Q402,1,0)</f>
        <v>#N/A</v>
      </c>
      <c r="Y152" s="1229" t="str">
        <f t="shared" si="32"/>
        <v>Pluma 2 - PR102526</v>
      </c>
      <c r="Z152" s="818">
        <f>SUMIF($Y$114:$Y$314,Y152,$S$114:$S$1288)</f>
        <v>69000</v>
      </c>
      <c r="AA152" s="818"/>
      <c r="AC152" s="1313" t="str">
        <f t="shared" si="34"/>
        <v>São José - PR</v>
      </c>
      <c r="AD152" s="1314">
        <f t="shared" si="41"/>
        <v>46156</v>
      </c>
      <c r="AE152" s="1314">
        <f t="shared" si="42"/>
        <v>46303</v>
      </c>
      <c r="AF152" s="1314">
        <f t="shared" si="43"/>
        <v>46624</v>
      </c>
      <c r="AG152" s="1315" t="str">
        <f t="shared" si="56"/>
        <v>500 SLOW - MX</v>
      </c>
      <c r="AH152" s="1315" t="str">
        <f t="shared" si="57"/>
        <v>COBB</v>
      </c>
      <c r="AJ152" s="818"/>
    </row>
    <row r="153" spans="1:36">
      <c r="A153" s="655" t="s">
        <v>17</v>
      </c>
      <c r="B153" s="742">
        <f>N93+K93</f>
        <v>46156</v>
      </c>
      <c r="C153" s="656">
        <v>46156</v>
      </c>
      <c r="D153" s="1054">
        <v>102526</v>
      </c>
      <c r="E153" s="657">
        <f t="shared" ca="1" si="58"/>
        <v>19.714285714285715</v>
      </c>
      <c r="F153" s="657" t="str">
        <f>IFERROR(VLOOKUP(G153,Recria[[Granja Recria]:[Emp+CC]],4,0),"")</f>
        <v>112_67</v>
      </c>
      <c r="G153" s="725" t="s">
        <v>132</v>
      </c>
      <c r="H153" s="726" t="str">
        <f>IFERROR(VLOOKUP(G153,Recria[[Granja Recria]:[Núcleo]],2,0),"")</f>
        <v>(N2)</v>
      </c>
      <c r="I153" s="743"/>
      <c r="J153" s="655" t="s">
        <v>60</v>
      </c>
      <c r="K153" s="655">
        <v>25</v>
      </c>
      <c r="L153" s="803" t="str">
        <f>VLOOKUP(M153,Raca_Linhagem[],2,0)</f>
        <v>COBB</v>
      </c>
      <c r="M153" s="803" t="s">
        <v>112</v>
      </c>
      <c r="N153" s="703">
        <f t="shared" si="68"/>
        <v>46303</v>
      </c>
      <c r="O153" s="704">
        <v>137126</v>
      </c>
      <c r="P153" s="1126" t="str">
        <f>IFERROR(VLOOKUP(Q153,Producao[[Granja Produção]:[Emp+CC]],4,0),"")</f>
        <v>10_48</v>
      </c>
      <c r="Q153" s="1299" t="s">
        <v>105</v>
      </c>
      <c r="R153" s="705" t="str">
        <f>IFERROR(VLOOKUP(Q153,Producao[[Granja Produção]:[Núcleo]],2,0),"")</f>
        <v>(N1)</v>
      </c>
      <c r="S153" s="1069">
        <v>40000</v>
      </c>
      <c r="T153" s="669">
        <f t="shared" si="69"/>
        <v>46631</v>
      </c>
      <c r="U153" s="670">
        <v>68</v>
      </c>
      <c r="V153" s="701">
        <f>N257-T153</f>
        <v>46</v>
      </c>
      <c r="W153" s="671">
        <f t="shared" si="70"/>
        <v>46677</v>
      </c>
      <c r="X153" s="802" t="str">
        <f>VLOOKUP(Q153,Q224:Q403,1,0)</f>
        <v>São Miguel - PR</v>
      </c>
      <c r="Y153" s="1229" t="str">
        <f t="shared" si="32"/>
        <v>Pluma 2 - PR102526</v>
      </c>
      <c r="Z153" s="818">
        <f>SUMIF($Y$114:$Y$314,Y153,$S$114:$S$1288)</f>
        <v>69000</v>
      </c>
      <c r="AA153" s="818"/>
      <c r="AC153" s="1313" t="str">
        <f t="shared" si="34"/>
        <v>São Miguel - PR</v>
      </c>
      <c r="AD153" s="1314">
        <f t="shared" si="41"/>
        <v>46156</v>
      </c>
      <c r="AE153" s="1314">
        <f t="shared" si="42"/>
        <v>46303</v>
      </c>
      <c r="AF153" s="1314">
        <f t="shared" si="43"/>
        <v>46631</v>
      </c>
      <c r="AG153" s="1315" t="str">
        <f t="shared" si="56"/>
        <v>500 SLOW - MX</v>
      </c>
      <c r="AH153" s="1315" t="str">
        <f t="shared" si="57"/>
        <v>COBB</v>
      </c>
      <c r="AJ153" s="818"/>
    </row>
    <row r="154" spans="1:36">
      <c r="A154" s="655" t="s">
        <v>17</v>
      </c>
      <c r="B154" s="742">
        <f>N106+K106</f>
        <v>46161</v>
      </c>
      <c r="C154" s="656">
        <v>46163</v>
      </c>
      <c r="D154" s="1054">
        <v>102826</v>
      </c>
      <c r="E154" s="657">
        <f t="shared" ca="1" si="58"/>
        <v>18.714285714285715</v>
      </c>
      <c r="F154" s="657" t="str">
        <f>IFERROR(VLOOKUP(G154,Recria[[Granja Recria]:[Emp+CC]],4,0),"")</f>
        <v>10_1250</v>
      </c>
      <c r="G154" s="725" t="s">
        <v>101</v>
      </c>
      <c r="H154" s="726" t="str">
        <f>IFERROR(VLOOKUP(G154,Recria[[Granja Recria]:[Núcleo]],2,0),"")</f>
        <v>(N2)</v>
      </c>
      <c r="I154" s="743">
        <v>60000</v>
      </c>
      <c r="J154" s="655" t="s">
        <v>20</v>
      </c>
      <c r="K154" s="655">
        <v>26</v>
      </c>
      <c r="L154" s="807" t="str">
        <f>VLOOKUP(M154,Raca_Linhagem[],2,0)</f>
        <v>COBB</v>
      </c>
      <c r="M154" s="806" t="s">
        <v>37</v>
      </c>
      <c r="N154" s="703">
        <f t="shared" si="68"/>
        <v>46310</v>
      </c>
      <c r="O154" s="704">
        <v>137226</v>
      </c>
      <c r="P154" s="1126" t="str">
        <f>IFERROR(VLOOKUP(Q154,Producao[[Granja Produção]:[Emp+CC]],4,0),"")</f>
        <v>13_1080</v>
      </c>
      <c r="Q154" s="1068" t="s">
        <v>117</v>
      </c>
      <c r="R154" s="705" t="str">
        <f>IFERROR(VLOOKUP(Q154,Producao[[Granja Produção]:[Núcleo]],2,0),"")</f>
        <v>(N1)</v>
      </c>
      <c r="S154" s="1069">
        <v>57000</v>
      </c>
      <c r="T154" s="669">
        <f t="shared" si="69"/>
        <v>46631</v>
      </c>
      <c r="U154" s="670">
        <v>67</v>
      </c>
      <c r="V154" s="701" t="e">
        <f>N266-#REF!</f>
        <v>#REF!</v>
      </c>
      <c r="W154" s="671" t="str">
        <f t="shared" si="70"/>
        <v xml:space="preserve"> </v>
      </c>
      <c r="X154" s="802" t="str">
        <f>VLOOKUP(Q154,Q229:Q407,1,0)</f>
        <v>Ponte serrada 2 - SC</v>
      </c>
      <c r="Y154" s="1229" t="str">
        <f t="shared" si="32"/>
        <v>Iguaçu Recria - PR102826</v>
      </c>
      <c r="Z154" s="818">
        <f>SUMIF($Y$114:$Y$314,Y154,$S$114:$S$1288)</f>
        <v>57000</v>
      </c>
      <c r="AA154" s="818"/>
      <c r="AC154" s="1313" t="str">
        <f t="shared" si="34"/>
        <v>Ponte serrada 2 - SC</v>
      </c>
      <c r="AD154" s="1314">
        <f t="shared" si="41"/>
        <v>46163</v>
      </c>
      <c r="AE154" s="1314">
        <f t="shared" si="42"/>
        <v>46310</v>
      </c>
      <c r="AF154" s="1314">
        <f t="shared" si="43"/>
        <v>46631</v>
      </c>
      <c r="AG154" s="1315" t="str">
        <f t="shared" si="56"/>
        <v>500 SLOW - MALE JBS</v>
      </c>
      <c r="AH154" s="1315" t="str">
        <f t="shared" si="57"/>
        <v>COBB</v>
      </c>
      <c r="AJ154" s="818"/>
    </row>
    <row r="155" spans="1:36">
      <c r="A155" s="655" t="s">
        <v>17</v>
      </c>
      <c r="B155" s="742">
        <f>N109+K109</f>
        <v>46175</v>
      </c>
      <c r="C155" s="656">
        <v>46177</v>
      </c>
      <c r="D155" s="1054">
        <v>102926</v>
      </c>
      <c r="E155" s="657">
        <f ca="1">IF((TODAY()-C155)/7&gt;U155,U155,(TODAY()-C155)/7)</f>
        <v>16.714285714285715</v>
      </c>
      <c r="F155" s="657" t="str">
        <f>IFERROR(VLOOKUP(G155,Recria[[Granja Recria]:[Emp+CC]],4,0),"")</f>
        <v>139_149</v>
      </c>
      <c r="G155" s="725" t="s">
        <v>139</v>
      </c>
      <c r="H155" s="726" t="str">
        <f>IFERROR(VLOOKUP(G155,Recria[[Granja Recria]:[Núcleo]],2,0),"")</f>
        <v>(N2)</v>
      </c>
      <c r="I155" s="743">
        <v>60000</v>
      </c>
      <c r="J155" s="655" t="s">
        <v>60</v>
      </c>
      <c r="K155" s="655">
        <v>28</v>
      </c>
      <c r="L155" s="803" t="str">
        <f>VLOOKUP(M155,Raca_Linhagem[],2,0)</f>
        <v>COBB</v>
      </c>
      <c r="M155" s="803" t="s">
        <v>112</v>
      </c>
      <c r="N155" s="703">
        <f>C155+(22*7)-7</f>
        <v>46324</v>
      </c>
      <c r="O155" s="704">
        <v>136526</v>
      </c>
      <c r="P155" s="1126" t="str">
        <f>IFERROR(VLOOKUP(Q155,Producao[[Granja Produção]:[Emp+CC]],4,0),"")</f>
        <v>118_832</v>
      </c>
      <c r="Q155" s="1068" t="s">
        <v>87</v>
      </c>
      <c r="R155" s="705" t="str">
        <f>IFERROR(VLOOKUP(Q155,Producao[[Granja Produção]:[Núcleo]],2,0),"")</f>
        <v>(N1)</v>
      </c>
      <c r="S155" s="1069">
        <v>57000</v>
      </c>
      <c r="T155" s="669">
        <f>C155+(U155*7)-1</f>
        <v>46645</v>
      </c>
      <c r="U155" s="670">
        <v>67</v>
      </c>
      <c r="V155" s="701">
        <f>N264-T155</f>
        <v>56</v>
      </c>
      <c r="W155" s="671">
        <f>IFERROR(T155+V155," ")</f>
        <v>46701</v>
      </c>
      <c r="X155" s="802" t="str">
        <f>VLOOKUP(Q155,Q232:Q409,1,0)</f>
        <v>Renascença 1 - PR</v>
      </c>
      <c r="Y155" s="1229" t="str">
        <f>G155&amp;D155</f>
        <v>Esperança 2 - PR102926</v>
      </c>
      <c r="Z155" s="818">
        <f>SUMIF($Y$114:$Y$314,Y155,$S$114:$S$1288)</f>
        <v>57000</v>
      </c>
      <c r="AA155" s="818"/>
      <c r="AC155" s="1313" t="str">
        <f>Q155</f>
        <v>Renascença 1 - PR</v>
      </c>
      <c r="AD155" s="1314">
        <f>C155</f>
        <v>46177</v>
      </c>
      <c r="AE155" s="1314">
        <f>N155</f>
        <v>46324</v>
      </c>
      <c r="AF155" s="1314">
        <f>T155</f>
        <v>46645</v>
      </c>
      <c r="AG155" s="1315" t="str">
        <f>M155</f>
        <v>500 SLOW - MX</v>
      </c>
      <c r="AH155" s="1315" t="str">
        <f>L155</f>
        <v>COBB</v>
      </c>
      <c r="AJ155" s="818"/>
    </row>
    <row r="156" spans="1:36">
      <c r="A156" s="655" t="s">
        <v>17</v>
      </c>
      <c r="B156" s="742">
        <f>N111+K111</f>
        <v>46175</v>
      </c>
      <c r="C156" s="656">
        <v>46177</v>
      </c>
      <c r="D156" s="1054">
        <v>103026</v>
      </c>
      <c r="E156" s="657">
        <f t="shared" ca="1" si="58"/>
        <v>16.714285714285715</v>
      </c>
      <c r="F156" s="657" t="str">
        <f>IFERROR(VLOOKUP(G156,Recria[[Granja Recria]:[Emp+CC]],4,0),"")</f>
        <v>112_2399</v>
      </c>
      <c r="G156" s="725" t="s">
        <v>216</v>
      </c>
      <c r="H156" s="726" t="str">
        <f>IFERROR(VLOOKUP(G156,Recria[[Granja Recria]:[Núcleo]],2,0),"")</f>
        <v>(N5)</v>
      </c>
      <c r="I156" s="743">
        <v>60000</v>
      </c>
      <c r="J156" s="655" t="s">
        <v>45</v>
      </c>
      <c r="K156" s="655">
        <v>55</v>
      </c>
      <c r="L156" s="803" t="str">
        <f>VLOOKUP(M156,Raca_Linhagem[],2,0)</f>
        <v>COBB</v>
      </c>
      <c r="M156" s="803" t="s">
        <v>21</v>
      </c>
      <c r="N156" s="703">
        <f t="shared" si="68"/>
        <v>46324</v>
      </c>
      <c r="O156" s="704">
        <v>136826</v>
      </c>
      <c r="P156" s="1126" t="str">
        <f>IFERROR(VLOOKUP(Q156,Producao[[Granja Produção]:[Emp+CC]],4,0),"")</f>
        <v>10_397</v>
      </c>
      <c r="Q156" s="1299" t="s">
        <v>99</v>
      </c>
      <c r="R156" s="705" t="str">
        <f>IFERROR(VLOOKUP(Q156,Producao[[Granja Produção]:[Núcleo]],2,0),"")</f>
        <v>(N1)</v>
      </c>
      <c r="S156" s="1069">
        <v>57000</v>
      </c>
      <c r="T156" s="669">
        <f t="shared" si="69"/>
        <v>46638</v>
      </c>
      <c r="U156" s="670">
        <v>66</v>
      </c>
      <c r="V156" s="701">
        <f>N263-T156</f>
        <v>61</v>
      </c>
      <c r="W156" s="671">
        <f t="shared" si="70"/>
        <v>46699</v>
      </c>
      <c r="X156" s="802" t="str">
        <f>VLOOKUP(Q156,Q232:Q410,1,0)</f>
        <v>Nona Tere - PR</v>
      </c>
      <c r="Y156" s="1229" t="str">
        <f t="shared" si="32"/>
        <v>Pluma 5 - PR103026</v>
      </c>
      <c r="Z156" s="818">
        <f>SUMIF($Y$114:$Y$314,Y156,$S$114:$S$1288)</f>
        <v>57000</v>
      </c>
      <c r="AA156" s="818"/>
      <c r="AC156" s="1313" t="str">
        <f t="shared" si="34"/>
        <v>Nona Tere - PR</v>
      </c>
      <c r="AD156" s="1314">
        <f t="shared" si="41"/>
        <v>46177</v>
      </c>
      <c r="AE156" s="1314">
        <f t="shared" si="42"/>
        <v>46324</v>
      </c>
      <c r="AF156" s="1314">
        <f t="shared" si="43"/>
        <v>46638</v>
      </c>
      <c r="AG156" s="1315" t="str">
        <f t="shared" si="56"/>
        <v>500 SLOW - MALE</v>
      </c>
      <c r="AH156" s="1315" t="str">
        <f t="shared" si="57"/>
        <v>COBB</v>
      </c>
      <c r="AJ156" s="818"/>
    </row>
    <row r="157" spans="1:36">
      <c r="A157" s="655" t="s">
        <v>17</v>
      </c>
      <c r="B157" s="742">
        <f>N105+K105</f>
        <v>46175</v>
      </c>
      <c r="C157" s="656">
        <v>46177</v>
      </c>
      <c r="D157" s="1054">
        <v>102726</v>
      </c>
      <c r="E157" s="657">
        <f t="shared" ca="1" si="58"/>
        <v>16.714285714285715</v>
      </c>
      <c r="F157" s="657" t="str">
        <f>IFERROR(VLOOKUP(G157,Recria[[Granja Recria]:[Emp+CC]],4,0),"")</f>
        <v>10_140</v>
      </c>
      <c r="G157" s="725" t="s">
        <v>107</v>
      </c>
      <c r="H157" s="726" t="str">
        <f>IFERROR(VLOOKUP(G157,Recria[[Granja Recria]:[Núcleo]],2,0),"")</f>
        <v>(N1)</v>
      </c>
      <c r="I157" s="743">
        <v>42000</v>
      </c>
      <c r="J157" s="655" t="s">
        <v>20</v>
      </c>
      <c r="K157" s="655">
        <v>25</v>
      </c>
      <c r="L157" s="804" t="str">
        <f>VLOOKUP(M157,Raca_Linhagem[],2,0)</f>
        <v>ROSS</v>
      </c>
      <c r="M157" s="804" t="s">
        <v>26</v>
      </c>
      <c r="N157" s="703">
        <f t="shared" si="68"/>
        <v>46324</v>
      </c>
      <c r="O157" s="704">
        <v>137826</v>
      </c>
      <c r="P157" s="705" t="str">
        <f>IFERROR(VLOOKUP(Q157,Producao[[Granja Produção]:[Emp+CC]],4,0),"")</f>
        <v>117_157</v>
      </c>
      <c r="Q157" s="1299" t="s">
        <v>124</v>
      </c>
      <c r="R157" s="705" t="str">
        <f>IFERROR(VLOOKUP(Q157,Producao[[Granja Produção]:[Núcleo]],2,0),"")</f>
        <v>(N3)</v>
      </c>
      <c r="S157" s="1069">
        <f>I157*0.96</f>
        <v>40320</v>
      </c>
      <c r="T157" s="669">
        <f t="shared" si="69"/>
        <v>46645</v>
      </c>
      <c r="U157" s="670">
        <v>67</v>
      </c>
      <c r="V157" s="701">
        <f>N261-T157</f>
        <v>48</v>
      </c>
      <c r="W157" s="671">
        <f t="shared" si="70"/>
        <v>46693</v>
      </c>
      <c r="X157" s="802" t="str">
        <f>VLOOKUP(Q157,Q229:Q406,1,0)</f>
        <v>Bom sucesso 3 - PR</v>
      </c>
      <c r="Y157" s="1229" t="str">
        <f t="shared" si="32"/>
        <v>Viganó 1 - PR102726</v>
      </c>
      <c r="Z157" s="818">
        <f>SUMIF($Y$114:$Y$314,Y157,$S$114:$S$1288)</f>
        <v>40320</v>
      </c>
      <c r="AA157" s="818"/>
      <c r="AC157" s="1313" t="str">
        <f t="shared" si="34"/>
        <v>Bom sucesso 3 - PR</v>
      </c>
      <c r="AD157" s="1314">
        <f t="shared" si="41"/>
        <v>46177</v>
      </c>
      <c r="AE157" s="1314">
        <f t="shared" si="42"/>
        <v>46324</v>
      </c>
      <c r="AF157" s="1314">
        <f t="shared" si="43"/>
        <v>46645</v>
      </c>
      <c r="AG157" s="1315" t="str">
        <f t="shared" si="56"/>
        <v>AP95 - 344</v>
      </c>
      <c r="AH157" s="1315" t="str">
        <f t="shared" si="57"/>
        <v>ROSS</v>
      </c>
      <c r="AJ157" s="818"/>
    </row>
    <row r="158" spans="1:36">
      <c r="A158" s="655" t="s">
        <v>17</v>
      </c>
      <c r="B158" s="742">
        <f>N104+K104</f>
        <v>46186</v>
      </c>
      <c r="C158" s="656">
        <v>46184</v>
      </c>
      <c r="D158" s="1054">
        <v>103326</v>
      </c>
      <c r="E158" s="657">
        <f ca="1">IF((TODAY()-C158)/7&gt;U158,U158,(TODAY()-C158)/7)</f>
        <v>15.714285714285714</v>
      </c>
      <c r="F158" s="657" t="str">
        <f>IFERROR(VLOOKUP(G158,Recria[[Granja Recria]:[Emp+CC]],4,0),"")</f>
        <v>10_775</v>
      </c>
      <c r="G158" s="725" t="s">
        <v>120</v>
      </c>
      <c r="H158" s="726" t="str">
        <f>IFERROR(VLOOKUP(G158,Recria[[Granja Recria]:[Núcleo]],2,0),"")</f>
        <v>(N1)</v>
      </c>
      <c r="I158" s="743">
        <v>50000</v>
      </c>
      <c r="J158" s="655" t="s">
        <v>60</v>
      </c>
      <c r="K158" s="655">
        <v>30</v>
      </c>
      <c r="L158" s="803" t="str">
        <f>VLOOKUP(M158,Raca_Linhagem[],2,0)</f>
        <v>COBB</v>
      </c>
      <c r="M158" s="803" t="s">
        <v>112</v>
      </c>
      <c r="N158" s="703">
        <f>C158+(22*7)-7</f>
        <v>46331</v>
      </c>
      <c r="O158" s="704">
        <v>137526</v>
      </c>
      <c r="P158" s="1126" t="str">
        <f>IFERROR(VLOOKUP(Q158,Producao[[Granja Produção]:[Emp+CC]],4,0),"")</f>
        <v>10_858</v>
      </c>
      <c r="Q158" s="1299" t="s">
        <v>121</v>
      </c>
      <c r="R158" s="705" t="str">
        <f>IFERROR(VLOOKUP(Q158,Producao[[Granja Produção]:[Núcleo]],2,0),"")</f>
        <v>(N3)</v>
      </c>
      <c r="S158" s="1069">
        <f>I158*0.96</f>
        <v>48000</v>
      </c>
      <c r="T158" s="669">
        <f>C158+(U158*7)-1</f>
        <v>46659</v>
      </c>
      <c r="U158" s="670">
        <v>68</v>
      </c>
      <c r="V158" s="701">
        <f>N270-T158</f>
        <v>51</v>
      </c>
      <c r="W158" s="671">
        <f>IFERROR(T158+V158," ")</f>
        <v>46710</v>
      </c>
      <c r="X158" s="802" t="str">
        <f>VLOOKUP(Q158,Q239:Q414,1,0)</f>
        <v>Salto Caxias Prod. 2 - PR</v>
      </c>
      <c r="Y158" s="1229" t="str">
        <f>G158&amp;D158</f>
        <v>Salto Caxias Rec. 1 - PR103326</v>
      </c>
      <c r="Z158" s="818">
        <f>SUMIF($Y$114:$Y$314,Y158,$S$114:$S$1288)</f>
        <v>48000</v>
      </c>
      <c r="AA158" s="818"/>
      <c r="AC158" s="1313" t="str">
        <f>Q158</f>
        <v>Salto Caxias Prod. 2 - PR</v>
      </c>
      <c r="AD158" s="1314">
        <f>C158</f>
        <v>46184</v>
      </c>
      <c r="AE158" s="1314">
        <f>N158</f>
        <v>46331</v>
      </c>
      <c r="AF158" s="1314">
        <f>T158</f>
        <v>46659</v>
      </c>
      <c r="AG158" s="1315" t="str">
        <f>M158</f>
        <v>500 SLOW - MX</v>
      </c>
      <c r="AH158" s="1315" t="str">
        <f>L158</f>
        <v>COBB</v>
      </c>
      <c r="AJ158" s="818"/>
    </row>
    <row r="159" spans="1:36">
      <c r="A159" s="655" t="s">
        <v>17</v>
      </c>
      <c r="B159" s="742">
        <f>N100+K100</f>
        <v>46186</v>
      </c>
      <c r="C159" s="656">
        <v>46184</v>
      </c>
      <c r="D159" s="1054">
        <v>103126</v>
      </c>
      <c r="E159" s="657">
        <f t="shared" ca="1" si="58"/>
        <v>15.714285714285714</v>
      </c>
      <c r="F159" s="657" t="str">
        <f>IFERROR(VLOOKUP(G159,Recria[[Granja Recria]:[Emp+CC]],4,0),"")</f>
        <v>10_326</v>
      </c>
      <c r="G159" s="725" t="s">
        <v>129</v>
      </c>
      <c r="H159" s="726" t="str">
        <f>IFERROR(VLOOKUP(G159,Recria[[Granja Recria]:[Núcleo]],2,0),"")</f>
        <v>(N1)</v>
      </c>
      <c r="I159" s="743">
        <v>38000</v>
      </c>
      <c r="J159" s="655" t="s">
        <v>60</v>
      </c>
      <c r="K159" s="655">
        <v>30</v>
      </c>
      <c r="L159" s="803" t="str">
        <f>VLOOKUP(M159,Raca_Linhagem[],2,0)</f>
        <v>COBB</v>
      </c>
      <c r="M159" s="803" t="s">
        <v>112</v>
      </c>
      <c r="N159" s="703">
        <f t="shared" si="68"/>
        <v>46331</v>
      </c>
      <c r="O159" s="704">
        <v>137026</v>
      </c>
      <c r="P159" s="1126" t="str">
        <f>IFERROR(VLOOKUP(Q159,Producao[[Granja Produção]:[Emp+CC]],4,0),"")</f>
        <v>84_170</v>
      </c>
      <c r="Q159" s="1068" t="s">
        <v>116</v>
      </c>
      <c r="R159" s="705" t="str">
        <f>IFERROR(VLOOKUP(Q159,Producao[[Granja Produção]:[Núcleo]],2,0),"")</f>
        <v>(N3)</v>
      </c>
      <c r="S159" s="1069">
        <v>36000</v>
      </c>
      <c r="T159" s="669">
        <f t="shared" si="69"/>
        <v>46659</v>
      </c>
      <c r="U159" s="670">
        <v>68</v>
      </c>
      <c r="V159" s="701" t="e">
        <f>N265-#REF!</f>
        <v>#REF!</v>
      </c>
      <c r="W159" s="671" t="str">
        <f t="shared" si="70"/>
        <v xml:space="preserve"> </v>
      </c>
      <c r="X159" s="802" t="str">
        <f>VLOOKUP(Q159,Q237:Q411,1,0)</f>
        <v>Faxinal 3 - SC</v>
      </c>
      <c r="Y159" s="1229" t="str">
        <f t="shared" si="32"/>
        <v>Santa Tereza 1 - PR103126</v>
      </c>
      <c r="Z159" s="818">
        <f>SUMIF($Y$114:$Y$314,Y159,$S$114:$S$1288)</f>
        <v>36000</v>
      </c>
      <c r="AA159" s="818"/>
      <c r="AC159" s="1313" t="str">
        <f t="shared" si="34"/>
        <v>Faxinal 3 - SC</v>
      </c>
      <c r="AD159" s="1314">
        <f t="shared" si="41"/>
        <v>46184</v>
      </c>
      <c r="AE159" s="1314">
        <f t="shared" si="42"/>
        <v>46331</v>
      </c>
      <c r="AF159" s="1314">
        <f t="shared" si="43"/>
        <v>46659</v>
      </c>
      <c r="AG159" s="1315" t="str">
        <f t="shared" si="56"/>
        <v>500 SLOW - MX</v>
      </c>
      <c r="AH159" s="1315" t="str">
        <f t="shared" si="57"/>
        <v>COBB</v>
      </c>
      <c r="AJ159" s="818"/>
    </row>
    <row r="160" spans="1:36">
      <c r="A160" s="655" t="s">
        <v>17</v>
      </c>
      <c r="B160" s="742">
        <f>N114+K114</f>
        <v>46191</v>
      </c>
      <c r="C160" s="656">
        <v>46191</v>
      </c>
      <c r="D160" s="1054">
        <v>103426</v>
      </c>
      <c r="E160" s="657">
        <f ca="1">IF((TODAY()-C160)/7&gt;U160,U160,(TODAY()-C160)/7)</f>
        <v>14.714285714285714</v>
      </c>
      <c r="F160" s="657" t="str">
        <f>IFERROR(VLOOKUP(G160,Recria[[Granja Recria]:[Emp+CC]],4,0),"")</f>
        <v>10_130</v>
      </c>
      <c r="G160" s="725" t="s">
        <v>123</v>
      </c>
      <c r="H160" s="726" t="str">
        <f>IFERROR(VLOOKUP(G160,Recria[[Granja Recria]:[Núcleo]],2,0),"")</f>
        <v>(N1)</v>
      </c>
      <c r="I160" s="743">
        <v>46000</v>
      </c>
      <c r="J160" s="655" t="s">
        <v>45</v>
      </c>
      <c r="K160" s="655">
        <v>50</v>
      </c>
      <c r="L160" s="803" t="str">
        <f>VLOOKUP(M160,Raca_Linhagem[],2,0)</f>
        <v>COBB</v>
      </c>
      <c r="M160" s="803" t="s">
        <v>21</v>
      </c>
      <c r="N160" s="703">
        <f>C160+(22*7)-7</f>
        <v>46338</v>
      </c>
      <c r="O160" s="704">
        <v>137026</v>
      </c>
      <c r="P160" s="705" t="str">
        <f>IFERROR(VLOOKUP(Q160,Producao[[Granja Produção]:[Emp+CC]],4,0),"")</f>
        <v>84_170</v>
      </c>
      <c r="Q160" s="1068" t="s">
        <v>116</v>
      </c>
      <c r="R160" s="705" t="str">
        <f>IFERROR(VLOOKUP(Q160,Producao[[Granja Produção]:[Núcleo]],2,0),"")</f>
        <v>(N3)</v>
      </c>
      <c r="S160" s="1069">
        <v>20000</v>
      </c>
      <c r="T160" s="669">
        <f>C160+(U160*7)-1</f>
        <v>46652</v>
      </c>
      <c r="U160" s="670">
        <v>66</v>
      </c>
      <c r="V160" s="701"/>
      <c r="W160" s="671">
        <f>IFERROR(T160+V160," ")</f>
        <v>46652</v>
      </c>
      <c r="X160" s="802" t="str">
        <f>VLOOKUP(Q160,Q234:Q415,1,0)</f>
        <v>Faxinal 3 - SC</v>
      </c>
      <c r="Y160" s="1229" t="str">
        <f>G160&amp;D160</f>
        <v>Corti - PR103426</v>
      </c>
      <c r="Z160" s="818">
        <f>SUMIF($Y$114:$Y$314,Y160,$S$114:$S$1288)</f>
        <v>43000</v>
      </c>
      <c r="AA160" s="818"/>
      <c r="AC160" s="1313" t="str">
        <f>Q160</f>
        <v>Faxinal 3 - SC</v>
      </c>
      <c r="AD160" s="1314">
        <f>C160</f>
        <v>46191</v>
      </c>
      <c r="AE160" s="1314">
        <f>N160</f>
        <v>46338</v>
      </c>
      <c r="AF160" s="1314">
        <f>T160</f>
        <v>46652</v>
      </c>
      <c r="AG160" s="1315" t="str">
        <f>M160</f>
        <v>500 SLOW - MALE</v>
      </c>
      <c r="AH160" s="1315" t="str">
        <f>L160</f>
        <v>COBB</v>
      </c>
      <c r="AJ160" s="818"/>
    </row>
    <row r="161" spans="1:36">
      <c r="A161" s="655" t="s">
        <v>17</v>
      </c>
      <c r="B161" s="742">
        <f>N115+K115</f>
        <v>46191</v>
      </c>
      <c r="C161" s="656">
        <v>46191</v>
      </c>
      <c r="D161" s="1054">
        <v>103426</v>
      </c>
      <c r="E161" s="657">
        <f t="shared" ref="E161" ca="1" si="82">IF((TODAY()-C161)/7&gt;U161,U161,(TODAY()-C161)/7)</f>
        <v>14.714285714285714</v>
      </c>
      <c r="F161" s="657" t="str">
        <f>IFERROR(VLOOKUP(G161,Recria[[Granja Recria]:[Emp+CC]],4,0),"")</f>
        <v>10_130</v>
      </c>
      <c r="G161" s="725" t="s">
        <v>123</v>
      </c>
      <c r="H161" s="726" t="str">
        <f>IFERROR(VLOOKUP(G161,Recria[[Granja Recria]:[Núcleo]],2,0),"")</f>
        <v>(N1)</v>
      </c>
      <c r="I161" s="743"/>
      <c r="J161" s="655" t="s">
        <v>45</v>
      </c>
      <c r="K161" s="655">
        <v>50</v>
      </c>
      <c r="L161" s="803" t="str">
        <f>VLOOKUP(M161,Raca_Linhagem[],2,0)</f>
        <v>COBB</v>
      </c>
      <c r="M161" s="803" t="s">
        <v>21</v>
      </c>
      <c r="N161" s="703">
        <f>C161+(22*7)-7</f>
        <v>46338</v>
      </c>
      <c r="O161" s="704">
        <v>137426</v>
      </c>
      <c r="P161" s="705" t="str">
        <f>IFERROR(VLOOKUP(Q161,Producao[[Granja Produção]:[Emp+CC]],4,0),"")</f>
        <v>10_69</v>
      </c>
      <c r="Q161" s="649" t="s">
        <v>118</v>
      </c>
      <c r="R161" s="705" t="str">
        <f>IFERROR(VLOOKUP(Q161,Producao[[Granja Produção]:[Núcleo]],2,0),"")</f>
        <v>(N1)</v>
      </c>
      <c r="S161" s="1069">
        <v>23000</v>
      </c>
      <c r="T161" s="669">
        <f>C161+(U161*7)-1</f>
        <v>46673</v>
      </c>
      <c r="U161" s="670">
        <v>69</v>
      </c>
      <c r="V161" s="701">
        <f>N274-T161</f>
        <v>60</v>
      </c>
      <c r="W161" s="671">
        <f>IFERROR(T161+V161," ")</f>
        <v>46733</v>
      </c>
      <c r="X161" s="802" t="str">
        <f>VLOOKUP(Q161,Q245:Q416,1,0)</f>
        <v>Flor da serra - PR</v>
      </c>
      <c r="Y161" s="1229" t="str">
        <f t="shared" ref="Y161" si="83">G161&amp;D161</f>
        <v>Corti - PR103426</v>
      </c>
      <c r="Z161" s="818">
        <f>SUMIF($Y$114:$Y$314,Y161,$S$114:$S$1288)</f>
        <v>43000</v>
      </c>
      <c r="AA161" s="818"/>
      <c r="AC161" s="1313" t="str">
        <f>Q161</f>
        <v>Flor da serra - PR</v>
      </c>
      <c r="AD161" s="1314">
        <f>C161</f>
        <v>46191</v>
      </c>
      <c r="AE161" s="1314">
        <f>N161</f>
        <v>46338</v>
      </c>
      <c r="AF161" s="1314">
        <f>T161</f>
        <v>46673</v>
      </c>
      <c r="AG161" s="1315" t="str">
        <f>M161</f>
        <v>500 SLOW - MALE</v>
      </c>
      <c r="AH161" s="1315" t="str">
        <f>L161</f>
        <v>COBB</v>
      </c>
      <c r="AJ161" s="818"/>
    </row>
    <row r="162" spans="1:36">
      <c r="A162" s="684" t="s">
        <v>17</v>
      </c>
      <c r="B162" s="685">
        <f>N114+K114</f>
        <v>46191</v>
      </c>
      <c r="C162" s="686">
        <v>46191</v>
      </c>
      <c r="D162" s="1275">
        <v>103626</v>
      </c>
      <c r="E162" s="687">
        <f ca="1">IF((TODAY()-C162)/7&gt;U162,U162,(TODAY()-C162)/7)</f>
        <v>14.714285714285714</v>
      </c>
      <c r="F162" s="687" t="str">
        <f>IFERROR(VLOOKUP(G162,Recria[[Granja Recria]:[Emp+CC]],4,0),"")</f>
        <v>10_180</v>
      </c>
      <c r="G162" s="688" t="s">
        <v>135</v>
      </c>
      <c r="H162" s="689" t="str">
        <f>IFERROR(VLOOKUP(G162,Recria[[Granja Recria]:[Núcleo]],2,0),"")</f>
        <v>(N1)</v>
      </c>
      <c r="I162" s="690">
        <v>46000</v>
      </c>
      <c r="J162" s="684" t="s">
        <v>60</v>
      </c>
      <c r="K162" s="691">
        <v>25</v>
      </c>
      <c r="L162" s="803" t="str">
        <f>VLOOKUP(M162,Raca_Linhagem[],2,0)</f>
        <v>COBB</v>
      </c>
      <c r="M162" s="803" t="s">
        <v>21</v>
      </c>
      <c r="N162" s="738">
        <f>C162+(22*7)-7</f>
        <v>46338</v>
      </c>
      <c r="O162" s="1419"/>
      <c r="P162" s="731" t="str">
        <f>IFERROR(VLOOKUP(Q162,Producao[[Granja Produção]:[Emp+CC]],4,0),"")</f>
        <v/>
      </c>
      <c r="Q162" s="1420" t="s">
        <v>220</v>
      </c>
      <c r="R162" s="731" t="str">
        <f>IFERROR(VLOOKUP(Q162,Producao[[Granja Produção]:[Núcleo]],2,0),"")</f>
        <v/>
      </c>
      <c r="S162" s="1421">
        <v>7000</v>
      </c>
      <c r="T162" s="669">
        <f>C162+(U162*7)-1</f>
        <v>46652</v>
      </c>
      <c r="U162" s="670">
        <v>66</v>
      </c>
      <c r="V162" s="701">
        <f>N263-T162</f>
        <v>47</v>
      </c>
      <c r="W162" s="671">
        <f>IFERROR(T162+V162," ")</f>
        <v>46699</v>
      </c>
      <c r="X162" s="802" t="e">
        <f>VLOOKUP(Q162,Q242:Q417,1,0)</f>
        <v>#N/A</v>
      </c>
      <c r="Y162" s="1229" t="str">
        <f>G162&amp;D162</f>
        <v>Panorama 1 - PR103626</v>
      </c>
      <c r="Z162" s="818">
        <f>SUMIF($Y$114:$Y$314,Y162,$S$114:$S$1288)</f>
        <v>43000</v>
      </c>
      <c r="AA162" s="818"/>
      <c r="AC162" s="1313" t="str">
        <f>Q162</f>
        <v>Plusval</v>
      </c>
      <c r="AD162" s="1314">
        <f>C162</f>
        <v>46191</v>
      </c>
      <c r="AE162" s="1314">
        <f>N162</f>
        <v>46338</v>
      </c>
      <c r="AF162" s="1314">
        <f>T162</f>
        <v>46652</v>
      </c>
      <c r="AG162" s="1315" t="str">
        <f>M162</f>
        <v>500 SLOW - MALE</v>
      </c>
      <c r="AH162" s="1315" t="str">
        <f>L162</f>
        <v>COBB</v>
      </c>
      <c r="AJ162" s="818"/>
    </row>
    <row r="163" spans="1:36">
      <c r="A163" s="684" t="s">
        <v>17</v>
      </c>
      <c r="B163" s="685">
        <f>N114+K114</f>
        <v>46191</v>
      </c>
      <c r="C163" s="686">
        <v>46191</v>
      </c>
      <c r="D163" s="1275">
        <v>103626</v>
      </c>
      <c r="E163" s="687">
        <f ca="1">IF((TODAY()-C163)/7&gt;U163,U163,(TODAY()-C163)/7)</f>
        <v>14.714285714285714</v>
      </c>
      <c r="F163" s="687" t="str">
        <f>IFERROR(VLOOKUP(G163,Recria[[Granja Recria]:[Emp+CC]],4,0),"")</f>
        <v>10_180</v>
      </c>
      <c r="G163" s="688" t="s">
        <v>135</v>
      </c>
      <c r="H163" s="689" t="str">
        <f>IFERROR(VLOOKUP(G163,Recria[[Granja Recria]:[Núcleo]],2,0),"")</f>
        <v>(N1)</v>
      </c>
      <c r="I163" s="690"/>
      <c r="J163" s="684" t="s">
        <v>60</v>
      </c>
      <c r="K163" s="691">
        <v>25</v>
      </c>
      <c r="L163" s="803" t="str">
        <f>VLOOKUP(M163,Raca_Linhagem[],2,0)</f>
        <v>COBB</v>
      </c>
      <c r="M163" s="803" t="s">
        <v>21</v>
      </c>
      <c r="N163" s="703">
        <f>C163+(22*7)-7</f>
        <v>46338</v>
      </c>
      <c r="O163" s="704">
        <v>138126</v>
      </c>
      <c r="P163" s="705" t="str">
        <f>IFERROR(VLOOKUP(Q163,Producao[[Granja Produção]:[Emp+CC]],4,0),"")</f>
        <v>10_856</v>
      </c>
      <c r="Q163" s="1068" t="s">
        <v>142</v>
      </c>
      <c r="R163" s="705" t="str">
        <f>IFERROR(VLOOKUP(Q163,Producao[[Granja Produção]:[Núcleo]],2,0),"")</f>
        <v>(N1)</v>
      </c>
      <c r="S163" s="1069">
        <v>36000</v>
      </c>
      <c r="T163" s="669">
        <f>C163+(U163*7)-1</f>
        <v>46673</v>
      </c>
      <c r="U163" s="670">
        <v>69</v>
      </c>
      <c r="V163" s="701">
        <f>N275-T163</f>
        <v>60</v>
      </c>
      <c r="W163" s="671">
        <f>IFERROR(T163+V163," ")</f>
        <v>46733</v>
      </c>
      <c r="X163" s="802" t="str">
        <f>VLOOKUP(Q163,Q243:Q418,1,0)</f>
        <v>JS - PR</v>
      </c>
      <c r="Y163" s="1229" t="str">
        <f>G163&amp;D163</f>
        <v>Panorama 1 - PR103626</v>
      </c>
      <c r="Z163" s="818">
        <f>SUMIF($Y$114:$Y$314,Y163,$S$114:$S$1288)</f>
        <v>43000</v>
      </c>
      <c r="AA163" s="818"/>
      <c r="AC163" s="1313" t="str">
        <f>Q163</f>
        <v>JS - PR</v>
      </c>
      <c r="AD163" s="1314">
        <f>C163</f>
        <v>46191</v>
      </c>
      <c r="AE163" s="1314">
        <f>N163</f>
        <v>46338</v>
      </c>
      <c r="AF163" s="1314">
        <f>T163</f>
        <v>46673</v>
      </c>
      <c r="AG163" s="1315" t="str">
        <f>M163</f>
        <v>500 SLOW - MALE</v>
      </c>
      <c r="AH163" s="1315" t="str">
        <f>L163</f>
        <v>COBB</v>
      </c>
      <c r="AJ163" s="818"/>
    </row>
    <row r="164" spans="1:36">
      <c r="A164" s="655" t="s">
        <v>17</v>
      </c>
      <c r="B164" s="742">
        <f>N101+K101</f>
        <v>46192</v>
      </c>
      <c r="C164" s="656">
        <v>46191</v>
      </c>
      <c r="D164" s="1054">
        <v>103226</v>
      </c>
      <c r="E164" s="657">
        <f t="shared" ca="1" si="58"/>
        <v>14.714285714285714</v>
      </c>
      <c r="F164" s="657" t="str">
        <f>IFERROR(VLOOKUP(G164,Recria[[Granja Recria]:[Emp+CC]],4,0),"")</f>
        <v>10_267</v>
      </c>
      <c r="G164" s="725" t="s">
        <v>115</v>
      </c>
      <c r="H164" s="726" t="str">
        <f>IFERROR(VLOOKUP(G164,Recria[[Granja Recria]:[Núcleo]],2,0),"")</f>
        <v>(N1)</v>
      </c>
      <c r="I164" s="743">
        <v>63000</v>
      </c>
      <c r="J164" s="655" t="s">
        <v>60</v>
      </c>
      <c r="K164" s="655">
        <v>25</v>
      </c>
      <c r="L164" s="804" t="str">
        <f>VLOOKUP(M164,Raca_Linhagem[],2,0)</f>
        <v>ROSS</v>
      </c>
      <c r="M164" s="804" t="s">
        <v>26</v>
      </c>
      <c r="N164" s="703">
        <f t="shared" si="68"/>
        <v>46338</v>
      </c>
      <c r="O164" s="704">
        <v>138226</v>
      </c>
      <c r="P164" s="705" t="str">
        <f>IFERROR(VLOOKUP(Q164,Producao[[Granja Produção]:[Emp+CC]],4,0),"")</f>
        <v>10_367</v>
      </c>
      <c r="Q164" s="1299" t="s">
        <v>146</v>
      </c>
      <c r="R164" s="705" t="str">
        <f>IFERROR(VLOOKUP(Q164,Producao[[Granja Produção]:[Núcleo]],2,0),"")</f>
        <v>(N1)</v>
      </c>
      <c r="S164" s="1069">
        <v>60000</v>
      </c>
      <c r="T164" s="669">
        <f t="shared" si="69"/>
        <v>46666</v>
      </c>
      <c r="U164" s="670">
        <v>68</v>
      </c>
      <c r="V164" s="701">
        <f>N272-T164</f>
        <v>60</v>
      </c>
      <c r="W164" s="671">
        <f t="shared" si="70"/>
        <v>46726</v>
      </c>
      <c r="X164" s="802" t="str">
        <f>VLOOKUP(Q164,Q233:Q412,1,0)</f>
        <v>Ilha Bella 1 - PR</v>
      </c>
      <c r="Y164" s="1229" t="str">
        <f t="shared" si="32"/>
        <v>Três Palmeiras - PR103226</v>
      </c>
      <c r="Z164" s="818">
        <f>SUMIF($Y$114:$Y$314,Y164,$S$114:$S$1288)</f>
        <v>122000</v>
      </c>
      <c r="AA164" s="818"/>
      <c r="AC164" s="1313" t="str">
        <f t="shared" si="34"/>
        <v>Ilha Bella 1 - PR</v>
      </c>
      <c r="AD164" s="1314">
        <f t="shared" si="41"/>
        <v>46191</v>
      </c>
      <c r="AE164" s="1314">
        <f t="shared" si="42"/>
        <v>46338</v>
      </c>
      <c r="AF164" s="1314">
        <f t="shared" si="43"/>
        <v>46666</v>
      </c>
      <c r="AG164" s="1315" t="str">
        <f t="shared" si="56"/>
        <v>AP95 - 344</v>
      </c>
      <c r="AH164" s="1315" t="str">
        <f t="shared" si="57"/>
        <v>ROSS</v>
      </c>
      <c r="AJ164" s="818"/>
    </row>
    <row r="165" spans="1:36">
      <c r="A165" s="655" t="s">
        <v>17</v>
      </c>
      <c r="B165" s="742">
        <f>N101+K101</f>
        <v>46192</v>
      </c>
      <c r="C165" s="656">
        <v>46191</v>
      </c>
      <c r="D165" s="1054">
        <v>103226</v>
      </c>
      <c r="E165" s="657">
        <f t="shared" ca="1" si="58"/>
        <v>14.714285714285714</v>
      </c>
      <c r="F165" s="657" t="str">
        <f>IFERROR(VLOOKUP(G165,Recria[[Granja Recria]:[Emp+CC]],4,0),"")</f>
        <v>10_267</v>
      </c>
      <c r="G165" s="725" t="s">
        <v>115</v>
      </c>
      <c r="H165" s="726" t="str">
        <f>IFERROR(VLOOKUP(G165,Recria[[Granja Recria]:[Núcleo]],2,0),"")</f>
        <v>(N1)</v>
      </c>
      <c r="I165" s="743">
        <v>63000</v>
      </c>
      <c r="J165" s="655" t="s">
        <v>60</v>
      </c>
      <c r="K165" s="655">
        <v>25</v>
      </c>
      <c r="L165" s="804" t="str">
        <f>VLOOKUP(M165,Raca_Linhagem[],2,0)</f>
        <v>ROSS</v>
      </c>
      <c r="M165" s="804" t="s">
        <v>26</v>
      </c>
      <c r="N165" s="703">
        <f t="shared" si="68"/>
        <v>46338</v>
      </c>
      <c r="O165" s="704">
        <v>138226</v>
      </c>
      <c r="P165" s="705" t="str">
        <f>IFERROR(VLOOKUP(Q165,Producao[[Granja Produção]:[Emp+CC]],4,0),"")</f>
        <v>10_367</v>
      </c>
      <c r="Q165" s="1299" t="s">
        <v>146</v>
      </c>
      <c r="R165" s="705" t="str">
        <f>IFERROR(VLOOKUP(Q165,Producao[[Granja Produção]:[Núcleo]],2,0),"")</f>
        <v>(N1)</v>
      </c>
      <c r="S165" s="1069">
        <v>18000</v>
      </c>
      <c r="T165" s="669">
        <f t="shared" si="69"/>
        <v>46666</v>
      </c>
      <c r="U165" s="670">
        <v>68</v>
      </c>
      <c r="V165" s="701">
        <f>N272-T164</f>
        <v>60</v>
      </c>
      <c r="W165" s="671">
        <f t="shared" si="70"/>
        <v>46726</v>
      </c>
      <c r="X165" s="802" t="str">
        <f>VLOOKUP(Q165,Q232:Q413,1,0)</f>
        <v>Ilha Bella 1 - PR</v>
      </c>
      <c r="Y165" s="1229" t="str">
        <f t="shared" si="32"/>
        <v>Três Palmeiras - PR103226</v>
      </c>
      <c r="Z165" s="818">
        <f>SUMIF($Y$114:$Y$314,Y165,$S$114:$S$1288)</f>
        <v>122000</v>
      </c>
      <c r="AA165" s="818"/>
      <c r="AC165" s="1313" t="str">
        <f t="shared" si="34"/>
        <v>Ilha Bella 1 - PR</v>
      </c>
      <c r="AD165" s="1314">
        <f t="shared" si="41"/>
        <v>46191</v>
      </c>
      <c r="AE165" s="1314">
        <f t="shared" si="42"/>
        <v>46338</v>
      </c>
      <c r="AF165" s="1314">
        <f t="shared" si="43"/>
        <v>46666</v>
      </c>
      <c r="AG165" s="1315" t="str">
        <f t="shared" si="56"/>
        <v>AP95 - 344</v>
      </c>
      <c r="AH165" s="1315" t="str">
        <f t="shared" si="57"/>
        <v>ROSS</v>
      </c>
      <c r="AJ165" s="818"/>
    </row>
    <row r="166" spans="1:36">
      <c r="A166" s="655" t="s">
        <v>17</v>
      </c>
      <c r="B166" s="742">
        <f>N101+K101</f>
        <v>46192</v>
      </c>
      <c r="C166" s="656">
        <v>46191</v>
      </c>
      <c r="D166" s="1054">
        <v>103226</v>
      </c>
      <c r="E166" s="657">
        <f t="shared" ca="1" si="58"/>
        <v>14.714285714285714</v>
      </c>
      <c r="F166" s="657" t="str">
        <f>IFERROR(VLOOKUP(G166,Recria[[Granja Recria]:[Emp+CC]],4,0),"")</f>
        <v>10_267</v>
      </c>
      <c r="G166" s="725" t="s">
        <v>115</v>
      </c>
      <c r="H166" s="726" t="str">
        <f>IFERROR(VLOOKUP(G166,Recria[[Granja Recria]:[Núcleo]],2,0),"")</f>
        <v>(N1)</v>
      </c>
      <c r="I166" s="743"/>
      <c r="J166" s="655" t="s">
        <v>60</v>
      </c>
      <c r="K166" s="655">
        <v>25</v>
      </c>
      <c r="L166" s="804" t="str">
        <f>VLOOKUP(M166,Raca_Linhagem[],2,0)</f>
        <v>ROSS</v>
      </c>
      <c r="M166" s="804" t="s">
        <v>26</v>
      </c>
      <c r="N166" s="703">
        <f t="shared" si="68"/>
        <v>46338</v>
      </c>
      <c r="O166" s="704">
        <v>138426</v>
      </c>
      <c r="P166" s="705" t="str">
        <f>IFERROR(VLOOKUP(Q166,Producao[[Granja Produção]:[Emp+CC]],4,0),"")</f>
        <v>17_107</v>
      </c>
      <c r="Q166" s="1299" t="s">
        <v>152</v>
      </c>
      <c r="R166" s="705" t="str">
        <f>IFERROR(VLOOKUP(Q166,Producao[[Granja Produção]:[Núcleo]],2,0),"")</f>
        <v>(N4)</v>
      </c>
      <c r="S166" s="1069">
        <v>44000</v>
      </c>
      <c r="T166" s="669">
        <f t="shared" si="69"/>
        <v>46673</v>
      </c>
      <c r="U166" s="670">
        <v>69</v>
      </c>
      <c r="V166" s="701">
        <f>N274-T166</f>
        <v>60</v>
      </c>
      <c r="W166" s="671">
        <f t="shared" si="70"/>
        <v>46733</v>
      </c>
      <c r="X166" s="802" t="str">
        <f>VLOOKUP(Q166,Q239:Q414,1,0)</f>
        <v>Bela Vista 4 - PR</v>
      </c>
      <c r="Y166" s="1229" t="str">
        <f t="shared" si="32"/>
        <v>Três Palmeiras - PR103226</v>
      </c>
      <c r="Z166" s="818">
        <f>SUMIF($Y$114:$Y$314,Y166,$S$114:$S$1288)</f>
        <v>122000</v>
      </c>
      <c r="AA166" s="818"/>
      <c r="AC166" s="1313" t="str">
        <f t="shared" si="34"/>
        <v>Bela Vista 4 - PR</v>
      </c>
      <c r="AD166" s="1314">
        <f t="shared" si="41"/>
        <v>46191</v>
      </c>
      <c r="AE166" s="1314">
        <f t="shared" si="42"/>
        <v>46338</v>
      </c>
      <c r="AF166" s="1314">
        <f t="shared" si="43"/>
        <v>46673</v>
      </c>
      <c r="AG166" s="1315" t="str">
        <f t="shared" si="56"/>
        <v>AP95 - 344</v>
      </c>
      <c r="AH166" s="1315" t="str">
        <f t="shared" si="57"/>
        <v>ROSS</v>
      </c>
      <c r="AJ166" s="818"/>
    </row>
    <row r="167" spans="1:36">
      <c r="A167" s="655" t="s">
        <v>17</v>
      </c>
      <c r="B167" s="742">
        <v>46197</v>
      </c>
      <c r="C167" s="656">
        <v>46198</v>
      </c>
      <c r="D167" s="1054">
        <v>103726</v>
      </c>
      <c r="E167" s="657">
        <f ca="1">IF((TODAY()-C167)/7&gt;U167,U167,(TODAY()-C167)/7)</f>
        <v>13.714285714285714</v>
      </c>
      <c r="F167" s="657" t="str">
        <f>IFERROR(VLOOKUP(G167,Recria[[Granja Recria]:[Emp+CC]],4,0),"")</f>
        <v>10_2384</v>
      </c>
      <c r="G167" s="725" t="s">
        <v>239</v>
      </c>
      <c r="H167" s="726" t="str">
        <f>IFERROR(VLOOKUP(G167,Recria[[Granja Recria]:[Núcleo]],2,0),"")</f>
        <v>(N1)</v>
      </c>
      <c r="I167" s="743">
        <v>60000</v>
      </c>
      <c r="J167" s="655" t="s">
        <v>60</v>
      </c>
      <c r="K167" s="655">
        <v>30</v>
      </c>
      <c r="L167" s="803" t="str">
        <f>VLOOKUP(M167,Raca_Linhagem[],2,0)</f>
        <v>COBB</v>
      </c>
      <c r="M167" s="803" t="s">
        <v>21</v>
      </c>
      <c r="N167" s="714">
        <f>C167+(22*7)-7</f>
        <v>46345</v>
      </c>
      <c r="O167" s="716">
        <v>138326</v>
      </c>
      <c r="P167" s="716" t="str">
        <f>IFERROR(VLOOKUP(Q167,Producao[[Granja Produção]:[Emp+CC]],4,0),"")</f>
        <v>10_2385</v>
      </c>
      <c r="Q167" s="717" t="s">
        <v>240</v>
      </c>
      <c r="R167" s="718" t="str">
        <f>IFERROR(VLOOKUP(Q167,Producao[[Granja Produção]:[Núcleo]],2,0),"")</f>
        <v>(N2)</v>
      </c>
      <c r="S167" s="719">
        <f>I167*0.96</f>
        <v>57600</v>
      </c>
      <c r="T167" s="720">
        <f>C167+(U167*7)-1</f>
        <v>46659</v>
      </c>
      <c r="U167" s="721">
        <v>66</v>
      </c>
      <c r="V167" s="722">
        <f>N271-T167</f>
        <v>60</v>
      </c>
      <c r="W167" s="723">
        <f t="shared" ref="W167:W169" si="84">IFERROR(T167+V167," ")</f>
        <v>46719</v>
      </c>
      <c r="X167" s="802" t="str">
        <f>VLOOKUP(Q167,Q241:Q418,1,0)</f>
        <v>N. Sª. Ap. Prod. 1 - PR</v>
      </c>
      <c r="Y167" s="1229" t="str">
        <f>G167&amp;D167</f>
        <v>N. Sª. Ap. Rec. 1- PR103726</v>
      </c>
      <c r="Z167" s="818">
        <f>SUMIF($Y$114:$Y$314,Y167,$S$114:$S$1288)</f>
        <v>57600</v>
      </c>
      <c r="AA167" s="818"/>
      <c r="AC167" s="1313" t="str">
        <f t="shared" si="34"/>
        <v>N. Sª. Ap. Prod. 1 - PR</v>
      </c>
      <c r="AD167" s="1314">
        <f t="shared" si="41"/>
        <v>46198</v>
      </c>
      <c r="AE167" s="1314">
        <f t="shared" si="42"/>
        <v>46345</v>
      </c>
      <c r="AF167" s="1314">
        <f t="shared" si="43"/>
        <v>46659</v>
      </c>
      <c r="AG167" s="1315" t="str">
        <f t="shared" si="56"/>
        <v>500 SLOW - MALE</v>
      </c>
      <c r="AH167" s="1315" t="str">
        <f t="shared" si="57"/>
        <v>COBB</v>
      </c>
      <c r="AJ167" s="818"/>
    </row>
    <row r="168" spans="1:36">
      <c r="A168" s="655" t="s">
        <v>17</v>
      </c>
      <c r="B168" s="742">
        <v>46205</v>
      </c>
      <c r="C168" s="656">
        <v>46205</v>
      </c>
      <c r="D168" s="1054">
        <v>102626</v>
      </c>
      <c r="E168" s="657">
        <f t="shared" ca="1" si="58"/>
        <v>12.714285714285714</v>
      </c>
      <c r="F168" s="657" t="str">
        <f>IFERROR(VLOOKUP(G168,Recria[[Granja Recria]:[Emp+CC]],4,0),"")</f>
        <v>112_2401</v>
      </c>
      <c r="G168" s="725" t="s">
        <v>241</v>
      </c>
      <c r="H168" s="726" t="str">
        <f>IFERROR(VLOOKUP(G168,Recria[[Granja Recria]:[Núcleo]],2,0),"")</f>
        <v>(N6)</v>
      </c>
      <c r="I168" s="743">
        <v>42000</v>
      </c>
      <c r="J168" s="655" t="s">
        <v>60</v>
      </c>
      <c r="K168" s="655">
        <v>25</v>
      </c>
      <c r="L168" s="803" t="str">
        <f>VLOOKUP(M168,Raca_Linhagem[],2,0)</f>
        <v>COBB</v>
      </c>
      <c r="M168" s="803" t="s">
        <v>21</v>
      </c>
      <c r="N168" s="703">
        <f t="shared" si="68"/>
        <v>46352</v>
      </c>
      <c r="O168" s="704">
        <v>137926</v>
      </c>
      <c r="P168" s="705" t="str">
        <f>IFERROR(VLOOKUP(Q168,Producao[[Granja Produção]:[Emp+CC]],4,0),"")</f>
        <v>26_167</v>
      </c>
      <c r="Q168" s="1299" t="s">
        <v>136</v>
      </c>
      <c r="R168" s="705" t="str">
        <f>IFERROR(VLOOKUP(Q168,Producao[[Granja Produção]:[Núcleo]],2,0),"")</f>
        <v>(N2)</v>
      </c>
      <c r="S168" s="1069">
        <v>38000</v>
      </c>
      <c r="T168" s="669">
        <f t="shared" si="69"/>
        <v>46673</v>
      </c>
      <c r="U168" s="670">
        <v>67</v>
      </c>
      <c r="V168" s="701">
        <f>N275-T163</f>
        <v>60</v>
      </c>
      <c r="W168" s="671">
        <f t="shared" si="84"/>
        <v>46733</v>
      </c>
      <c r="X168" s="802" t="str">
        <f>VLOOKUP(Q168,Q225:Q404,1,0)</f>
        <v>Salto 2 - PR</v>
      </c>
      <c r="Y168" s="1229" t="str">
        <f t="shared" si="32"/>
        <v>Pluma 6 - PR102626</v>
      </c>
      <c r="Z168" s="818">
        <f>SUMIF($Y$114:$Y$314,Y168,$S$114:$S$1288)</f>
        <v>82000</v>
      </c>
      <c r="AA168" s="818"/>
      <c r="AC168" s="1313" t="str">
        <f t="shared" si="34"/>
        <v>Salto 2 - PR</v>
      </c>
      <c r="AD168" s="1314">
        <f t="shared" si="41"/>
        <v>46205</v>
      </c>
      <c r="AE168" s="1314">
        <f t="shared" si="42"/>
        <v>46352</v>
      </c>
      <c r="AF168" s="1314">
        <f t="shared" si="43"/>
        <v>46673</v>
      </c>
      <c r="AG168" s="1315" t="str">
        <f t="shared" si="56"/>
        <v>500 SLOW - MALE</v>
      </c>
      <c r="AH168" s="1315" t="str">
        <f t="shared" si="57"/>
        <v>COBB</v>
      </c>
      <c r="AJ168" s="818"/>
    </row>
    <row r="169" spans="1:36">
      <c r="A169" s="655" t="s">
        <v>17</v>
      </c>
      <c r="B169" s="742">
        <v>46210</v>
      </c>
      <c r="C169" s="656">
        <v>46212</v>
      </c>
      <c r="D169" s="1054">
        <v>102626</v>
      </c>
      <c r="E169" s="657">
        <f t="shared" ca="1" si="58"/>
        <v>11.714285714285714</v>
      </c>
      <c r="F169" s="657" t="str">
        <f>IFERROR(VLOOKUP(G169,Recria[[Granja Recria]:[Emp+CC]],4,0),"")</f>
        <v>112_2401</v>
      </c>
      <c r="G169" s="725" t="s">
        <v>241</v>
      </c>
      <c r="H169" s="726" t="str">
        <f>IFERROR(VLOOKUP(G169,Recria[[Granja Recria]:[Núcleo]],2,0),"")</f>
        <v>(N6)</v>
      </c>
      <c r="I169" s="743">
        <v>46000</v>
      </c>
      <c r="J169" s="655" t="s">
        <v>60</v>
      </c>
      <c r="K169" s="655">
        <v>25</v>
      </c>
      <c r="L169" s="803" t="str">
        <f>VLOOKUP(M169,Raca_Linhagem[],2,0)</f>
        <v>COBB</v>
      </c>
      <c r="M169" s="803" t="s">
        <v>21</v>
      </c>
      <c r="N169" s="703">
        <f t="shared" si="68"/>
        <v>46359</v>
      </c>
      <c r="O169" s="704">
        <v>136926</v>
      </c>
      <c r="P169" s="1126" t="str">
        <f>IFERROR(VLOOKUP(Q169,Producao[[Granja Produção]:[Emp+CC]],4,0),"")</f>
        <v>117_202</v>
      </c>
      <c r="Q169" s="1068" t="s">
        <v>113</v>
      </c>
      <c r="R169" s="705" t="str">
        <f>IFERROR(VLOOKUP(Q169,Producao[[Granja Produção]:[Núcleo]],2,0),"")</f>
        <v>(N5)</v>
      </c>
      <c r="S169" s="1069">
        <v>44000</v>
      </c>
      <c r="T169" s="669">
        <f t="shared" si="69"/>
        <v>46673</v>
      </c>
      <c r="U169" s="670">
        <v>66</v>
      </c>
      <c r="V169" s="701"/>
      <c r="W169" s="671">
        <f t="shared" si="84"/>
        <v>46673</v>
      </c>
      <c r="X169" s="802" t="str">
        <f>VLOOKUP(Q169,Q226:Q405,1,0)</f>
        <v>Bom sucesso 4 - PR</v>
      </c>
      <c r="Y169" s="1229" t="str">
        <f t="shared" si="32"/>
        <v>Pluma 6 - PR102626</v>
      </c>
      <c r="Z169" s="818">
        <f>SUMIF($Y$114:$Y$314,Y169,$S$114:$S$1288)</f>
        <v>82000</v>
      </c>
      <c r="AA169" s="818"/>
      <c r="AC169" s="1313" t="str">
        <f t="shared" si="34"/>
        <v>Bom sucesso 4 - PR</v>
      </c>
      <c r="AD169" s="1314">
        <f t="shared" si="41"/>
        <v>46212</v>
      </c>
      <c r="AE169" s="1314">
        <f t="shared" si="42"/>
        <v>46359</v>
      </c>
      <c r="AF169" s="1314">
        <f t="shared" si="43"/>
        <v>46673</v>
      </c>
      <c r="AG169" s="1315" t="str">
        <f t="shared" si="56"/>
        <v>500 SLOW - MALE</v>
      </c>
      <c r="AH169" s="1315" t="str">
        <f t="shared" si="57"/>
        <v>COBB</v>
      </c>
      <c r="AJ169" s="818"/>
    </row>
    <row r="170" spans="1:36">
      <c r="A170" s="655" t="s">
        <v>17</v>
      </c>
      <c r="B170" s="742">
        <f>N119+K119</f>
        <v>46214</v>
      </c>
      <c r="C170" s="656">
        <v>46212</v>
      </c>
      <c r="D170" s="1054">
        <v>103826</v>
      </c>
      <c r="E170" s="657">
        <f t="shared" ref="E170:E189" ca="1" si="85">IF((TODAY()-C170)/7&gt;U170,U170,(TODAY()-C170)/7)</f>
        <v>11.714285714285714</v>
      </c>
      <c r="F170" s="657" t="str">
        <f>IFERROR(VLOOKUP(G170,Recria[[Granja Recria]:[Emp+CC]],4,0),"")</f>
        <v>117_1531</v>
      </c>
      <c r="G170" s="644" t="s">
        <v>160</v>
      </c>
      <c r="H170" s="726" t="str">
        <f>IFERROR(VLOOKUP(G170,Recria[[Granja Recria]:[Núcleo]],2,0),"")</f>
        <v>(N7)</v>
      </c>
      <c r="I170" s="743">
        <v>84000</v>
      </c>
      <c r="J170" s="655" t="s">
        <v>45</v>
      </c>
      <c r="K170" s="655">
        <v>55</v>
      </c>
      <c r="L170" s="804" t="str">
        <f>VLOOKUP(M170,Raca_Linhagem[],2,0)</f>
        <v>ROSS</v>
      </c>
      <c r="M170" s="804" t="s">
        <v>26</v>
      </c>
      <c r="N170" s="703">
        <f t="shared" si="68"/>
        <v>46359</v>
      </c>
      <c r="O170" s="704">
        <v>137626</v>
      </c>
      <c r="P170" s="705" t="str">
        <f>IFERROR(VLOOKUP(Q170,Producao[[Granja Produção]:[Emp+CC]],4,0),"")</f>
        <v>116_2297</v>
      </c>
      <c r="Q170" s="1299" t="s">
        <v>133</v>
      </c>
      <c r="R170" s="705" t="str">
        <f>IFERROR(VLOOKUP(Q170,Producao[[Granja Produção]:[Núcleo]],2,0),"")</f>
        <v>(N1)</v>
      </c>
      <c r="S170" s="1069">
        <v>80000</v>
      </c>
      <c r="T170" s="669">
        <f t="shared" si="69"/>
        <v>46673</v>
      </c>
      <c r="U170" s="670">
        <v>66</v>
      </c>
      <c r="V170" s="701">
        <f>N274-T170</f>
        <v>60</v>
      </c>
      <c r="W170" s="671">
        <f t="shared" si="70"/>
        <v>46733</v>
      </c>
      <c r="X170" s="802" t="str">
        <f>VLOOKUP(Q170,Q243:Q419,1,0)</f>
        <v>Vora 1 - PR</v>
      </c>
      <c r="Y170" s="1229" t="str">
        <f t="shared" si="32"/>
        <v>Bom S. Rec. 2 - PR103826</v>
      </c>
      <c r="Z170" s="818">
        <f>SUMIF($Y$114:$Y$314,Y170,$S$114:$S$1288)</f>
        <v>80000</v>
      </c>
      <c r="AA170" s="818"/>
      <c r="AC170" s="1313" t="str">
        <f t="shared" si="34"/>
        <v>Vora 1 - PR</v>
      </c>
      <c r="AD170" s="1314">
        <f t="shared" si="41"/>
        <v>46212</v>
      </c>
      <c r="AE170" s="1314">
        <f t="shared" si="42"/>
        <v>46359</v>
      </c>
      <c r="AF170" s="1314">
        <f t="shared" si="43"/>
        <v>46673</v>
      </c>
      <c r="AG170" s="1315" t="str">
        <f t="shared" si="56"/>
        <v>AP95 - 344</v>
      </c>
      <c r="AH170" s="1315" t="str">
        <f t="shared" si="57"/>
        <v>ROSS</v>
      </c>
      <c r="AJ170" s="818"/>
    </row>
    <row r="171" spans="1:36">
      <c r="A171" s="655" t="s">
        <v>17</v>
      </c>
      <c r="B171" s="742">
        <f>N121+K121</f>
        <v>46225</v>
      </c>
      <c r="C171" s="656">
        <v>46226</v>
      </c>
      <c r="D171" s="1054">
        <v>103926</v>
      </c>
      <c r="E171" s="657">
        <f t="shared" ca="1" si="85"/>
        <v>9.7142857142857135</v>
      </c>
      <c r="F171" s="657" t="str">
        <f>IFERROR(VLOOKUP(G171,Recria[[Granja Recria]:[Emp+CC]],4,0),"")</f>
        <v>10_116</v>
      </c>
      <c r="G171" s="644" t="s">
        <v>144</v>
      </c>
      <c r="H171" s="726" t="str">
        <f>IFERROR(VLOOKUP(G171,Recria[[Granja Recria]:[Núcleo]],2,0),"")</f>
        <v>(N1)</v>
      </c>
      <c r="I171" s="743">
        <v>61200</v>
      </c>
      <c r="J171" s="655" t="s">
        <v>45</v>
      </c>
      <c r="K171" s="655">
        <v>53</v>
      </c>
      <c r="L171" s="806" t="str">
        <f>VLOOKUP(M171,Raca_Linhagem[],2,0)</f>
        <v>COBB</v>
      </c>
      <c r="M171" s="806" t="s">
        <v>37</v>
      </c>
      <c r="N171" s="703">
        <f>C171+(22*7)-7</f>
        <v>46373</v>
      </c>
      <c r="O171" s="704"/>
      <c r="P171" s="705" t="str">
        <f>IFERROR(VLOOKUP(Q171,Producao[[Granja Produção]:[Emp+CC]],4,0),"")</f>
        <v>123_1537</v>
      </c>
      <c r="Q171" s="1299" t="s">
        <v>140</v>
      </c>
      <c r="R171" s="1126" t="str">
        <f>IFERROR(VLOOKUP(Q171,Producao[[Granja Produção]:[Núcleo]],2,0),"")</f>
        <v>(N2)</v>
      </c>
      <c r="S171" s="1069">
        <v>57000</v>
      </c>
      <c r="T171" s="669">
        <f>C171+(U171*7)-1</f>
        <v>46694</v>
      </c>
      <c r="U171" s="670">
        <v>67</v>
      </c>
      <c r="V171" s="701">
        <f>N279-T171</f>
        <v>54</v>
      </c>
      <c r="W171" s="671">
        <f>IFERROR(T171+V171," ")</f>
        <v>46748</v>
      </c>
      <c r="X171" s="802" t="str">
        <f>VLOOKUP(Q171,Q245:Q420,1,0)</f>
        <v>Fronteira 2 - PR</v>
      </c>
      <c r="Y171" s="1229" t="str">
        <f>G171&amp;D171</f>
        <v>Santa Izabel - PR103926</v>
      </c>
      <c r="Z171" s="818">
        <f>SUMIF($Y$114:$Y$314,Y171,$S$114:$S$1288)</f>
        <v>57000</v>
      </c>
      <c r="AA171" s="818"/>
      <c r="AC171" s="1313" t="str">
        <f t="shared" si="34"/>
        <v>Fronteira 2 - PR</v>
      </c>
      <c r="AD171" s="1314">
        <f t="shared" si="41"/>
        <v>46226</v>
      </c>
      <c r="AE171" s="1314">
        <f t="shared" si="42"/>
        <v>46373</v>
      </c>
      <c r="AF171" s="1314">
        <f t="shared" si="43"/>
        <v>46694</v>
      </c>
      <c r="AG171" s="1315" t="str">
        <f t="shared" si="56"/>
        <v>500 SLOW - MALE JBS</v>
      </c>
      <c r="AH171" s="1315" t="str">
        <f t="shared" si="57"/>
        <v>COBB</v>
      </c>
      <c r="AJ171" s="818"/>
    </row>
    <row r="172" spans="1:36">
      <c r="A172" s="655" t="s">
        <v>17</v>
      </c>
      <c r="B172" s="742">
        <f>N116+K116</f>
        <v>46232</v>
      </c>
      <c r="C172" s="656">
        <v>46233</v>
      </c>
      <c r="D172" s="1054">
        <v>104126</v>
      </c>
      <c r="E172" s="657">
        <f t="shared" ca="1" si="85"/>
        <v>8.7142857142857135</v>
      </c>
      <c r="F172" s="657" t="str">
        <f>IFERROR(VLOOKUP(G172,Recria[[Granja Recria]:[Emp+CC]],4,0),"")</f>
        <v>27_165</v>
      </c>
      <c r="G172" s="644" t="s">
        <v>151</v>
      </c>
      <c r="H172" s="726" t="str">
        <f>IFERROR(VLOOKUP(G172,Recria[[Granja Recria]:[Núcleo]],2,0),"")</f>
        <v>(N1)</v>
      </c>
      <c r="I172" s="743">
        <v>42000</v>
      </c>
      <c r="J172" s="655" t="s">
        <v>60</v>
      </c>
      <c r="K172" s="655">
        <v>20</v>
      </c>
      <c r="L172" s="809" t="str">
        <f>VLOOKUP(M172,Raca_Linhagem[],2,0)</f>
        <v>HUBB</v>
      </c>
      <c r="M172" s="766" t="s">
        <v>242</v>
      </c>
      <c r="N172" s="703">
        <f t="shared" si="68"/>
        <v>46380</v>
      </c>
      <c r="O172" s="704">
        <v>138426</v>
      </c>
      <c r="P172" s="705" t="str">
        <f>IFERROR(VLOOKUP(Q172,Producao[[Granja Produção]:[Emp+CC]],4,0),"")</f>
        <v>117_219</v>
      </c>
      <c r="Q172" s="1299" t="s">
        <v>130</v>
      </c>
      <c r="R172" s="1126" t="str">
        <f>IFERROR(VLOOKUP(Q172,Producao[[Granja Produção]:[Núcleo]],2,0),"")</f>
        <v>(N6)</v>
      </c>
      <c r="S172" s="1069">
        <f>I172*0.96</f>
        <v>40320</v>
      </c>
      <c r="T172" s="669">
        <f t="shared" si="69"/>
        <v>46694</v>
      </c>
      <c r="U172" s="670">
        <v>66</v>
      </c>
      <c r="V172" s="701">
        <f>N276-T172</f>
        <v>50</v>
      </c>
      <c r="W172" s="671">
        <f t="shared" si="70"/>
        <v>46744</v>
      </c>
      <c r="X172" s="802" t="str">
        <f>VLOOKUP(Q172,Q250:Q421,1,0)</f>
        <v>Bom sucesso 5 - PR</v>
      </c>
      <c r="Y172" s="1229" t="str">
        <f t="shared" si="32"/>
        <v>Rio Chopim 1 - PR104126</v>
      </c>
      <c r="Z172" s="818">
        <f>SUMIF($Y$114:$Y$314,Y172,$S$114:$S$1288)</f>
        <v>40320</v>
      </c>
      <c r="AA172" s="818"/>
      <c r="AC172" s="1313" t="str">
        <f t="shared" si="34"/>
        <v>Bom sucesso 5 - PR</v>
      </c>
      <c r="AD172" s="1314">
        <f t="shared" si="41"/>
        <v>46233</v>
      </c>
      <c r="AE172" s="1314">
        <f t="shared" si="42"/>
        <v>46380</v>
      </c>
      <c r="AF172" s="1314">
        <f t="shared" si="43"/>
        <v>46694</v>
      </c>
      <c r="AG172" s="1315" t="str">
        <f t="shared" si="56"/>
        <v>EFFICIENCY PLUS_M77</v>
      </c>
      <c r="AH172" s="1315" t="str">
        <f t="shared" si="57"/>
        <v>HUBB</v>
      </c>
      <c r="AJ172" s="818"/>
    </row>
    <row r="173" spans="1:36" ht="18.600000000000001" customHeight="1">
      <c r="A173" s="655" t="s">
        <v>17</v>
      </c>
      <c r="B173" s="742">
        <f>N118+K118</f>
        <v>46235</v>
      </c>
      <c r="C173" s="656">
        <v>46233</v>
      </c>
      <c r="D173" s="1054">
        <v>104226</v>
      </c>
      <c r="E173" s="657">
        <f t="shared" ca="1" si="85"/>
        <v>8.7142857142857135</v>
      </c>
      <c r="F173" s="657" t="str">
        <f>IFERROR(VLOOKUP(G173,Recria[[Granja Recria]:[Emp+CC]],4,0),"")</f>
        <v>10_1405</v>
      </c>
      <c r="G173" s="644" t="s">
        <v>148</v>
      </c>
      <c r="H173" s="726" t="str">
        <f>IFERROR(VLOOKUP(G173,Recria[[Granja Recria]:[Núcleo]],2,0),"")</f>
        <v>(N1)</v>
      </c>
      <c r="I173" s="743">
        <v>60000</v>
      </c>
      <c r="J173" s="655" t="s">
        <v>60</v>
      </c>
      <c r="K173" s="655">
        <v>20</v>
      </c>
      <c r="L173" s="804" t="str">
        <f>VLOOKUP(M173,Raca_Linhagem[],2,0)</f>
        <v>ROSS</v>
      </c>
      <c r="M173" s="804" t="s">
        <v>26</v>
      </c>
      <c r="N173" s="703">
        <f t="shared" si="68"/>
        <v>46380</v>
      </c>
      <c r="O173" s="705"/>
      <c r="P173" s="705" t="str">
        <f>IFERROR(VLOOKUP(Q173,Producao[[Granja Produção]:[Emp+CC]],4,0),"")</f>
        <v>10_55</v>
      </c>
      <c r="Q173" s="1299" t="s">
        <v>155</v>
      </c>
      <c r="R173" s="1126" t="str">
        <f>IFERROR(VLOOKUP(Q173,Producao[[Granja Produção]:[Núcleo]],2,0),"")</f>
        <v>(N1)</v>
      </c>
      <c r="S173" s="1069">
        <v>57000</v>
      </c>
      <c r="T173" s="669">
        <f t="shared" si="69"/>
        <v>46708</v>
      </c>
      <c r="U173" s="670">
        <v>68</v>
      </c>
      <c r="V173" s="701">
        <f>N280-T173</f>
        <v>48</v>
      </c>
      <c r="W173" s="671">
        <f t="shared" si="70"/>
        <v>46756</v>
      </c>
      <c r="X173" s="802" t="str">
        <f>VLOOKUP(Q173,Q246:Q422,1,0)</f>
        <v>Celso Hoffelder - PR</v>
      </c>
      <c r="Y173" s="1229" t="str">
        <f t="shared" si="32"/>
        <v>Rio Chopim 3 - PR104226</v>
      </c>
      <c r="Z173" s="818">
        <f>SUMIF($Y$114:$Y$314,Y173,$S$114:$S$1288)</f>
        <v>57000</v>
      </c>
      <c r="AA173" s="818"/>
      <c r="AC173" s="1313" t="str">
        <f>Q173</f>
        <v>Celso Hoffelder - PR</v>
      </c>
      <c r="AD173" s="1314">
        <f>C173</f>
        <v>46233</v>
      </c>
      <c r="AE173" s="1314">
        <f>N173</f>
        <v>46380</v>
      </c>
      <c r="AF173" s="1314">
        <f>T173</f>
        <v>46708</v>
      </c>
      <c r="AG173" s="1315" t="str">
        <f t="shared" si="56"/>
        <v>AP95 - 344</v>
      </c>
      <c r="AH173" s="1315" t="str">
        <f t="shared" si="57"/>
        <v>ROSS</v>
      </c>
      <c r="AJ173" s="818"/>
    </row>
    <row r="174" spans="1:36">
      <c r="A174" s="655" t="s">
        <v>17</v>
      </c>
      <c r="B174" s="742">
        <f>N117+K117</f>
        <v>46239</v>
      </c>
      <c r="C174" s="656">
        <v>46240</v>
      </c>
      <c r="D174" s="1054">
        <v>104326</v>
      </c>
      <c r="E174" s="657">
        <f t="shared" ca="1" si="85"/>
        <v>7.7142857142857144</v>
      </c>
      <c r="F174" s="657" t="str">
        <f>IFERROR(VLOOKUP(G174,Recria[[Granja Recria]:[Emp+CC]],4,0),"")</f>
        <v>10_327</v>
      </c>
      <c r="G174" s="644" t="s">
        <v>157</v>
      </c>
      <c r="H174" s="726" t="str">
        <f>IFERROR(VLOOKUP(G174,Recria[[Granja Recria]:[Núcleo]],2,0),"")</f>
        <v>(N2)</v>
      </c>
      <c r="I174" s="743">
        <v>38000</v>
      </c>
      <c r="J174" s="655" t="s">
        <v>60</v>
      </c>
      <c r="K174" s="655">
        <v>20</v>
      </c>
      <c r="L174" s="803" t="str">
        <f>VLOOKUP(M174,Raca_Linhagem[],2,0)</f>
        <v>COBB</v>
      </c>
      <c r="M174" s="803" t="s">
        <v>21</v>
      </c>
      <c r="N174" s="703">
        <f t="shared" si="68"/>
        <v>46387</v>
      </c>
      <c r="O174" s="705"/>
      <c r="P174" s="705" t="str">
        <f>IFERROR(VLOOKUP(Q174,Producao[[Granja Produção]:[Emp+CC]],4,0),"")</f>
        <v>90_861</v>
      </c>
      <c r="Q174" s="1299" t="s">
        <v>145</v>
      </c>
      <c r="R174" s="1126" t="str">
        <f>IFERROR(VLOOKUP(Q174,Producao[[Granja Produção]:[Núcleo]],2,0),"")</f>
        <v>(N1)</v>
      </c>
      <c r="S174" s="1069">
        <v>36000</v>
      </c>
      <c r="T174" s="669">
        <f t="shared" si="69"/>
        <v>46701</v>
      </c>
      <c r="U174" s="670">
        <v>66</v>
      </c>
      <c r="V174" s="701"/>
      <c r="W174" s="671">
        <f t="shared" si="70"/>
        <v>46701</v>
      </c>
      <c r="X174" s="802" t="e">
        <f>VLOOKUP(Q174,Q250:Q424,1,0)</f>
        <v>#N/A</v>
      </c>
      <c r="Y174" s="1229" t="str">
        <f t="shared" si="32"/>
        <v>Santa Tereza 2 - PR104326</v>
      </c>
      <c r="Z174" s="818">
        <f>SUMIF($Y$114:$Y$314,Y174,$S$114:$S$1288)</f>
        <v>36000</v>
      </c>
      <c r="AA174" s="818"/>
      <c r="AC174" s="1316" t="str">
        <f>Q174</f>
        <v>Marafon - PR</v>
      </c>
      <c r="AD174" s="1317">
        <f>C174</f>
        <v>46240</v>
      </c>
      <c r="AE174" s="1317">
        <f>N174</f>
        <v>46387</v>
      </c>
      <c r="AF174" s="1317">
        <f>T174</f>
        <v>46701</v>
      </c>
      <c r="AG174" s="1315" t="str">
        <f t="shared" si="56"/>
        <v>500 SLOW - MALE</v>
      </c>
      <c r="AH174" s="1315" t="str">
        <f t="shared" si="57"/>
        <v>COBB</v>
      </c>
      <c r="AJ174" s="818"/>
    </row>
    <row r="175" spans="1:36">
      <c r="A175" s="655" t="s">
        <v>17</v>
      </c>
      <c r="B175" s="742">
        <f>N122+K122</f>
        <v>46242</v>
      </c>
      <c r="C175" s="656">
        <v>46240</v>
      </c>
      <c r="D175" s="1054">
        <v>104426</v>
      </c>
      <c r="E175" s="657">
        <f t="shared" ca="1" si="85"/>
        <v>7.7142857142857144</v>
      </c>
      <c r="F175" s="657" t="str">
        <f>IFERROR(VLOOKUP(G175,Recria[[Granja Recria]:[Emp+CC]],4,0),"")</f>
        <v>10_1182</v>
      </c>
      <c r="G175" s="644" t="s">
        <v>154</v>
      </c>
      <c r="H175" s="726" t="str">
        <f>IFERROR(VLOOKUP(G175,Recria[[Granja Recria]:[Núcleo]],2,0),"")</f>
        <v>(N2)</v>
      </c>
      <c r="I175" s="743">
        <v>60000</v>
      </c>
      <c r="J175" s="655" t="s">
        <v>45</v>
      </c>
      <c r="K175" s="655">
        <v>50</v>
      </c>
      <c r="L175" s="803" t="str">
        <f>VLOOKUP(M175,Raca_Linhagem[],2,0)</f>
        <v>COBB</v>
      </c>
      <c r="M175" s="803" t="s">
        <v>21</v>
      </c>
      <c r="N175" s="674">
        <f>C175+(22*7)-7</f>
        <v>46387</v>
      </c>
      <c r="O175" s="675"/>
      <c r="P175" s="675" t="str">
        <f>IFERROR(VLOOKUP(Q175,Producao[[Granja Produção]:[Emp+CC]],4,0),"")</f>
        <v>87_854</v>
      </c>
      <c r="Q175" s="676" t="s">
        <v>165</v>
      </c>
      <c r="R175" s="677" t="str">
        <f>IFERROR(VLOOKUP(Q175,Producao[[Granja Produção]:[Núcleo]],2,0),"")</f>
        <v>(N2)</v>
      </c>
      <c r="S175" s="702">
        <v>22000</v>
      </c>
      <c r="T175" s="669">
        <f t="shared" si="69"/>
        <v>46701</v>
      </c>
      <c r="U175" s="670">
        <v>66</v>
      </c>
      <c r="V175" s="701"/>
      <c r="W175" s="671">
        <f t="shared" si="70"/>
        <v>46701</v>
      </c>
      <c r="X175" s="802" t="str">
        <f>VLOOKUP(Q175,Q250:Q425,1,0)</f>
        <v>Samambaia 2 - SP</v>
      </c>
      <c r="Y175" s="1229" t="str">
        <f t="shared" si="32"/>
        <v>N. S. Carmo 2 - PR104426</v>
      </c>
      <c r="Z175" s="818">
        <f>SUMIF($Y$114:$Y$314,Y175,$S$114:$S$1288)</f>
        <v>58000</v>
      </c>
      <c r="AA175" s="818"/>
      <c r="AC175" s="1316" t="str">
        <f t="shared" ref="AC175:AC241" si="86">Q175</f>
        <v>Samambaia 2 - SP</v>
      </c>
      <c r="AD175" s="1317">
        <f t="shared" ref="AD175:AD241" si="87">C175</f>
        <v>46240</v>
      </c>
      <c r="AE175" s="1317">
        <f t="shared" ref="AE175:AE241" si="88">N175</f>
        <v>46387</v>
      </c>
      <c r="AF175" s="1317">
        <f t="shared" ref="AF175:AF241" si="89">T175</f>
        <v>46701</v>
      </c>
      <c r="AG175" s="1315" t="str">
        <f t="shared" si="56"/>
        <v>500 SLOW - MALE</v>
      </c>
      <c r="AH175" s="1315" t="str">
        <f t="shared" si="57"/>
        <v>COBB</v>
      </c>
      <c r="AJ175" s="818"/>
    </row>
    <row r="176" spans="1:36">
      <c r="A176" s="655" t="s">
        <v>17</v>
      </c>
      <c r="B176" s="742">
        <f>N122+K122</f>
        <v>46242</v>
      </c>
      <c r="C176" s="656">
        <v>46240</v>
      </c>
      <c r="D176" s="1054">
        <v>104426</v>
      </c>
      <c r="E176" s="657">
        <f t="shared" ref="E176" ca="1" si="90">IF((TODAY()-C176)/7&gt;U176,U176,(TODAY()-C176)/7)</f>
        <v>7.7142857142857144</v>
      </c>
      <c r="F176" s="657" t="str">
        <f>IFERROR(VLOOKUP(G176,Recria[[Granja Recria]:[Emp+CC]],4,0),"")</f>
        <v>10_1182</v>
      </c>
      <c r="G176" s="644" t="s">
        <v>154</v>
      </c>
      <c r="H176" s="726" t="str">
        <f>IFERROR(VLOOKUP(G176,Recria[[Granja Recria]:[Núcleo]],2,0),"")</f>
        <v>(N2)</v>
      </c>
      <c r="I176" s="743"/>
      <c r="J176" s="655" t="s">
        <v>45</v>
      </c>
      <c r="K176" s="655">
        <v>50</v>
      </c>
      <c r="L176" s="803" t="str">
        <f>VLOOKUP(M176,Raca_Linhagem[],2,0)</f>
        <v>COBB</v>
      </c>
      <c r="M176" s="803" t="s">
        <v>21</v>
      </c>
      <c r="N176" s="1362">
        <f>C176+(22*7)-7</f>
        <v>46387</v>
      </c>
      <c r="O176" s="1363"/>
      <c r="P176" s="1363" t="str">
        <f>IFERROR(VLOOKUP(Q176,Producao[[Granja Produção]:[Emp+CC]],4,0),"")</f>
        <v>118_863</v>
      </c>
      <c r="Q176" s="1364" t="s">
        <v>158</v>
      </c>
      <c r="R176" s="1365" t="str">
        <f>IFERROR(VLOOKUP(Q176,Producao[[Granja Produção]:[Núcleo]],2,0),"")</f>
        <v>(N2)</v>
      </c>
      <c r="S176" s="1366">
        <v>36000</v>
      </c>
      <c r="T176" s="669">
        <f t="shared" ref="T176" si="91">C176+(U176*7)-1</f>
        <v>46701</v>
      </c>
      <c r="U176" s="670">
        <v>66</v>
      </c>
      <c r="V176" s="701"/>
      <c r="W176" s="671">
        <f t="shared" ref="W176" si="92">IFERROR(T176+V176," ")</f>
        <v>46701</v>
      </c>
      <c r="X176" s="802" t="e">
        <f>VLOOKUP(Q176,Q251:Q426,1,0)</f>
        <v>#N/A</v>
      </c>
      <c r="Y176" s="1229" t="str">
        <f t="shared" ref="Y176" si="93">G176&amp;D176</f>
        <v>N. S. Carmo 2 - PR104426</v>
      </c>
      <c r="Z176" s="818">
        <f>SUMIF($Y$114:$Y$314,Y176,$S$114:$S$1288)</f>
        <v>58000</v>
      </c>
      <c r="AA176" s="818"/>
      <c r="AC176" s="1316" t="str">
        <f t="shared" ref="AC176" si="94">Q176</f>
        <v>Renascença 2 - PR</v>
      </c>
      <c r="AD176" s="1317">
        <f t="shared" ref="AD176" si="95">C176</f>
        <v>46240</v>
      </c>
      <c r="AE176" s="1317">
        <f t="shared" ref="AE176" si="96">N176</f>
        <v>46387</v>
      </c>
      <c r="AF176" s="1317">
        <f t="shared" ref="AF176" si="97">T176</f>
        <v>46701</v>
      </c>
      <c r="AG176" s="1315" t="str">
        <f t="shared" ref="AG176" si="98">M176</f>
        <v>500 SLOW - MALE</v>
      </c>
      <c r="AH176" s="1315" t="str">
        <f t="shared" ref="AH176" si="99">L176</f>
        <v>COBB</v>
      </c>
      <c r="AJ176" s="818"/>
    </row>
    <row r="177" spans="1:36">
      <c r="A177" s="655" t="s">
        <v>17</v>
      </c>
      <c r="B177" s="742">
        <f>N125+K125</f>
        <v>46252</v>
      </c>
      <c r="C177" s="656">
        <v>46247</v>
      </c>
      <c r="D177" s="1054">
        <v>104526</v>
      </c>
      <c r="E177" s="657">
        <f t="shared" ca="1" si="85"/>
        <v>6.7142857142857144</v>
      </c>
      <c r="F177" s="657" t="str">
        <f>IFERROR(VLOOKUP(G177,Recria[[Granja Recria]:[Emp+CC]],4,0),"")</f>
        <v>10_203</v>
      </c>
      <c r="G177" s="644" t="s">
        <v>25</v>
      </c>
      <c r="H177" s="726" t="str">
        <f>IFERROR(VLOOKUP(G177,Recria[[Granja Recria]:[Núcleo]],2,0),"")</f>
        <v>(N1)</v>
      </c>
      <c r="I177" s="743">
        <v>60000</v>
      </c>
      <c r="J177" s="655" t="s">
        <v>45</v>
      </c>
      <c r="K177" s="655">
        <v>50</v>
      </c>
      <c r="L177" s="804" t="str">
        <f>VLOOKUP(M177,Raca_Linhagem[],2,0)</f>
        <v>ROSS</v>
      </c>
      <c r="M177" s="804" t="s">
        <v>26</v>
      </c>
      <c r="N177" s="727">
        <f t="shared" ref="N177:N260" si="100">C177+(22*7)-7</f>
        <v>46394</v>
      </c>
      <c r="O177" s="728"/>
      <c r="P177" s="728" t="str">
        <f>IFERROR(VLOOKUP(Q177,Producao[[Granja Produção]:[Emp+CC]],4,0),"")</f>
        <v>10_368</v>
      </c>
      <c r="Q177" s="666" t="s">
        <v>161</v>
      </c>
      <c r="R177" s="667" t="str">
        <f>IFERROR(VLOOKUP(Q177,Producao[[Granja Produção]:[Núcleo]],2,0),"")</f>
        <v>(N2)</v>
      </c>
      <c r="S177" s="668">
        <f>I177*0.96</f>
        <v>57600</v>
      </c>
      <c r="T177" s="669">
        <f t="shared" ref="T177:T220" si="101">C177+(U177*7)-1</f>
        <v>46708</v>
      </c>
      <c r="U177" s="670">
        <v>66</v>
      </c>
      <c r="V177" s="701"/>
      <c r="W177" s="671">
        <f t="shared" ref="W177:W220" si="102">IFERROR(T177+V177," ")</f>
        <v>46708</v>
      </c>
      <c r="X177" s="802" t="e">
        <f>VLOOKUP(Q177,Q250:Q427,1,0)</f>
        <v>#N/A</v>
      </c>
      <c r="Y177" s="1229" t="str">
        <f t="shared" ref="Y177:Y261" si="103">G177&amp;D177</f>
        <v>Picolli Rec. - PR104526</v>
      </c>
      <c r="Z177" s="818">
        <f>SUMIF($Y$114:$Y$314,Y177,$S$114:$S$1288)</f>
        <v>57600</v>
      </c>
      <c r="AA177" s="818"/>
      <c r="AC177" s="1316" t="str">
        <f t="shared" si="86"/>
        <v>Rossi 2 - PR</v>
      </c>
      <c r="AD177" s="1317">
        <f t="shared" si="87"/>
        <v>46247</v>
      </c>
      <c r="AE177" s="1317">
        <f t="shared" si="88"/>
        <v>46394</v>
      </c>
      <c r="AF177" s="1317">
        <f t="shared" si="89"/>
        <v>46708</v>
      </c>
      <c r="AG177" s="1315" t="str">
        <f t="shared" si="56"/>
        <v>AP95 - 344</v>
      </c>
      <c r="AH177" s="1315" t="str">
        <f t="shared" si="57"/>
        <v>ROSS</v>
      </c>
      <c r="AJ177" s="818"/>
    </row>
    <row r="178" spans="1:36">
      <c r="A178" s="655" t="s">
        <v>17</v>
      </c>
      <c r="B178" s="742">
        <f>N128+K128</f>
        <v>46259</v>
      </c>
      <c r="C178" s="656">
        <v>46261</v>
      </c>
      <c r="D178" s="1054">
        <v>104726</v>
      </c>
      <c r="E178" s="657">
        <f t="shared" ca="1" si="85"/>
        <v>4.7142857142857144</v>
      </c>
      <c r="F178" s="657" t="str">
        <f>IFERROR(VLOOKUP(G178,Recria[[Granja Recria]:[Emp+CC]],4,0),"")</f>
        <v>10_1295</v>
      </c>
      <c r="G178" s="644" t="s">
        <v>19</v>
      </c>
      <c r="H178" s="726" t="str">
        <f>IFERROR(VLOOKUP(G178,Recria[[Granja Recria]:[Núcleo]],2,0),"")</f>
        <v>(N3)</v>
      </c>
      <c r="I178" s="743">
        <v>84000</v>
      </c>
      <c r="J178" s="655" t="s">
        <v>45</v>
      </c>
      <c r="K178" s="655">
        <v>50</v>
      </c>
      <c r="L178" s="804" t="str">
        <f>VLOOKUP(M178,Raca_Linhagem[],2,0)</f>
        <v>ROSS</v>
      </c>
      <c r="M178" s="804" t="s">
        <v>26</v>
      </c>
      <c r="N178" s="727">
        <f t="shared" ref="N178" si="104">C178+(22*7)-7</f>
        <v>46408</v>
      </c>
      <c r="O178" s="728"/>
      <c r="P178" s="728" t="str">
        <f>IFERROR(VLOOKUP(Q178,Producao[[Granja Produção]:[Emp+CC]],4,0),"")</f>
        <v>108_1387</v>
      </c>
      <c r="Q178" s="666" t="s">
        <v>166</v>
      </c>
      <c r="R178" s="667" t="str">
        <f>IFERROR(VLOOKUP(Q178,Producao[[Granja Produção]:[Núcleo]],2,0),"")</f>
        <v>(N1)</v>
      </c>
      <c r="S178" s="668">
        <v>22000</v>
      </c>
      <c r="T178" s="669">
        <f t="shared" ref="T178" si="105">C178+(U178*7)-1</f>
        <v>46708</v>
      </c>
      <c r="U178" s="670">
        <v>64</v>
      </c>
      <c r="V178" s="701"/>
      <c r="W178" s="671">
        <f t="shared" ref="W178" si="106">IFERROR(T178+V178," ")</f>
        <v>46708</v>
      </c>
      <c r="X178" s="802" t="e">
        <f>VLOOKUP(Q178,Q248:Q429,1,0)</f>
        <v>#N/A</v>
      </c>
      <c r="Y178" s="1229" t="str">
        <f t="shared" si="103"/>
        <v>Esperança 3 - PR104726</v>
      </c>
      <c r="Z178" s="818">
        <f>SUMIF($Y$114:$Y$314,Y178,$S$114:$S$1288)</f>
        <v>80000</v>
      </c>
      <c r="AA178" s="818"/>
      <c r="AC178" s="1316" t="str">
        <f t="shared" si="86"/>
        <v>Saade - SC</v>
      </c>
      <c r="AD178" s="1317">
        <f t="shared" si="87"/>
        <v>46261</v>
      </c>
      <c r="AE178" s="1317">
        <f t="shared" si="88"/>
        <v>46408</v>
      </c>
      <c r="AF178" s="1317">
        <f t="shared" si="89"/>
        <v>46708</v>
      </c>
      <c r="AG178" s="1315" t="str">
        <f t="shared" si="56"/>
        <v>AP95 - 344</v>
      </c>
      <c r="AH178" s="1315" t="str">
        <f t="shared" si="57"/>
        <v>ROSS</v>
      </c>
      <c r="AJ178" s="818"/>
    </row>
    <row r="179" spans="1:36">
      <c r="A179" s="655" t="s">
        <v>17</v>
      </c>
      <c r="B179" s="742">
        <f>N128+K128</f>
        <v>46259</v>
      </c>
      <c r="C179" s="656">
        <v>46261</v>
      </c>
      <c r="D179" s="1054">
        <v>104726</v>
      </c>
      <c r="E179" s="657">
        <f t="shared" ca="1" si="85"/>
        <v>4.7142857142857144</v>
      </c>
      <c r="F179" s="657" t="str">
        <f>IFERROR(VLOOKUP(G179,Recria[[Granja Recria]:[Emp+CC]],4,0),"")</f>
        <v>10_1295</v>
      </c>
      <c r="G179" s="644" t="s">
        <v>19</v>
      </c>
      <c r="H179" s="726" t="str">
        <f>IFERROR(VLOOKUP(G179,Recria[[Granja Recria]:[Núcleo]],2,0),"")</f>
        <v>(N3)</v>
      </c>
      <c r="I179" s="743">
        <v>0</v>
      </c>
      <c r="J179" s="655" t="s">
        <v>45</v>
      </c>
      <c r="K179" s="655">
        <v>50</v>
      </c>
      <c r="L179" s="804" t="str">
        <f>VLOOKUP(M179,Raca_Linhagem[],2,0)</f>
        <v>ROSS</v>
      </c>
      <c r="M179" s="804" t="s">
        <v>26</v>
      </c>
      <c r="N179" s="727">
        <f t="shared" si="100"/>
        <v>46408</v>
      </c>
      <c r="O179" s="728"/>
      <c r="P179" s="728" t="str">
        <f>IFERROR(VLOOKUP(Q179,Producao[[Granja Produção]:[Emp+CC]],4,0),"")</f>
        <v>10_1535</v>
      </c>
      <c r="Q179" s="666" t="s">
        <v>163</v>
      </c>
      <c r="R179" s="667" t="str">
        <f>IFERROR(VLOOKUP(Q179,Producao[[Granja Produção]:[Núcleo]],2,0),"")</f>
        <v>(N2)</v>
      </c>
      <c r="S179" s="668">
        <v>58000</v>
      </c>
      <c r="T179" s="669">
        <f t="shared" si="101"/>
        <v>46722</v>
      </c>
      <c r="U179" s="670">
        <v>66</v>
      </c>
      <c r="V179" s="701"/>
      <c r="W179" s="671">
        <f t="shared" si="102"/>
        <v>46722</v>
      </c>
      <c r="X179" s="802" t="e">
        <f>VLOOKUP(Q179,Q250:Q430,1,0)</f>
        <v>#N/A</v>
      </c>
      <c r="Y179" s="1229" t="str">
        <f t="shared" si="103"/>
        <v>Esperança 3 - PR104726</v>
      </c>
      <c r="Z179" s="818">
        <f>SUMIF($Y$114:$Y$314,Y179,$S$114:$S$1288)</f>
        <v>80000</v>
      </c>
      <c r="AA179" s="818"/>
      <c r="AC179" s="1316" t="str">
        <f t="shared" si="86"/>
        <v>Ilha Bella 2 - PR</v>
      </c>
      <c r="AD179" s="1317">
        <f t="shared" si="87"/>
        <v>46261</v>
      </c>
      <c r="AE179" s="1317">
        <f t="shared" si="88"/>
        <v>46408</v>
      </c>
      <c r="AF179" s="1317">
        <f t="shared" si="89"/>
        <v>46722</v>
      </c>
      <c r="AG179" s="1315" t="str">
        <f t="shared" si="56"/>
        <v>AP95 - 344</v>
      </c>
      <c r="AH179" s="1315" t="str">
        <f t="shared" si="57"/>
        <v>ROSS</v>
      </c>
      <c r="AJ179" s="818"/>
    </row>
    <row r="180" spans="1:36">
      <c r="A180" s="655" t="s">
        <v>17</v>
      </c>
      <c r="B180" s="742">
        <f>N133+K133</f>
        <v>46283</v>
      </c>
      <c r="C180" s="656">
        <v>46282</v>
      </c>
      <c r="D180" s="1054">
        <v>104826</v>
      </c>
      <c r="E180" s="657">
        <f t="shared" ca="1" si="85"/>
        <v>1.7142857142857142</v>
      </c>
      <c r="F180" s="657" t="str">
        <f>IFERROR(VLOOKUP(G180,Recria[[Granja Recria]:[Emp+CC]],4,0),"")</f>
        <v>128_1367</v>
      </c>
      <c r="G180" s="644" t="s">
        <v>36</v>
      </c>
      <c r="H180" s="726" t="str">
        <f>IFERROR(VLOOKUP(G180,Recria[[Granja Recria]:[Núcleo]],2,0),"")</f>
        <v>(N1)</v>
      </c>
      <c r="I180" s="743">
        <v>60000</v>
      </c>
      <c r="J180" s="655" t="s">
        <v>45</v>
      </c>
      <c r="K180" s="655">
        <v>50</v>
      </c>
      <c r="L180" s="803" t="str">
        <f>VLOOKUP(M180,Raca_Linhagem[],2,0)</f>
        <v>COBB</v>
      </c>
      <c r="M180" s="803" t="s">
        <v>112</v>
      </c>
      <c r="N180" s="727">
        <f t="shared" si="100"/>
        <v>46429</v>
      </c>
      <c r="O180" s="728"/>
      <c r="P180" s="728" t="str">
        <f>IFERROR(VLOOKUP(Q180,Producao[[Granja Produção]:[Emp+CC]],4,0),"")</f>
        <v>123_1538</v>
      </c>
      <c r="Q180" s="666" t="s">
        <v>172</v>
      </c>
      <c r="R180" s="667" t="str">
        <f>IFERROR(VLOOKUP(Q180,Producao[[Granja Produção]:[Núcleo]],2,0),"")</f>
        <v>(N3)</v>
      </c>
      <c r="S180" s="668">
        <v>57000</v>
      </c>
      <c r="T180" s="669">
        <f t="shared" si="101"/>
        <v>46743</v>
      </c>
      <c r="U180" s="670">
        <v>66</v>
      </c>
      <c r="V180" s="701"/>
      <c r="W180" s="671">
        <f t="shared" si="102"/>
        <v>46743</v>
      </c>
      <c r="X180" s="802" t="e">
        <f>VLOOKUP(Q180,Q260:Q433,1,0)</f>
        <v>#N/A</v>
      </c>
      <c r="Y180" s="1229" t="str">
        <f t="shared" si="103"/>
        <v>Alto da Serra - PR104826</v>
      </c>
      <c r="Z180" s="818">
        <f>SUMIF($Y$114:$Y$314,Y180,$S$114:$S$1288)</f>
        <v>57000</v>
      </c>
      <c r="AA180" s="818"/>
      <c r="AC180" s="1316" t="str">
        <f t="shared" si="86"/>
        <v>Fronteira 3 - PR</v>
      </c>
      <c r="AD180" s="1317">
        <f t="shared" si="87"/>
        <v>46282</v>
      </c>
      <c r="AE180" s="1317">
        <f t="shared" si="88"/>
        <v>46429</v>
      </c>
      <c r="AF180" s="1317">
        <f t="shared" si="89"/>
        <v>46743</v>
      </c>
      <c r="AG180" s="1315" t="str">
        <f t="shared" si="56"/>
        <v>500 SLOW - MX</v>
      </c>
      <c r="AH180" s="1315" t="str">
        <f t="shared" si="57"/>
        <v>COBB</v>
      </c>
      <c r="AJ180" s="818"/>
    </row>
    <row r="181" spans="1:36" s="477" customFormat="1" ht="15.6" customHeight="1">
      <c r="A181" s="1266" t="s">
        <v>177</v>
      </c>
      <c r="B181" s="1267">
        <v>46263</v>
      </c>
      <c r="C181" s="1268">
        <f>B181</f>
        <v>46263</v>
      </c>
      <c r="D181" s="1269">
        <v>200626</v>
      </c>
      <c r="E181" s="1270">
        <f t="shared" ca="1" si="85"/>
        <v>4.4285714285714288</v>
      </c>
      <c r="F181" s="1270" t="str">
        <f>IFERROR(VLOOKUP(G181,Recria[[Granja Recria]:[Emp+CC]],4,0),"")</f>
        <v>29_2238</v>
      </c>
      <c r="G181" s="1271" t="s">
        <v>243</v>
      </c>
      <c r="H181" s="1272" t="str">
        <f>IFERROR(VLOOKUP(G181,Recria[[Granja Recria]:[Núcleo]],2,0),"")</f>
        <v>(N1)</v>
      </c>
      <c r="I181" s="1270"/>
      <c r="J181" s="1266" t="s">
        <v>60</v>
      </c>
      <c r="K181" s="1266">
        <v>25</v>
      </c>
      <c r="L181" s="803" t="str">
        <f>VLOOKUP(M181,Raca_Linhagem[],2,0)</f>
        <v>COBB</v>
      </c>
      <c r="M181" s="806" t="s">
        <v>37</v>
      </c>
      <c r="N181" s="961">
        <f>C181+(22*7)-7</f>
        <v>46410</v>
      </c>
      <c r="O181" s="962"/>
      <c r="P181" s="962" t="str">
        <f>IFERROR(VLOOKUP(Q181,Producao[[Granja Produção]:[Emp+CC]],4,0),"")</f>
        <v>17_106</v>
      </c>
      <c r="Q181" s="666" t="s">
        <v>180</v>
      </c>
      <c r="R181" s="964" t="str">
        <f>IFERROR(VLOOKUP(Q181,Producao[[Granja Produção]:[Núcleo]],2,0),"")</f>
        <v>(N3)</v>
      </c>
      <c r="S181" s="668">
        <v>11000</v>
      </c>
      <c r="T181" s="966">
        <f>C181+(U181*7)-1</f>
        <v>46752</v>
      </c>
      <c r="U181" s="967">
        <v>70</v>
      </c>
      <c r="V181" s="968"/>
      <c r="W181" s="969">
        <f>IFERROR(T181+V181," ")</f>
        <v>46752</v>
      </c>
      <c r="X181" s="802" t="e">
        <f>VLOOKUP(Q181,Q204:Q258,1,0)</f>
        <v>#N/A</v>
      </c>
      <c r="Y181" s="476"/>
      <c r="Z181" s="476"/>
      <c r="AA181" s="476"/>
      <c r="AC181" s="1316" t="str">
        <f t="shared" si="86"/>
        <v>Bela Vista 3 - PR</v>
      </c>
      <c r="AD181" s="1317">
        <f t="shared" si="87"/>
        <v>46263</v>
      </c>
      <c r="AE181" s="1317">
        <f t="shared" si="88"/>
        <v>46410</v>
      </c>
      <c r="AF181" s="1317">
        <f t="shared" si="89"/>
        <v>46752</v>
      </c>
      <c r="AG181" s="1315" t="str">
        <f t="shared" si="56"/>
        <v>500 SLOW - MALE JBS</v>
      </c>
      <c r="AH181" s="1315" t="str">
        <f t="shared" si="57"/>
        <v>COBB</v>
      </c>
      <c r="AJ181" s="818"/>
    </row>
    <row r="182" spans="1:36">
      <c r="A182" s="655" t="s">
        <v>17</v>
      </c>
      <c r="B182" s="742">
        <f>N123+K123</f>
        <v>46280</v>
      </c>
      <c r="C182" s="656">
        <v>46282</v>
      </c>
      <c r="D182" s="1142">
        <v>104926</v>
      </c>
      <c r="E182" s="1143">
        <f t="shared" ca="1" si="85"/>
        <v>1.7142857142857142</v>
      </c>
      <c r="F182" s="657" t="str">
        <f>IFERROR(VLOOKUP(G182,Recria[[Granja Recria]:[Emp+CC]],4,0),"")</f>
        <v>124_47</v>
      </c>
      <c r="G182" s="644" t="s">
        <v>52</v>
      </c>
      <c r="H182" s="726" t="str">
        <f>IFERROR(VLOOKUP(G182,Recria[[Granja Recria]:[Núcleo]],2,0),"")</f>
        <v>(N1)</v>
      </c>
      <c r="I182" s="743">
        <v>30000</v>
      </c>
      <c r="J182" s="655" t="s">
        <v>60</v>
      </c>
      <c r="K182" s="655">
        <v>20</v>
      </c>
      <c r="L182" s="804" t="str">
        <f>VLOOKUP(M182,Raca_Linhagem[],2,0)</f>
        <v>ROSS</v>
      </c>
      <c r="M182" s="804" t="s">
        <v>26</v>
      </c>
      <c r="N182" s="727">
        <f>C182+(22*7)-7</f>
        <v>46429</v>
      </c>
      <c r="O182" s="728"/>
      <c r="P182" s="728" t="str">
        <f>IFERROR(VLOOKUP(Q182,Producao[[Granja Produção]:[Emp+CC]],4,0),"")</f>
        <v>17_106</v>
      </c>
      <c r="Q182" s="666" t="s">
        <v>180</v>
      </c>
      <c r="R182" s="667" t="str">
        <f>IFERROR(VLOOKUP(Q182,Producao[[Granja Produção]:[Núcleo]],2,0),"")</f>
        <v>(N3)</v>
      </c>
      <c r="S182" s="668">
        <f>I182*0.96</f>
        <v>28800</v>
      </c>
      <c r="T182" s="669">
        <f>C182+(U182*7)-1</f>
        <v>46743</v>
      </c>
      <c r="U182" s="670">
        <v>66</v>
      </c>
      <c r="V182" s="701"/>
      <c r="W182" s="671">
        <f>IFERROR(T182+V182," ")</f>
        <v>46743</v>
      </c>
      <c r="X182" s="802" t="e">
        <f>VLOOKUP(Q182,Q264:Q434,1,0)</f>
        <v>#N/A</v>
      </c>
      <c r="Y182" s="1229" t="str">
        <f>G182&amp;D182</f>
        <v>Quedas - PR104926</v>
      </c>
      <c r="Z182" s="818">
        <f>SUMIF($Y$114:$Y$314,Y182,$S$114:$S$1288)</f>
        <v>28800</v>
      </c>
      <c r="AA182" s="818"/>
      <c r="AC182" s="1316" t="str">
        <f t="shared" si="86"/>
        <v>Bela Vista 3 - PR</v>
      </c>
      <c r="AD182" s="1317">
        <f t="shared" si="87"/>
        <v>46282</v>
      </c>
      <c r="AE182" s="1317">
        <f t="shared" si="88"/>
        <v>46429</v>
      </c>
      <c r="AF182" s="1317">
        <f t="shared" si="89"/>
        <v>46743</v>
      </c>
      <c r="AG182" s="1315" t="str">
        <f t="shared" si="56"/>
        <v>AP95 - 344</v>
      </c>
      <c r="AH182" s="1315" t="str">
        <f t="shared" si="57"/>
        <v>ROSS</v>
      </c>
      <c r="AJ182" s="818"/>
    </row>
    <row r="183" spans="1:36" s="1424" customFormat="1">
      <c r="A183" s="1176"/>
      <c r="B183" s="1177">
        <v>46275</v>
      </c>
      <c r="C183" s="1178">
        <v>46328</v>
      </c>
      <c r="D183" s="1142"/>
      <c r="E183" s="1143">
        <f t="shared" ca="1" si="85"/>
        <v>-4.8571428571428568</v>
      </c>
      <c r="F183" s="657" t="str">
        <f>IFERROR(VLOOKUP(G183,Recria[[Granja Recria]:[Emp+CC]],4,0),"")</f>
        <v/>
      </c>
      <c r="G183" s="1241" t="s">
        <v>255</v>
      </c>
      <c r="H183" s="726" t="str">
        <f>IFERROR(VLOOKUP(G183,Recria[[Granja Recria]:[Núcleo]],2,0),"")</f>
        <v/>
      </c>
      <c r="I183" s="1180">
        <v>80000</v>
      </c>
      <c r="J183" s="1176" t="s">
        <v>1678</v>
      </c>
      <c r="K183" s="1176" t="s">
        <v>1678</v>
      </c>
      <c r="L183" s="804" t="str">
        <f>VLOOKUP(M183,Raca_Linhagem[],2,0)</f>
        <v>COBB</v>
      </c>
      <c r="M183" s="1422" t="s">
        <v>21</v>
      </c>
      <c r="N183" s="1415">
        <f>C183+(22*7)-7</f>
        <v>46475</v>
      </c>
      <c r="O183" s="1416"/>
      <c r="P183" s="1416" t="str">
        <f>IFERROR(VLOOKUP(Q183,Producao[[Granja Produção]:[Emp+CC]],4,0),"")</f>
        <v/>
      </c>
      <c r="Q183" s="1417"/>
      <c r="R183" s="1428" t="str">
        <f>IFERROR(VLOOKUP(Q183,Producao[[Granja Produção]:[Núcleo]],2,0),"")</f>
        <v/>
      </c>
      <c r="S183" s="1418">
        <f>I183*0.96</f>
        <v>76800</v>
      </c>
      <c r="T183" s="1429">
        <f>C183+(U183*7)-1</f>
        <v>46789</v>
      </c>
      <c r="U183" s="1430">
        <v>66</v>
      </c>
      <c r="V183" s="1431"/>
      <c r="W183" s="1432">
        <f>IFERROR(T183+V183," ")</f>
        <v>46789</v>
      </c>
      <c r="X183" s="802" t="e">
        <f>VLOOKUP(Q183,Q265:Q435,1,0)</f>
        <v>#N/A</v>
      </c>
      <c r="Y183" s="1229" t="str">
        <f>G183&amp;D183</f>
        <v>C.VALE</v>
      </c>
      <c r="Z183" s="1423"/>
      <c r="AA183" s="1423"/>
      <c r="AC183" s="1425"/>
      <c r="AD183" s="1426"/>
      <c r="AE183" s="1426"/>
      <c r="AF183" s="1426"/>
      <c r="AG183" s="1427" t="str">
        <f t="shared" si="56"/>
        <v>500 SLOW - MALE</v>
      </c>
      <c r="AH183" s="1427"/>
      <c r="AJ183" s="1423"/>
    </row>
    <row r="184" spans="1:36" s="477" customFormat="1" ht="15" customHeight="1">
      <c r="A184" s="1266" t="s">
        <v>244</v>
      </c>
      <c r="B184" s="1267">
        <v>46292</v>
      </c>
      <c r="C184" s="1268">
        <f>B184</f>
        <v>46292</v>
      </c>
      <c r="D184" s="1269">
        <v>200826</v>
      </c>
      <c r="E184" s="1270">
        <f t="shared" ca="1" si="85"/>
        <v>0.2857142857142857</v>
      </c>
      <c r="F184" s="1270" t="str">
        <f>IFERROR(VLOOKUP(G184,Recria[[Granja Recria]:[Emp+CC]],4,0),"")</f>
        <v>22_494</v>
      </c>
      <c r="G184" s="1271" t="s">
        <v>245</v>
      </c>
      <c r="H184" s="1272" t="str">
        <f>IFERROR(VLOOKUP(G184,Recria[[Granja Recria]:[Núcleo]],2,0),"")</f>
        <v>(N1)</v>
      </c>
      <c r="I184" s="1270"/>
      <c r="J184" s="1266" t="s">
        <v>45</v>
      </c>
      <c r="K184" s="1266">
        <v>60</v>
      </c>
      <c r="L184" s="803" t="str">
        <f>VLOOKUP(M184,Raca_Linhagem[],2,0)</f>
        <v>ROSS</v>
      </c>
      <c r="M184" s="812" t="s">
        <v>26</v>
      </c>
      <c r="N184" s="961">
        <f>C184+(22*7)-7</f>
        <v>46439</v>
      </c>
      <c r="O184" s="962"/>
      <c r="P184" s="962" t="str">
        <f>IFERROR(VLOOKUP(Q184,Producao[[Granja Produção]:[Emp+CC]],4,0),"")</f>
        <v>138_26</v>
      </c>
      <c r="Q184" s="666" t="s">
        <v>174</v>
      </c>
      <c r="R184" s="962" t="str">
        <f>IFERROR(VLOOKUP(Q184,Producao[[Granja Produção]:[Núcleo]],2,0),"")</f>
        <v>(N1)</v>
      </c>
      <c r="S184" s="668">
        <v>28000</v>
      </c>
      <c r="T184" s="966">
        <f>C184+(U184*7)-1</f>
        <v>46753</v>
      </c>
      <c r="U184" s="967">
        <v>66</v>
      </c>
      <c r="V184" s="968"/>
      <c r="W184" s="969">
        <f>IFERROR(T184+V184," ")</f>
        <v>46753</v>
      </c>
      <c r="X184" s="802" t="e">
        <f>VLOOKUP(Q184,Q206:Q259,1,0)</f>
        <v>#N/A</v>
      </c>
      <c r="Y184" s="476"/>
      <c r="Z184" s="476"/>
      <c r="AA184" s="476"/>
      <c r="AC184" s="1316" t="str">
        <f t="shared" si="86"/>
        <v>Erveira - PR</v>
      </c>
      <c r="AD184" s="1317">
        <f t="shared" si="87"/>
        <v>46292</v>
      </c>
      <c r="AE184" s="1317">
        <f t="shared" si="88"/>
        <v>46439</v>
      </c>
      <c r="AF184" s="1317">
        <f t="shared" si="89"/>
        <v>46753</v>
      </c>
      <c r="AG184" s="1315" t="str">
        <f t="shared" si="56"/>
        <v>AP95 - 344</v>
      </c>
      <c r="AH184" s="1315" t="str">
        <f t="shared" si="57"/>
        <v>ROSS</v>
      </c>
      <c r="AJ184" s="818"/>
    </row>
    <row r="185" spans="1:36" ht="16.2" customHeight="1">
      <c r="A185" s="655" t="s">
        <v>17</v>
      </c>
      <c r="B185" s="742">
        <f>N137+K137</f>
        <v>46280</v>
      </c>
      <c r="C185" s="656">
        <v>46282</v>
      </c>
      <c r="D185" s="1142">
        <v>105026</v>
      </c>
      <c r="E185" s="1143">
        <f t="shared" ca="1" si="85"/>
        <v>1.7142857142857142</v>
      </c>
      <c r="F185" s="657" t="str">
        <f>IFERROR(VLOOKUP(G185,Recria[[Granja Recria]:[Emp+CC]],4,0),"")</f>
        <v>117_139</v>
      </c>
      <c r="G185" s="644" t="s">
        <v>30</v>
      </c>
      <c r="H185" s="726" t="str">
        <f>IFERROR(VLOOKUP(G185,Recria[[Granja Recria]:[Núcleo]],2,0),"")</f>
        <v>(N4)</v>
      </c>
      <c r="I185" s="743">
        <v>43000</v>
      </c>
      <c r="J185" s="655" t="s">
        <v>20</v>
      </c>
      <c r="K185" s="655">
        <v>20</v>
      </c>
      <c r="L185" s="807" t="str">
        <f>VLOOKUP(M185,Raca_Linhagem[],2,0)</f>
        <v>COBB</v>
      </c>
      <c r="M185" s="806" t="s">
        <v>37</v>
      </c>
      <c r="N185" s="727">
        <f t="shared" si="100"/>
        <v>46429</v>
      </c>
      <c r="O185" s="728"/>
      <c r="P185" s="728" t="str">
        <f>IFERROR(VLOOKUP(Q185,Producao[[Granja Produção]:[Emp+CC]],4,0),"")</f>
        <v>26_166</v>
      </c>
      <c r="Q185" s="666" t="s">
        <v>170</v>
      </c>
      <c r="R185" s="667" t="str">
        <f>IFERROR(VLOOKUP(Q185,Producao[[Granja Produção]:[Núcleo]],2,0),"")</f>
        <v>(N1)</v>
      </c>
      <c r="S185" s="668">
        <f t="shared" ref="S185:S200" si="107">I185*0.96</f>
        <v>41280</v>
      </c>
      <c r="T185" s="669">
        <f t="shared" si="101"/>
        <v>46743</v>
      </c>
      <c r="U185" s="670">
        <v>66</v>
      </c>
      <c r="V185" s="701"/>
      <c r="W185" s="671">
        <f t="shared" si="102"/>
        <v>46743</v>
      </c>
      <c r="X185" s="802" t="e">
        <f>VLOOKUP(Q185,Q258:Q431,1,0)</f>
        <v>#N/A</v>
      </c>
      <c r="Y185" s="1229" t="str">
        <f t="shared" si="103"/>
        <v>Bom S. Rec. 1 - PR105026</v>
      </c>
      <c r="Z185" s="818">
        <f>SUMIF($Y$114:$Y$314,Y185,$S$114:$S$1288)</f>
        <v>41280</v>
      </c>
      <c r="AA185" s="818"/>
      <c r="AC185" s="1316" t="str">
        <f t="shared" si="86"/>
        <v>Salto 1 - PR</v>
      </c>
      <c r="AD185" s="1317">
        <f t="shared" si="87"/>
        <v>46282</v>
      </c>
      <c r="AE185" s="1317">
        <f t="shared" si="88"/>
        <v>46429</v>
      </c>
      <c r="AF185" s="1317">
        <f t="shared" si="89"/>
        <v>46743</v>
      </c>
      <c r="AG185" s="1315" t="str">
        <f t="shared" si="56"/>
        <v>500 SLOW - MALE JBS</v>
      </c>
      <c r="AH185" s="1315" t="str">
        <f t="shared" si="57"/>
        <v>COBB</v>
      </c>
      <c r="AJ185" s="818"/>
    </row>
    <row r="186" spans="1:36">
      <c r="A186" s="655" t="s">
        <v>17</v>
      </c>
      <c r="B186" s="742">
        <f>N136+K136</f>
        <v>46290</v>
      </c>
      <c r="C186" s="656">
        <v>46289</v>
      </c>
      <c r="D186" s="1142">
        <v>105126</v>
      </c>
      <c r="E186" s="1143">
        <f t="shared" ca="1" si="85"/>
        <v>0.7142857142857143</v>
      </c>
      <c r="F186" s="657" t="str">
        <f>IFERROR(VLOOKUP(G186,Recria[[Granja Recria]:[Emp+CC]],4,0),"")</f>
        <v>10_857</v>
      </c>
      <c r="G186" s="644" t="s">
        <v>47</v>
      </c>
      <c r="H186" s="726" t="str">
        <f>IFERROR(VLOOKUP(G186,Recria[[Granja Recria]:[Núcleo]],2,0),"")</f>
        <v>(N2)</v>
      </c>
      <c r="I186" s="743">
        <v>60000</v>
      </c>
      <c r="J186" s="655" t="s">
        <v>20</v>
      </c>
      <c r="K186" s="655">
        <v>23</v>
      </c>
      <c r="L186" s="804" t="str">
        <f>VLOOKUP(M186,Raca_Linhagem[],2,0)</f>
        <v>ROSS</v>
      </c>
      <c r="M186" s="804" t="s">
        <v>26</v>
      </c>
      <c r="N186" s="727">
        <f t="shared" si="100"/>
        <v>46436</v>
      </c>
      <c r="O186" s="728"/>
      <c r="P186" s="728" t="str">
        <f>IFERROR(VLOOKUP(Q186,Producao[[Granja Produção]:[Emp+CC]],4,0),"")</f>
        <v>123_1539</v>
      </c>
      <c r="Q186" s="666" t="s">
        <v>176</v>
      </c>
      <c r="R186" s="667" t="str">
        <f>IFERROR(VLOOKUP(Q186,Producao[[Granja Produção]:[Núcleo]],2,0),"")</f>
        <v>(N4)</v>
      </c>
      <c r="S186" s="668">
        <f t="shared" si="107"/>
        <v>57600</v>
      </c>
      <c r="T186" s="669">
        <f t="shared" si="101"/>
        <v>46750</v>
      </c>
      <c r="U186" s="670">
        <v>66</v>
      </c>
      <c r="V186" s="701"/>
      <c r="W186" s="671">
        <f t="shared" si="102"/>
        <v>46750</v>
      </c>
      <c r="X186" s="802" t="e">
        <f>VLOOKUP(Q186,Q261:Q432,1,0)</f>
        <v>#N/A</v>
      </c>
      <c r="Y186" s="1229" t="str">
        <f t="shared" si="103"/>
        <v>Viganó 2 - PR105126</v>
      </c>
      <c r="Z186" s="818">
        <f>SUMIF($Y$114:$Y$314,Y186,$S$114:$S$1288)</f>
        <v>57600</v>
      </c>
      <c r="AA186" s="818"/>
      <c r="AC186" s="1316" t="str">
        <f t="shared" si="86"/>
        <v>Fronteira 4 - PR</v>
      </c>
      <c r="AD186" s="1317">
        <f t="shared" si="87"/>
        <v>46289</v>
      </c>
      <c r="AE186" s="1317">
        <f t="shared" si="88"/>
        <v>46436</v>
      </c>
      <c r="AF186" s="1317">
        <f t="shared" si="89"/>
        <v>46750</v>
      </c>
      <c r="AG186" s="1315" t="str">
        <f t="shared" si="56"/>
        <v>AP95 - 344</v>
      </c>
      <c r="AH186" s="1315" t="str">
        <f t="shared" si="57"/>
        <v>ROSS</v>
      </c>
      <c r="AJ186" s="818"/>
    </row>
    <row r="187" spans="1:36">
      <c r="A187" s="744" t="s">
        <v>17</v>
      </c>
      <c r="B187" s="745">
        <f>N131+K131</f>
        <v>46301</v>
      </c>
      <c r="C187" s="746">
        <v>46303</v>
      </c>
      <c r="D187" s="1273">
        <v>105226</v>
      </c>
      <c r="E187" s="1274">
        <f t="shared" ca="1" si="85"/>
        <v>-1.2857142857142858</v>
      </c>
      <c r="F187" s="747" t="str">
        <f>IFERROR(VLOOKUP(G187,Recria[[Granja Recria]:[Emp+CC]],4,0),"")</f>
        <v>112_29</v>
      </c>
      <c r="G187" s="1187" t="s">
        <v>68</v>
      </c>
      <c r="H187" s="748" t="str">
        <f>IFERROR(VLOOKUP(G187,Recria[[Granja Recria]:[Núcleo]],2,0),"")</f>
        <v>(N1)</v>
      </c>
      <c r="I187" s="749">
        <v>107000</v>
      </c>
      <c r="J187" s="744" t="s">
        <v>60</v>
      </c>
      <c r="K187" s="744">
        <v>20</v>
      </c>
      <c r="L187" s="803" t="str">
        <f>VLOOKUP(M187,Raca_Linhagem[],2,0)</f>
        <v>COBB</v>
      </c>
      <c r="M187" s="803" t="s">
        <v>112</v>
      </c>
      <c r="N187" s="727">
        <f t="shared" si="100"/>
        <v>46450</v>
      </c>
      <c r="O187" s="728"/>
      <c r="P187" s="728" t="str">
        <f>IFERROR(VLOOKUP(Q187,Producao[[Granja Produção]:[Emp+CC]],4,0),"")</f>
        <v>10_20</v>
      </c>
      <c r="Q187" s="666" t="s">
        <v>167</v>
      </c>
      <c r="R187" s="667" t="str">
        <f>IFERROR(VLOOKUP(Q187,Producao[[Granja Produção]:[Núcleo]],2,0),"")</f>
        <v>(N1)</v>
      </c>
      <c r="S187" s="668">
        <v>26000</v>
      </c>
      <c r="T187" s="669">
        <f t="shared" si="101"/>
        <v>46764</v>
      </c>
      <c r="U187" s="670">
        <v>66</v>
      </c>
      <c r="V187" s="701"/>
      <c r="W187" s="671">
        <f t="shared" si="102"/>
        <v>46764</v>
      </c>
      <c r="X187" s="802" t="e">
        <f>VLOOKUP(Q187,Q268:Q436,1,0)</f>
        <v>#N/A</v>
      </c>
      <c r="Y187" s="1229" t="str">
        <f t="shared" si="103"/>
        <v>Pluma 1 - PR105226</v>
      </c>
      <c r="Z187" s="818">
        <f>SUMIF($Y$114:$Y$314,Y187,$S$114:$S$1288)</f>
        <v>101000</v>
      </c>
      <c r="AA187" s="818"/>
      <c r="AC187" s="1316" t="str">
        <f t="shared" si="86"/>
        <v>Biava - PR</v>
      </c>
      <c r="AD187" s="1317">
        <f t="shared" si="87"/>
        <v>46303</v>
      </c>
      <c r="AE187" s="1317">
        <f t="shared" si="88"/>
        <v>46450</v>
      </c>
      <c r="AF187" s="1317">
        <f t="shared" si="89"/>
        <v>46764</v>
      </c>
      <c r="AG187" s="1315" t="str">
        <f t="shared" si="56"/>
        <v>500 SLOW - MX</v>
      </c>
      <c r="AH187" s="1315" t="str">
        <f t="shared" si="57"/>
        <v>COBB</v>
      </c>
      <c r="AJ187" s="818"/>
    </row>
    <row r="188" spans="1:36">
      <c r="A188" s="744" t="s">
        <v>17</v>
      </c>
      <c r="B188" s="745">
        <f>N131+K131</f>
        <v>46301</v>
      </c>
      <c r="C188" s="746">
        <v>46303</v>
      </c>
      <c r="D188" s="1273">
        <v>105226</v>
      </c>
      <c r="E188" s="1274">
        <f t="shared" ca="1" si="85"/>
        <v>-1.2857142857142858</v>
      </c>
      <c r="F188" s="747" t="str">
        <f>IFERROR(VLOOKUP(G188,Recria[[Granja Recria]:[Emp+CC]],4,0),"")</f>
        <v>112_29</v>
      </c>
      <c r="G188" s="1187" t="s">
        <v>68</v>
      </c>
      <c r="H188" s="748" t="str">
        <f>IFERROR(VLOOKUP(G188,Recria[[Granja Recria]:[Núcleo]],2,0),"")</f>
        <v>(N1)</v>
      </c>
      <c r="I188" s="749"/>
      <c r="J188" s="744" t="s">
        <v>60</v>
      </c>
      <c r="K188" s="744">
        <v>20</v>
      </c>
      <c r="L188" s="803" t="str">
        <f>VLOOKUP(M188,Raca_Linhagem[],2,0)</f>
        <v>COBB</v>
      </c>
      <c r="M188" s="803" t="s">
        <v>112</v>
      </c>
      <c r="N188" s="727">
        <f t="shared" si="100"/>
        <v>46450</v>
      </c>
      <c r="O188" s="728"/>
      <c r="P188" s="728" t="str">
        <f>IFERROR(VLOOKUP(Q188,Producao[[Granja Produção]:[Emp+CC]],4,0),"")</f>
        <v>10_18</v>
      </c>
      <c r="Q188" s="666" t="s">
        <v>179</v>
      </c>
      <c r="R188" s="667" t="str">
        <f>IFERROR(VLOOKUP(Q188,Producao[[Granja Produção]:[Núcleo]],2,0),"")</f>
        <v>(N1)</v>
      </c>
      <c r="S188" s="668">
        <v>25000</v>
      </c>
      <c r="T188" s="669">
        <f t="shared" ref="T188" si="108">C188+(U188*7)-1</f>
        <v>46764</v>
      </c>
      <c r="U188" s="670">
        <v>66</v>
      </c>
      <c r="V188" s="701"/>
      <c r="W188" s="671">
        <f t="shared" ref="W188" si="109">IFERROR(T188+V188," ")</f>
        <v>46764</v>
      </c>
      <c r="X188" s="802" t="e">
        <f>VLOOKUP(Q188,Q269:Q437,1,0)</f>
        <v>#N/A</v>
      </c>
      <c r="Y188" s="1229" t="str">
        <f t="shared" si="103"/>
        <v>Pluma 1 - PR105226</v>
      </c>
      <c r="Z188" s="818">
        <f>SUMIF($Y$114:$Y$314,Y188,$S$114:$S$1288)</f>
        <v>101000</v>
      </c>
      <c r="AA188" s="818"/>
      <c r="AC188" s="1316" t="str">
        <f t="shared" si="86"/>
        <v>Alto Verê - PR</v>
      </c>
      <c r="AD188" s="1317">
        <f t="shared" si="87"/>
        <v>46303</v>
      </c>
      <c r="AE188" s="1317">
        <f t="shared" si="88"/>
        <v>46450</v>
      </c>
      <c r="AF188" s="1317">
        <f t="shared" si="89"/>
        <v>46764</v>
      </c>
      <c r="AG188" s="1315" t="str">
        <f t="shared" si="56"/>
        <v>500 SLOW - MX</v>
      </c>
      <c r="AH188" s="1315" t="str">
        <f t="shared" si="57"/>
        <v>COBB</v>
      </c>
      <c r="AJ188" s="818"/>
    </row>
    <row r="189" spans="1:36">
      <c r="A189" s="744" t="s">
        <v>17</v>
      </c>
      <c r="B189" s="745">
        <f>N131+K131</f>
        <v>46301</v>
      </c>
      <c r="C189" s="746">
        <v>46303</v>
      </c>
      <c r="D189" s="1273">
        <v>105226</v>
      </c>
      <c r="E189" s="1274">
        <f t="shared" ca="1" si="85"/>
        <v>-1.2857142857142858</v>
      </c>
      <c r="F189" s="747" t="str">
        <f>IFERROR(VLOOKUP(G189,Recria[[Granja Recria]:[Emp+CC]],4,0),"")</f>
        <v>112_29</v>
      </c>
      <c r="G189" s="1187" t="s">
        <v>68</v>
      </c>
      <c r="H189" s="748" t="str">
        <f>IFERROR(VLOOKUP(G189,Recria[[Granja Recria]:[Núcleo]],2,0),"")</f>
        <v>(N1)</v>
      </c>
      <c r="I189" s="749"/>
      <c r="J189" s="744" t="s">
        <v>60</v>
      </c>
      <c r="K189" s="744">
        <v>20</v>
      </c>
      <c r="L189" s="803" t="str">
        <f>VLOOKUP(M189,Raca_Linhagem[],2,0)</f>
        <v>COBB</v>
      </c>
      <c r="M189" s="803" t="s">
        <v>112</v>
      </c>
      <c r="N189" s="727">
        <f t="shared" si="100"/>
        <v>46450</v>
      </c>
      <c r="O189" s="728"/>
      <c r="P189" s="728" t="str">
        <f>IFERROR(VLOOKUP(Q189,Producao[[Granja Produção]:[Emp+CC]],4,0),"")</f>
        <v>10_52</v>
      </c>
      <c r="Q189" s="666" t="s">
        <v>182</v>
      </c>
      <c r="R189" s="667" t="str">
        <f>IFERROR(VLOOKUP(Q189,Producao[[Granja Produção]:[Núcleo]],2,0),"")</f>
        <v>(N2)</v>
      </c>
      <c r="S189" s="668">
        <v>50000</v>
      </c>
      <c r="T189" s="669">
        <f t="shared" ref="T189" si="110">C189+(U189*7)-1</f>
        <v>46764</v>
      </c>
      <c r="U189" s="670">
        <v>66</v>
      </c>
      <c r="V189" s="701"/>
      <c r="W189" s="671">
        <f t="shared" ref="W189" si="111">IFERROR(T189+V189," ")</f>
        <v>46764</v>
      </c>
      <c r="X189" s="802" t="e">
        <f>VLOOKUP(Q189,Q269:Q437,1,0)</f>
        <v>#N/A</v>
      </c>
      <c r="Y189" s="1229" t="str">
        <f t="shared" si="103"/>
        <v>Pluma 1 - PR105226</v>
      </c>
      <c r="Z189" s="818">
        <f>SUMIF($Y$114:$Y$314,Y189,$S$114:$S$1288)</f>
        <v>101000</v>
      </c>
      <c r="AA189" s="818"/>
      <c r="AC189" s="1316" t="str">
        <f t="shared" si="86"/>
        <v>Km 45 nucleo 2 - PR</v>
      </c>
      <c r="AD189" s="1317">
        <f t="shared" si="87"/>
        <v>46303</v>
      </c>
      <c r="AE189" s="1317">
        <f t="shared" si="88"/>
        <v>46450</v>
      </c>
      <c r="AF189" s="1317">
        <f t="shared" si="89"/>
        <v>46764</v>
      </c>
      <c r="AG189" s="1315" t="str">
        <f t="shared" si="56"/>
        <v>500 SLOW - MX</v>
      </c>
      <c r="AH189" s="1315" t="str">
        <f t="shared" si="57"/>
        <v>COBB</v>
      </c>
      <c r="AJ189" s="818"/>
    </row>
    <row r="190" spans="1:36">
      <c r="A190" s="744" t="s">
        <v>17</v>
      </c>
      <c r="B190" s="745">
        <f>N139+K139</f>
        <v>46303</v>
      </c>
      <c r="C190" s="746">
        <v>46303</v>
      </c>
      <c r="D190" s="1273">
        <v>105826</v>
      </c>
      <c r="E190" s="1274"/>
      <c r="F190" s="747" t="str">
        <f>IFERROR(VLOOKUP(G190,Recria[[Granja Recria]:[Emp+CC]],4,0),"")</f>
        <v>139_49</v>
      </c>
      <c r="G190" s="1187" t="s">
        <v>59</v>
      </c>
      <c r="H190" s="748" t="str">
        <f>IFERROR(VLOOKUP(G190,Recria[[Granja Recria]:[Núcleo]],2,0),"")</f>
        <v>(N1)</v>
      </c>
      <c r="I190" s="749">
        <v>60000</v>
      </c>
      <c r="J190" s="744" t="s">
        <v>20</v>
      </c>
      <c r="K190" s="744">
        <v>20</v>
      </c>
      <c r="L190" s="804" t="str">
        <f>VLOOKUP(M190,Raca_Linhagem[],2,0)</f>
        <v>ROSS</v>
      </c>
      <c r="M190" s="804" t="s">
        <v>26</v>
      </c>
      <c r="N190" s="727">
        <f>C190+(22*7)-7</f>
        <v>46450</v>
      </c>
      <c r="O190" s="728"/>
      <c r="P190" s="728" t="str">
        <f>IFERROR(VLOOKUP(Q190,Producao[[Granja Produção]:[Emp+CC]],4,0),"")</f>
        <v>118_1081</v>
      </c>
      <c r="Q190" s="666" t="s">
        <v>184</v>
      </c>
      <c r="R190" s="667" t="str">
        <f>IFERROR(VLOOKUP(Q190,Producao[[Granja Produção]:[Núcleo]],2,0),"")</f>
        <v>(N3)</v>
      </c>
      <c r="S190" s="668">
        <f>I190*0.96</f>
        <v>57600</v>
      </c>
      <c r="T190" s="669">
        <f>C190+(U190*7)-1</f>
        <v>46764</v>
      </c>
      <c r="U190" s="670">
        <v>66</v>
      </c>
      <c r="V190" s="701"/>
      <c r="W190" s="671">
        <f>IFERROR(T190+V190," ")</f>
        <v>46764</v>
      </c>
      <c r="X190" s="802" t="e">
        <f>VLOOKUP(Q190,Q269:Q437,1,0)</f>
        <v>#N/A</v>
      </c>
      <c r="Y190" s="1229" t="str">
        <f>G190&amp;D190</f>
        <v>Esperança 1  - PR105826</v>
      </c>
      <c r="Z190" s="818">
        <f>SUMIF($Y$114:$Y$314,Y190,$S$114:$S$1288)</f>
        <v>57600</v>
      </c>
      <c r="AA190" s="818"/>
      <c r="AC190" s="1316" t="str">
        <f t="shared" si="86"/>
        <v>Renascença 3 - PR</v>
      </c>
      <c r="AD190" s="1317">
        <f t="shared" si="87"/>
        <v>46303</v>
      </c>
      <c r="AE190" s="1317">
        <f t="shared" si="88"/>
        <v>46450</v>
      </c>
      <c r="AF190" s="1317">
        <f t="shared" si="89"/>
        <v>46764</v>
      </c>
      <c r="AG190" s="1315" t="str">
        <f t="shared" si="56"/>
        <v>AP95 - 344</v>
      </c>
      <c r="AH190" s="1315" t="str">
        <f t="shared" si="57"/>
        <v>ROSS</v>
      </c>
      <c r="AJ190" s="818"/>
    </row>
    <row r="191" spans="1:36">
      <c r="A191" s="744" t="s">
        <v>17</v>
      </c>
      <c r="B191" s="745">
        <f>N142+K142</f>
        <v>46304</v>
      </c>
      <c r="C191" s="746">
        <v>46303</v>
      </c>
      <c r="D191" s="1273">
        <v>105526</v>
      </c>
      <c r="E191" s="1274">
        <v>123</v>
      </c>
      <c r="F191" s="747" t="str">
        <f>IFERROR(VLOOKUP(G191,Recria[[Granja Recria]:[Emp+CC]],4,0),"")</f>
        <v>112_16</v>
      </c>
      <c r="G191" s="1187" t="s">
        <v>79</v>
      </c>
      <c r="H191" s="748" t="str">
        <f>IFERROR(VLOOKUP(G191,Recria[[Granja Recria]:[Núcleo]],2,0),"")</f>
        <v>(N3)</v>
      </c>
      <c r="I191" s="749">
        <v>60000</v>
      </c>
      <c r="J191" s="744" t="s">
        <v>45</v>
      </c>
      <c r="K191" s="744">
        <v>50</v>
      </c>
      <c r="L191" s="806" t="str">
        <f>VLOOKUP(M191,Raca_Linhagem[],2,0)</f>
        <v>ROSS</v>
      </c>
      <c r="M191" s="804" t="s">
        <v>26</v>
      </c>
      <c r="N191" s="727">
        <f t="shared" si="100"/>
        <v>46450</v>
      </c>
      <c r="O191" s="728"/>
      <c r="P191" s="728" t="str">
        <f>IFERROR(VLOOKUP(Q191,Producao[[Granja Produção]:[Emp+CC]],4,0),"")</f>
        <v>119_153</v>
      </c>
      <c r="Q191" s="666" t="s">
        <v>196</v>
      </c>
      <c r="R191" s="667" t="str">
        <f>IFERROR(VLOOKUP(Q191,Producao[[Granja Produção]:[Núcleo]],2,0),"")</f>
        <v>(N1)</v>
      </c>
      <c r="S191" s="668">
        <v>34000</v>
      </c>
      <c r="T191" s="669">
        <f t="shared" si="101"/>
        <v>46764</v>
      </c>
      <c r="U191" s="670">
        <v>66</v>
      </c>
      <c r="V191" s="701"/>
      <c r="W191" s="671">
        <f t="shared" si="102"/>
        <v>46764</v>
      </c>
      <c r="X191" s="802" t="e">
        <f>VLOOKUP(Q191,Q273:Q439,1,0)</f>
        <v>#N/A</v>
      </c>
      <c r="Y191" s="1229" t="str">
        <f t="shared" si="103"/>
        <v>Pluma 3 - PR105526</v>
      </c>
      <c r="Z191" s="818">
        <f>SUMIF($Y$114:$Y$314,Y191,$S$114:$S$1288)</f>
        <v>58000</v>
      </c>
      <c r="AA191" s="818"/>
      <c r="AC191" s="1316" t="str">
        <f t="shared" si="86"/>
        <v>São Bernardo - PR</v>
      </c>
      <c r="AD191" s="1317">
        <f t="shared" si="87"/>
        <v>46303</v>
      </c>
      <c r="AE191" s="1317">
        <f t="shared" si="88"/>
        <v>46450</v>
      </c>
      <c r="AF191" s="1317">
        <f t="shared" si="89"/>
        <v>46764</v>
      </c>
      <c r="AG191" s="1315" t="str">
        <f t="shared" si="56"/>
        <v>AP95 - 344</v>
      </c>
      <c r="AH191" s="1315" t="str">
        <f t="shared" si="57"/>
        <v>ROSS</v>
      </c>
      <c r="AJ191" s="818"/>
    </row>
    <row r="192" spans="1:36">
      <c r="A192" s="744" t="s">
        <v>17</v>
      </c>
      <c r="B192" s="745">
        <f>N142+K142</f>
        <v>46304</v>
      </c>
      <c r="C192" s="746">
        <v>46303</v>
      </c>
      <c r="D192" s="1273">
        <v>105526</v>
      </c>
      <c r="E192" s="1274">
        <v>123</v>
      </c>
      <c r="F192" s="747" t="str">
        <f>IFERROR(VLOOKUP(G192,Recria[[Granja Recria]:[Emp+CC]],4,0),"")</f>
        <v>112_16</v>
      </c>
      <c r="G192" s="1187" t="s">
        <v>79</v>
      </c>
      <c r="H192" s="748" t="str">
        <f>IFERROR(VLOOKUP(G192,Recria[[Granja Recria]:[Núcleo]],2,0),"")</f>
        <v>(N3)</v>
      </c>
      <c r="I192" s="749"/>
      <c r="J192" s="744" t="s">
        <v>45</v>
      </c>
      <c r="K192" s="744">
        <v>50</v>
      </c>
      <c r="L192" s="806" t="str">
        <f>VLOOKUP(M192,Raca_Linhagem[],2,0)</f>
        <v>ROSS</v>
      </c>
      <c r="M192" s="804" t="s">
        <v>26</v>
      </c>
      <c r="N192" s="727">
        <f t="shared" ref="N192" si="112">C192+(22*7)-7</f>
        <v>46450</v>
      </c>
      <c r="O192" s="728"/>
      <c r="P192" s="728" t="str">
        <f>IFERROR(VLOOKUP(Q192,Producao[[Granja Produção]:[Emp+CC]],4,0),"")</f>
        <v>95_102</v>
      </c>
      <c r="Q192" s="666" t="s">
        <v>198</v>
      </c>
      <c r="R192" s="667" t="str">
        <f>IFERROR(VLOOKUP(Q192,Producao[[Granja Produção]:[Núcleo]],2,0),"")</f>
        <v>(N1)</v>
      </c>
      <c r="S192" s="668">
        <v>24000</v>
      </c>
      <c r="T192" s="669">
        <f t="shared" ref="T192" si="113">C192+(U192*7)-1</f>
        <v>46764</v>
      </c>
      <c r="U192" s="670">
        <v>66</v>
      </c>
      <c r="V192" s="701"/>
      <c r="W192" s="671">
        <f t="shared" ref="W192" si="114">IFERROR(T192+V192," ")</f>
        <v>46764</v>
      </c>
      <c r="X192" s="802" t="e">
        <f>VLOOKUP(Q192,Q271:Q440,1,0)</f>
        <v>#N/A</v>
      </c>
      <c r="Y192" s="1229" t="str">
        <f t="shared" ref="Y192" si="115">G192&amp;D192</f>
        <v>Pluma 3 - PR105526</v>
      </c>
      <c r="Z192" s="818">
        <f>SUMIF($Y$114:$Y$314,Y192,$S$114:$S$1288)</f>
        <v>58000</v>
      </c>
      <c r="AA192" s="818"/>
      <c r="AC192" s="1316" t="str">
        <f t="shared" si="86"/>
        <v>Casarin - SC</v>
      </c>
      <c r="AD192" s="1317">
        <f t="shared" si="87"/>
        <v>46303</v>
      </c>
      <c r="AE192" s="1317">
        <f t="shared" si="88"/>
        <v>46450</v>
      </c>
      <c r="AF192" s="1317">
        <f t="shared" si="89"/>
        <v>46764</v>
      </c>
      <c r="AG192" s="1315" t="str">
        <f t="shared" si="56"/>
        <v>AP95 - 344</v>
      </c>
      <c r="AH192" s="1315" t="str">
        <f t="shared" si="57"/>
        <v>ROSS</v>
      </c>
      <c r="AJ192" s="818"/>
    </row>
    <row r="193" spans="1:36">
      <c r="A193" s="744" t="s">
        <v>17</v>
      </c>
      <c r="B193" s="745">
        <f>N134+K134</f>
        <v>46310</v>
      </c>
      <c r="C193" s="746">
        <v>46310</v>
      </c>
      <c r="D193" s="1273">
        <v>105326</v>
      </c>
      <c r="E193" s="1274">
        <v>153565</v>
      </c>
      <c r="F193" s="747" t="str">
        <f>IFERROR(VLOOKUP(G193,Recria[[Granja Recria]:[Emp+CC]],4,0),"")</f>
        <v>10_328</v>
      </c>
      <c r="G193" s="1187" t="s">
        <v>44</v>
      </c>
      <c r="H193" s="748" t="str">
        <f>IFERROR(VLOOKUP(G193,Recria[[Granja Recria]:[Núcleo]],2,0),"")</f>
        <v>(N3)</v>
      </c>
      <c r="I193" s="749">
        <v>38000</v>
      </c>
      <c r="J193" s="744" t="s">
        <v>60</v>
      </c>
      <c r="K193" s="744">
        <v>20</v>
      </c>
      <c r="L193" s="803" t="str">
        <f>VLOOKUP(M193,Raca_Linhagem[],2,0)</f>
        <v>COBB</v>
      </c>
      <c r="M193" s="803" t="s">
        <v>112</v>
      </c>
      <c r="N193" s="727">
        <f>C193+(22*7)-7</f>
        <v>46457</v>
      </c>
      <c r="O193" s="728"/>
      <c r="P193" s="728" t="str">
        <f>IFERROR(VLOOKUP(Q193,Producao[[Granja Produção]:[Emp+CC]],4,0),"")</f>
        <v>89_864</v>
      </c>
      <c r="Q193" s="666" t="s">
        <v>185</v>
      </c>
      <c r="R193" s="667" t="str">
        <f>IFERROR(VLOOKUP(Q193,Producao[[Granja Produção]:[Núcleo]],2,0),"")</f>
        <v>(N1)</v>
      </c>
      <c r="S193" s="668">
        <f>I193*0.96</f>
        <v>36480</v>
      </c>
      <c r="T193" s="669">
        <f>C193+(U193*7)-1</f>
        <v>46771</v>
      </c>
      <c r="U193" s="670">
        <v>66</v>
      </c>
      <c r="V193" s="666"/>
      <c r="W193" s="671">
        <f>IFERROR(T193+V193," ")</f>
        <v>46771</v>
      </c>
      <c r="X193" s="802" t="e">
        <f>VLOOKUP(Q193,Q270:Q438,1,0)</f>
        <v>#N/A</v>
      </c>
      <c r="Y193" s="1229" t="str">
        <f>G193&amp;D193</f>
        <v>Santa Tereza 3 - PR105326</v>
      </c>
      <c r="Z193" s="818">
        <f>SUMIF($Y$114:$Y$314,Y193,$S$114:$S$1288)</f>
        <v>36480</v>
      </c>
      <c r="AA193" s="818"/>
      <c r="AC193" s="1316" t="str">
        <f>Q193</f>
        <v>Asa branca - PR</v>
      </c>
      <c r="AD193" s="1317">
        <f>C193</f>
        <v>46310</v>
      </c>
      <c r="AE193" s="1317">
        <f>N193</f>
        <v>46457</v>
      </c>
      <c r="AF193" s="1317">
        <f>T193</f>
        <v>46771</v>
      </c>
      <c r="AG193" s="1315" t="str">
        <f>M193</f>
        <v>500 SLOW - MX</v>
      </c>
      <c r="AH193" s="1315" t="str">
        <f>L193</f>
        <v>COBB</v>
      </c>
      <c r="AJ193" s="818"/>
    </row>
    <row r="194" spans="1:36">
      <c r="A194" s="750" t="s">
        <v>17</v>
      </c>
      <c r="B194" s="751">
        <f>N135+K135</f>
        <v>46309</v>
      </c>
      <c r="C194" s="752">
        <f>B194</f>
        <v>46309</v>
      </c>
      <c r="D194" s="1026">
        <v>105426</v>
      </c>
      <c r="E194" s="757">
        <v>123</v>
      </c>
      <c r="F194" s="753" t="str">
        <f>IFERROR(VLOOKUP(G194,Recria[[Granja Recria]:[Emp+CC]],4,0),"")</f>
        <v>10_1940</v>
      </c>
      <c r="G194" s="1076" t="s">
        <v>187</v>
      </c>
      <c r="H194" s="755" t="str">
        <f>IFERROR(VLOOKUP(G194,Recria[[Granja Recria]:[Núcleo]],2,0),"")</f>
        <v>(N1)</v>
      </c>
      <c r="I194" s="756">
        <v>61000</v>
      </c>
      <c r="J194" s="750" t="s">
        <v>60</v>
      </c>
      <c r="K194" s="750">
        <v>26</v>
      </c>
      <c r="L194" s="803" t="str">
        <f>VLOOKUP(M194,Raca_Linhagem[],2,0)</f>
        <v>COBB</v>
      </c>
      <c r="M194" s="806" t="s">
        <v>37</v>
      </c>
      <c r="N194" s="727">
        <f>C194+(22*7)-7</f>
        <v>46456</v>
      </c>
      <c r="O194" s="728"/>
      <c r="P194" s="728" t="str">
        <f>IFERROR(VLOOKUP(Q194,Producao[[Granja Produção]:[Emp+CC]],4,0),"")</f>
        <v>10_2382</v>
      </c>
      <c r="Q194" s="666" t="s">
        <v>188</v>
      </c>
      <c r="R194" s="667" t="str">
        <f>IFERROR(VLOOKUP(Q194,Producao[[Granja Produção]:[Núcleo]],2,0),"")</f>
        <v>(N2)</v>
      </c>
      <c r="S194" s="668">
        <f>I194*0.96</f>
        <v>58560</v>
      </c>
      <c r="T194" s="669">
        <f>C194+(U194*7)-1</f>
        <v>46770</v>
      </c>
      <c r="U194" s="670">
        <v>66</v>
      </c>
      <c r="V194" s="666"/>
      <c r="W194" s="671">
        <f>IFERROR(T194+V194," ")</f>
        <v>46770</v>
      </c>
      <c r="X194" s="802" t="e">
        <f>VLOOKUP(Q194,Q263:Q435,1,0)</f>
        <v>#N/A</v>
      </c>
      <c r="Y194" s="1229" t="str">
        <f>G194&amp;D194</f>
        <v>Aliança - PR105426</v>
      </c>
      <c r="Z194" s="818">
        <f>SUMIF($Y$114:$Y$314,Y194,$S$114:$S$1288)</f>
        <v>58560</v>
      </c>
      <c r="AA194" s="818"/>
      <c r="AC194" s="1316" t="str">
        <f>Q194</f>
        <v>Aliança Prod. 1 - PR</v>
      </c>
      <c r="AD194" s="1317">
        <f>C194</f>
        <v>46309</v>
      </c>
      <c r="AE194" s="1317">
        <f>N194</f>
        <v>46456</v>
      </c>
      <c r="AF194" s="1317">
        <f>T194</f>
        <v>46770</v>
      </c>
      <c r="AG194" s="1315" t="str">
        <f>M194</f>
        <v>500 SLOW - MALE JBS</v>
      </c>
      <c r="AH194" s="1315" t="str">
        <f>L194</f>
        <v>COBB</v>
      </c>
      <c r="AJ194" s="818"/>
    </row>
    <row r="195" spans="1:36">
      <c r="A195" s="744" t="s">
        <v>17</v>
      </c>
      <c r="B195" s="745">
        <f>N145+K145</f>
        <v>46323</v>
      </c>
      <c r="C195" s="746">
        <f t="shared" ref="C195:C254" si="116">B195</f>
        <v>46323</v>
      </c>
      <c r="D195" s="1273">
        <v>105626</v>
      </c>
      <c r="E195" s="1274">
        <v>153541</v>
      </c>
      <c r="F195" s="747" t="str">
        <f>IFERROR(VLOOKUP(G195,Recria[[Granja Recria]:[Emp+CC]],4,0),"")</f>
        <v>10_1938</v>
      </c>
      <c r="G195" s="1187" t="s">
        <v>75</v>
      </c>
      <c r="H195" s="748" t="str">
        <f>IFERROR(VLOOKUP(G195,Recria[[Granja Recria]:[Núcleo]],2,0),"")</f>
        <v>(N1)</v>
      </c>
      <c r="I195" s="749">
        <v>45000</v>
      </c>
      <c r="J195" s="744" t="s">
        <v>45</v>
      </c>
      <c r="K195" s="744">
        <v>48</v>
      </c>
      <c r="L195" s="803" t="str">
        <f>VLOOKUP(M195,Raca_Linhagem[],2,0)</f>
        <v>COBB</v>
      </c>
      <c r="M195" s="803" t="s">
        <v>319</v>
      </c>
      <c r="N195" s="727">
        <f>C195+(22*7)-7</f>
        <v>46470</v>
      </c>
      <c r="O195" s="728"/>
      <c r="P195" s="728" t="str">
        <f>IFERROR(VLOOKUP(Q195,Producao[[Granja Produção]:[Emp+CC]],4,0),"")</f>
        <v>117_124</v>
      </c>
      <c r="Q195" s="666" t="s">
        <v>190</v>
      </c>
      <c r="R195" s="667" t="str">
        <f>IFERROR(VLOOKUP(Q195,Producao[[Granja Produção]:[Núcleo]],2,0),"")</f>
        <v>(N2)</v>
      </c>
      <c r="S195" s="668">
        <f>I195*0.96</f>
        <v>43200</v>
      </c>
      <c r="T195" s="669">
        <f>C195+(U195*7)-1</f>
        <v>46784</v>
      </c>
      <c r="U195" s="670">
        <v>66</v>
      </c>
      <c r="V195" s="701"/>
      <c r="W195" s="671">
        <f>IFERROR(T195+V195," ")</f>
        <v>46784</v>
      </c>
      <c r="X195" s="802" t="e">
        <f>VLOOKUP(Q195,Q273:Q441,1,0)</f>
        <v>#N/A</v>
      </c>
      <c r="Y195" s="1229" t="str">
        <f>G195&amp;D195</f>
        <v>São Fco de Assis - PR105626</v>
      </c>
      <c r="Z195" s="818">
        <f>SUMIF($Y$114:$Y$314,Y195,$S$114:$S$1288)</f>
        <v>43200</v>
      </c>
      <c r="AA195" s="818"/>
      <c r="AC195" s="1316" t="str">
        <f>Q195</f>
        <v>Bom sucesso 2 - PR</v>
      </c>
      <c r="AD195" s="1317">
        <f>C195</f>
        <v>46323</v>
      </c>
      <c r="AE195" s="1317">
        <f>N195</f>
        <v>46470</v>
      </c>
      <c r="AF195" s="1317">
        <f>T195</f>
        <v>46784</v>
      </c>
      <c r="AG195" s="1315" t="str">
        <f>M195</f>
        <v>800 SLOW - MALE</v>
      </c>
      <c r="AH195" s="1315" t="str">
        <f>L195</f>
        <v>COBB</v>
      </c>
      <c r="AJ195" s="818"/>
    </row>
    <row r="196" spans="1:36">
      <c r="A196" s="750" t="s">
        <v>17</v>
      </c>
      <c r="B196" s="751">
        <f>N141+K141</f>
        <v>46318</v>
      </c>
      <c r="C196" s="752">
        <f t="shared" si="116"/>
        <v>46318</v>
      </c>
      <c r="D196" s="1026">
        <v>105726</v>
      </c>
      <c r="E196" s="757"/>
      <c r="F196" s="753" t="str">
        <f>IFERROR(VLOOKUP(G196,Recria[[Granja Recria]:[Emp+CC]],4,0),"")</f>
        <v>10_776</v>
      </c>
      <c r="G196" s="1414" t="s">
        <v>89</v>
      </c>
      <c r="H196" s="755" t="str">
        <f>IFERROR(VLOOKUP(G196,Recria[[Granja Recria]:[Núcleo]],2,0),"")</f>
        <v>(N3)</v>
      </c>
      <c r="I196" s="756">
        <v>74000</v>
      </c>
      <c r="J196" s="750" t="s">
        <v>60</v>
      </c>
      <c r="K196" s="750">
        <v>25</v>
      </c>
      <c r="L196" s="804" t="str">
        <f>VLOOKUP(M196,Raca_Linhagem[],2,0)</f>
        <v>ROSS</v>
      </c>
      <c r="M196" s="804" t="s">
        <v>26</v>
      </c>
      <c r="N196" s="727">
        <f t="shared" si="100"/>
        <v>46465</v>
      </c>
      <c r="O196" s="728"/>
      <c r="P196" s="728" t="str">
        <f>IFERROR(VLOOKUP(Q196,Producao[[Granja Produção]:[Emp+CC]],4,0),"")</f>
        <v>122_22</v>
      </c>
      <c r="Q196" s="666" t="s">
        <v>194</v>
      </c>
      <c r="R196" s="667" t="str">
        <f>IFERROR(VLOOKUP(Q196,Producao[[Granja Produção]:[Núcleo]],2,0),"")</f>
        <v>(N1)</v>
      </c>
      <c r="S196" s="668">
        <v>36000</v>
      </c>
      <c r="T196" s="669">
        <f t="shared" si="101"/>
        <v>46779</v>
      </c>
      <c r="U196" s="670">
        <v>66</v>
      </c>
      <c r="V196" s="701"/>
      <c r="W196" s="671">
        <f t="shared" si="102"/>
        <v>46779</v>
      </c>
      <c r="X196" s="802" t="e">
        <f>VLOOKUP(Q196,Q273:Q440,1,0)</f>
        <v>#N/A</v>
      </c>
      <c r="Y196" s="1229" t="str">
        <f t="shared" si="103"/>
        <v>Panorama 3 - PR105726</v>
      </c>
      <c r="Z196" s="818">
        <f>SUMIF($Y$114:$Y$314,Y196,$S$114:$S$1288)</f>
        <v>72000</v>
      </c>
      <c r="AA196" s="818"/>
      <c r="AC196" s="1316" t="str">
        <f t="shared" si="86"/>
        <v>Butiá - PR</v>
      </c>
      <c r="AD196" s="1317">
        <f t="shared" si="87"/>
        <v>46318</v>
      </c>
      <c r="AE196" s="1317">
        <f t="shared" si="88"/>
        <v>46465</v>
      </c>
      <c r="AF196" s="1317">
        <f t="shared" si="89"/>
        <v>46779</v>
      </c>
      <c r="AG196" s="1315" t="str">
        <f t="shared" si="56"/>
        <v>AP95 - 344</v>
      </c>
      <c r="AH196" s="1315" t="str">
        <f t="shared" si="57"/>
        <v>ROSS</v>
      </c>
      <c r="AJ196" s="818"/>
    </row>
    <row r="197" spans="1:36">
      <c r="A197" s="750" t="s">
        <v>17</v>
      </c>
      <c r="B197" s="751">
        <f>N141+K141</f>
        <v>46318</v>
      </c>
      <c r="C197" s="752">
        <f t="shared" si="116"/>
        <v>46318</v>
      </c>
      <c r="D197" s="1026">
        <v>105726</v>
      </c>
      <c r="E197" s="757"/>
      <c r="F197" s="753" t="str">
        <f>IFERROR(VLOOKUP(G197,Recria[[Granja Recria]:[Emp+CC]],4,0),"")</f>
        <v>10_776</v>
      </c>
      <c r="G197" s="1414" t="s">
        <v>89</v>
      </c>
      <c r="H197" s="755" t="str">
        <f>IFERROR(VLOOKUP(G197,Recria[[Granja Recria]:[Núcleo]],2,0),"")</f>
        <v>(N3)</v>
      </c>
      <c r="I197" s="756"/>
      <c r="J197" s="750" t="s">
        <v>60</v>
      </c>
      <c r="K197" s="750">
        <v>25</v>
      </c>
      <c r="L197" s="804" t="str">
        <f>VLOOKUP(M197,Raca_Linhagem[],2,0)</f>
        <v>ROSS</v>
      </c>
      <c r="M197" s="804" t="s">
        <v>26</v>
      </c>
      <c r="N197" s="727">
        <f t="shared" ref="N197" si="117">C197+(22*7)-7</f>
        <v>46465</v>
      </c>
      <c r="O197" s="728"/>
      <c r="P197" s="728" t="str">
        <f>IFERROR(VLOOKUP(Q197,Producao[[Granja Produção]:[Emp+CC]],4,0),"")</f>
        <v>10_233</v>
      </c>
      <c r="Q197" s="666" t="s">
        <v>200</v>
      </c>
      <c r="R197" s="667" t="str">
        <f>IFERROR(VLOOKUP(Q197,Producao[[Granja Produção]:[Núcleo]],2,0),"")</f>
        <v>(N1)</v>
      </c>
      <c r="S197" s="668">
        <v>36000</v>
      </c>
      <c r="T197" s="669">
        <f t="shared" ref="T197" si="118">C197+(U197*7)-1</f>
        <v>46779</v>
      </c>
      <c r="U197" s="670">
        <v>66</v>
      </c>
      <c r="V197" s="701"/>
      <c r="W197" s="671">
        <f t="shared" ref="W197" si="119">IFERROR(T197+V197," ")</f>
        <v>46779</v>
      </c>
      <c r="X197" s="802" t="e">
        <f>VLOOKUP(Q197,Q271:Q441,1,0)</f>
        <v>#N/A</v>
      </c>
      <c r="Y197" s="1229" t="str">
        <f t="shared" ref="Y197" si="120">G197&amp;D197</f>
        <v>Panorama 3 - PR105726</v>
      </c>
      <c r="Z197" s="818">
        <f>SUMIF($Y$114:$Y$314,Y197,$S$114:$S$1288)</f>
        <v>72000</v>
      </c>
      <c r="AA197" s="818"/>
      <c r="AC197" s="1316" t="str">
        <f t="shared" si="86"/>
        <v>Cappellesso - PR</v>
      </c>
      <c r="AD197" s="1317">
        <f t="shared" si="87"/>
        <v>46318</v>
      </c>
      <c r="AE197" s="1317">
        <f t="shared" si="88"/>
        <v>46465</v>
      </c>
      <c r="AF197" s="1317">
        <f t="shared" si="89"/>
        <v>46779</v>
      </c>
      <c r="AG197" s="1315" t="str">
        <f t="shared" si="56"/>
        <v>AP95 - 344</v>
      </c>
      <c r="AH197" s="1315" t="str">
        <f t="shared" si="57"/>
        <v>ROSS</v>
      </c>
      <c r="AJ197" s="818"/>
    </row>
    <row r="198" spans="1:36">
      <c r="A198" s="744" t="s">
        <v>17</v>
      </c>
      <c r="B198" s="745">
        <v>46331</v>
      </c>
      <c r="C198" s="746">
        <f>B198</f>
        <v>46331</v>
      </c>
      <c r="D198" s="1273">
        <v>103526</v>
      </c>
      <c r="E198" s="1274">
        <v>153538</v>
      </c>
      <c r="F198" s="747" t="str">
        <f>IFERROR(VLOOKUP(G198,Recria[[Granja Recria]:[Emp+CC]],4,0),"")</f>
        <v>135_2389</v>
      </c>
      <c r="G198" s="1187" t="s">
        <v>246</v>
      </c>
      <c r="H198" s="748" t="str">
        <f>IFERROR(VLOOKUP(G198,Recria[[Granja Recria]:[Núcleo]],2,0),"")</f>
        <v>(N1)</v>
      </c>
      <c r="I198" s="749">
        <v>60000</v>
      </c>
      <c r="J198" s="744" t="s">
        <v>60</v>
      </c>
      <c r="K198" s="744">
        <v>25</v>
      </c>
      <c r="L198" s="804" t="str">
        <f>VLOOKUP(M198,Raca_Linhagem[],2,0)</f>
        <v>COBB</v>
      </c>
      <c r="M198" s="803" t="s">
        <v>21</v>
      </c>
      <c r="N198" s="714">
        <f>C198+(22*7)-7</f>
        <v>46478</v>
      </c>
      <c r="O198" s="716"/>
      <c r="P198" s="716" t="str">
        <f>IFERROR(VLOOKUP(Q198,Producao[[Granja Produção]:[Emp+CC]],4,0),"")</f>
        <v>135_2390</v>
      </c>
      <c r="Q198" s="717" t="s">
        <v>247</v>
      </c>
      <c r="R198" s="718" t="str">
        <f>IFERROR(VLOOKUP(Q198,Producao[[Granja Produção]:[Núcleo]],2,0),"")</f>
        <v>(N3)</v>
      </c>
      <c r="S198" s="719">
        <f>I198*0.96</f>
        <v>57600</v>
      </c>
      <c r="T198" s="720">
        <f>C198+(U198*7)-1</f>
        <v>46792</v>
      </c>
      <c r="U198" s="721">
        <v>66</v>
      </c>
      <c r="V198" s="722">
        <f>N287-T198</f>
        <v>57</v>
      </c>
      <c r="W198" s="723">
        <f>IFERROR(T198+V198," ")</f>
        <v>46849</v>
      </c>
      <c r="X198" s="802" t="e">
        <f>VLOOKUP(Q198,Q238:Q416,1,0)</f>
        <v>#N/A</v>
      </c>
      <c r="Y198" s="1229" t="str">
        <f>G198&amp;D198</f>
        <v>Cafezal Rec. 1 - PR103526</v>
      </c>
      <c r="Z198" s="818">
        <f>SUMIF($Y$114:$Y$314,Y198,$S$114:$S$1288)</f>
        <v>57600</v>
      </c>
      <c r="AA198" s="818"/>
      <c r="AC198" s="1316" t="str">
        <f>Q198</f>
        <v>Cafezal Prod. 1 - PR</v>
      </c>
      <c r="AD198" s="1317">
        <f>C198</f>
        <v>46331</v>
      </c>
      <c r="AE198" s="1317">
        <f>N198</f>
        <v>46478</v>
      </c>
      <c r="AF198" s="1317">
        <f>T198</f>
        <v>46792</v>
      </c>
      <c r="AG198" s="1315" t="str">
        <f>M198</f>
        <v>500 SLOW - MALE</v>
      </c>
      <c r="AH198" s="1315" t="str">
        <f>L198</f>
        <v>COBB</v>
      </c>
      <c r="AJ198" s="818"/>
    </row>
    <row r="199" spans="1:36">
      <c r="A199" s="750" t="s">
        <v>17</v>
      </c>
      <c r="B199" s="765">
        <f>N150+K150</f>
        <v>46323</v>
      </c>
      <c r="C199" s="752">
        <f t="shared" si="116"/>
        <v>46323</v>
      </c>
      <c r="D199" s="1026">
        <v>105926</v>
      </c>
      <c r="E199" s="757"/>
      <c r="F199" s="753" t="str">
        <f>IFERROR(VLOOKUP(G199,Recria[[Granja Recria]:[Emp+CC]],4,0),"")</f>
        <v>10_169</v>
      </c>
      <c r="G199" s="1414" t="s">
        <v>95</v>
      </c>
      <c r="H199" s="755" t="str">
        <f>IFERROR(VLOOKUP(G199,Recria[[Granja Recria]:[Núcleo]],2,0),"")</f>
        <v>(N1)</v>
      </c>
      <c r="I199" s="756">
        <v>42000</v>
      </c>
      <c r="J199" s="750" t="s">
        <v>20</v>
      </c>
      <c r="K199" s="750">
        <v>27</v>
      </c>
      <c r="L199" s="804" t="str">
        <f>VLOOKUP(M199,Raca_Linhagem[],2,0)</f>
        <v>ROSS</v>
      </c>
      <c r="M199" s="804" t="s">
        <v>26</v>
      </c>
      <c r="N199" s="727">
        <f t="shared" si="100"/>
        <v>46470</v>
      </c>
      <c r="O199" s="728"/>
      <c r="P199" s="728" t="str">
        <f>IFERROR(VLOOKUP(Q199,Producao[[Granja Produção]:[Emp+CC]],4,0),"")</f>
        <v>117_88</v>
      </c>
      <c r="Q199" s="666" t="s">
        <v>192</v>
      </c>
      <c r="R199" s="667" t="str">
        <f>IFERROR(VLOOKUP(Q199,Producao[[Granja Produção]:[Núcleo]],2,0),"")</f>
        <v>(N1)</v>
      </c>
      <c r="S199" s="668">
        <f t="shared" si="107"/>
        <v>40320</v>
      </c>
      <c r="T199" s="669">
        <f t="shared" si="101"/>
        <v>46784</v>
      </c>
      <c r="U199" s="670">
        <v>66</v>
      </c>
      <c r="V199" s="701"/>
      <c r="W199" s="671">
        <f t="shared" si="102"/>
        <v>46784</v>
      </c>
      <c r="X199" s="802" t="e">
        <f>VLOOKUP(Q199,Q274:Q442,1,0)</f>
        <v>#N/A</v>
      </c>
      <c r="Y199" s="1229" t="str">
        <f t="shared" si="103"/>
        <v>N. S. Carmo 1 - PR105926</v>
      </c>
      <c r="Z199" s="818">
        <f>SUMIF($Y$114:$Y$314,Y199,$S$114:$S$1288)</f>
        <v>40320</v>
      </c>
      <c r="AA199" s="818"/>
      <c r="AC199" s="1316" t="str">
        <f t="shared" si="86"/>
        <v>Bom sucesso 1 - PR</v>
      </c>
      <c r="AD199" s="1317">
        <f t="shared" si="87"/>
        <v>46323</v>
      </c>
      <c r="AE199" s="1317">
        <f t="shared" si="88"/>
        <v>46470</v>
      </c>
      <c r="AF199" s="1317">
        <f t="shared" si="89"/>
        <v>46784</v>
      </c>
      <c r="AG199" s="1315" t="str">
        <f t="shared" si="56"/>
        <v>AP95 - 344</v>
      </c>
      <c r="AH199" s="1315" t="str">
        <f t="shared" si="57"/>
        <v>ROSS</v>
      </c>
      <c r="AJ199" s="818"/>
    </row>
    <row r="200" spans="1:36">
      <c r="A200" s="750" t="s">
        <v>17</v>
      </c>
      <c r="B200" s="751">
        <f>N152+K152</f>
        <v>46328</v>
      </c>
      <c r="C200" s="752">
        <f t="shared" si="116"/>
        <v>46328</v>
      </c>
      <c r="D200" s="1026">
        <v>106126</v>
      </c>
      <c r="E200" s="757"/>
      <c r="F200" s="753" t="str">
        <f>IFERROR(VLOOKUP(G200,Recria[[Granja Recria]:[Emp+CC]],4,0),"")</f>
        <v>112_67</v>
      </c>
      <c r="G200" s="1414" t="s">
        <v>132</v>
      </c>
      <c r="H200" s="755" t="str">
        <f>IFERROR(VLOOKUP(G200,Recria[[Granja Recria]:[Núcleo]],2,0),"")</f>
        <v>(N2)</v>
      </c>
      <c r="I200" s="756">
        <v>72000</v>
      </c>
      <c r="J200" s="750" t="s">
        <v>45</v>
      </c>
      <c r="K200" s="750">
        <v>55</v>
      </c>
      <c r="L200" s="804" t="str">
        <f>VLOOKUP(M200,Raca_Linhagem[],2,0)</f>
        <v>ROSS</v>
      </c>
      <c r="M200" s="804" t="s">
        <v>26</v>
      </c>
      <c r="N200" s="727">
        <f t="shared" si="100"/>
        <v>46475</v>
      </c>
      <c r="O200" s="728"/>
      <c r="P200" s="728" t="str">
        <f>IFERROR(VLOOKUP(Q200,Producao[[Granja Produção]:[Emp+CC]],4,0),"")</f>
        <v>16_85</v>
      </c>
      <c r="Q200" s="666" t="s">
        <v>199</v>
      </c>
      <c r="R200" s="667" t="str">
        <f>IFERROR(VLOOKUP(Q200,Producao[[Granja Produção]:[Núcleo]],2,0),"")</f>
        <v>(N1)</v>
      </c>
      <c r="S200" s="668">
        <f t="shared" si="107"/>
        <v>69120</v>
      </c>
      <c r="T200" s="669">
        <f t="shared" si="101"/>
        <v>46789</v>
      </c>
      <c r="U200" s="670">
        <v>66</v>
      </c>
      <c r="V200" s="701"/>
      <c r="W200" s="671">
        <f t="shared" si="102"/>
        <v>46789</v>
      </c>
      <c r="X200" s="802" t="e">
        <f>VLOOKUP(Q200,Q278:Q445,1,0)</f>
        <v>#N/A</v>
      </c>
      <c r="Y200" s="1229" t="str">
        <f t="shared" si="103"/>
        <v>Pluma 2 - PR106126</v>
      </c>
      <c r="Z200" s="818">
        <f>SUMIF($Y$114:$Y$314,Y200,$S$114:$S$1288)</f>
        <v>69120</v>
      </c>
      <c r="AA200" s="818"/>
      <c r="AC200" s="1316" t="str">
        <f t="shared" si="86"/>
        <v>Saudade - PR</v>
      </c>
      <c r="AD200" s="1317">
        <f t="shared" si="87"/>
        <v>46328</v>
      </c>
      <c r="AE200" s="1317">
        <f t="shared" si="88"/>
        <v>46475</v>
      </c>
      <c r="AF200" s="1317">
        <f t="shared" si="89"/>
        <v>46789</v>
      </c>
      <c r="AG200" s="1315" t="str">
        <f t="shared" si="56"/>
        <v>AP95 - 344</v>
      </c>
      <c r="AH200" s="1315" t="str">
        <f t="shared" si="57"/>
        <v>ROSS</v>
      </c>
      <c r="AJ200" s="818"/>
    </row>
    <row r="201" spans="1:36">
      <c r="A201" s="750" t="s">
        <v>17</v>
      </c>
      <c r="B201" s="751">
        <f>N143+K143</f>
        <v>46332</v>
      </c>
      <c r="C201" s="752">
        <f t="shared" si="116"/>
        <v>46332</v>
      </c>
      <c r="D201" s="1026">
        <v>106326</v>
      </c>
      <c r="E201" s="757">
        <v>153544</v>
      </c>
      <c r="F201" s="753" t="str">
        <f>IFERROR(VLOOKUP(G201,Recria[[Granja Recria]:[Emp+CC]],4,0),"")</f>
        <v>112_1939</v>
      </c>
      <c r="G201" s="1076" t="s">
        <v>83</v>
      </c>
      <c r="H201" s="755" t="str">
        <f>IFERROR(VLOOKUP(G201,Recria[[Granja Recria]:[Núcleo]],2,0),"")</f>
        <v>(N4)</v>
      </c>
      <c r="I201" s="756">
        <v>84000</v>
      </c>
      <c r="J201" s="750" t="s">
        <v>60</v>
      </c>
      <c r="K201" s="750">
        <v>25</v>
      </c>
      <c r="L201" s="803" t="str">
        <f>VLOOKUP(M201,Raca_Linhagem[],2,0)</f>
        <v>COBB</v>
      </c>
      <c r="M201" s="803" t="s">
        <v>21</v>
      </c>
      <c r="N201" s="727">
        <f t="shared" si="100"/>
        <v>46479</v>
      </c>
      <c r="O201" s="728"/>
      <c r="P201" s="728" t="str">
        <f>IFERROR(VLOOKUP(Q201,Producao[[Granja Produção]:[Emp+CC]],4,0),"")</f>
        <v>93_261</v>
      </c>
      <c r="Q201" s="666" t="s">
        <v>195</v>
      </c>
      <c r="R201" s="667" t="str">
        <f>IFERROR(VLOOKUP(Q201,Producao[[Granja Produção]:[Núcleo]],2,0),"")</f>
        <v>(N1)</v>
      </c>
      <c r="S201" s="668">
        <v>30000</v>
      </c>
      <c r="T201" s="669">
        <f t="shared" si="101"/>
        <v>46793</v>
      </c>
      <c r="U201" s="670">
        <v>66</v>
      </c>
      <c r="V201" s="701"/>
      <c r="W201" s="671">
        <f t="shared" si="102"/>
        <v>46793</v>
      </c>
      <c r="X201" s="802" t="e">
        <f>VLOOKUP(Q201,Q277:Q444,1,0)</f>
        <v>#N/A</v>
      </c>
      <c r="Y201" s="1229" t="str">
        <f t="shared" si="103"/>
        <v>Pluma 4 - PR106326</v>
      </c>
      <c r="Z201" s="818">
        <f>SUMIF($Y$114:$Y$314,Y201,$S$114:$S$1288)</f>
        <v>80000</v>
      </c>
      <c r="AA201" s="818"/>
      <c r="AC201" s="1316" t="str">
        <f t="shared" si="86"/>
        <v>Rossignol - SC</v>
      </c>
      <c r="AD201" s="1317">
        <f t="shared" si="87"/>
        <v>46332</v>
      </c>
      <c r="AE201" s="1317">
        <f t="shared" si="88"/>
        <v>46479</v>
      </c>
      <c r="AF201" s="1317">
        <f t="shared" si="89"/>
        <v>46793</v>
      </c>
      <c r="AG201" s="1315" t="str">
        <f t="shared" si="56"/>
        <v>500 SLOW - MALE</v>
      </c>
      <c r="AH201" s="1315" t="str">
        <f t="shared" si="57"/>
        <v>COBB</v>
      </c>
      <c r="AJ201" s="818"/>
    </row>
    <row r="202" spans="1:36">
      <c r="A202" s="750" t="s">
        <v>17</v>
      </c>
      <c r="B202" s="751">
        <f>N143+K143</f>
        <v>46332</v>
      </c>
      <c r="C202" s="752">
        <f t="shared" si="116"/>
        <v>46332</v>
      </c>
      <c r="D202" s="1026">
        <v>106326</v>
      </c>
      <c r="E202" s="757">
        <v>153544</v>
      </c>
      <c r="F202" s="753" t="str">
        <f>IFERROR(VLOOKUP(G202,Recria[[Granja Recria]:[Emp+CC]],4,0),"")</f>
        <v>112_1939</v>
      </c>
      <c r="G202" s="1076" t="s">
        <v>83</v>
      </c>
      <c r="H202" s="755" t="str">
        <f>IFERROR(VLOOKUP(G202,Recria[[Granja Recria]:[Núcleo]],2,0),"")</f>
        <v>(N4)</v>
      </c>
      <c r="I202" s="756"/>
      <c r="J202" s="750" t="s">
        <v>60</v>
      </c>
      <c r="K202" s="750">
        <v>25</v>
      </c>
      <c r="L202" s="803" t="str">
        <f>VLOOKUP(M202,Raca_Linhagem[],2,0)</f>
        <v>COBB</v>
      </c>
      <c r="M202" s="803" t="s">
        <v>21</v>
      </c>
      <c r="N202" s="727">
        <f t="shared" ref="N202" si="121">C202+(22*7)-7</f>
        <v>46479</v>
      </c>
      <c r="O202" s="728"/>
      <c r="P202" s="728" t="str">
        <f>IFERROR(VLOOKUP(Q202,Producao[[Granja Produção]:[Emp+CC]],4,0),"")</f>
        <v>13_2295</v>
      </c>
      <c r="Q202" s="666" t="s">
        <v>201</v>
      </c>
      <c r="R202" s="667" t="str">
        <f>IFERROR(VLOOKUP(Q202,Producao[[Granja Produção]:[Núcleo]],2,0),"")</f>
        <v>(N1)</v>
      </c>
      <c r="S202" s="668">
        <v>24000</v>
      </c>
      <c r="T202" s="669">
        <f t="shared" ref="T202" si="122">C202+(U202*7)-1</f>
        <v>46793</v>
      </c>
      <c r="U202" s="670">
        <v>66</v>
      </c>
      <c r="V202" s="701"/>
      <c r="W202" s="671">
        <f t="shared" ref="W202" si="123">IFERROR(T202+V202," ")</f>
        <v>46793</v>
      </c>
      <c r="X202" s="802" t="e">
        <f>VLOOKUP(Q202,Q278:Q445,1,0)</f>
        <v>#N/A</v>
      </c>
      <c r="Y202" s="1229" t="str">
        <f t="shared" ref="Y202" si="124">G202&amp;D202</f>
        <v>Pluma 4 - PR106326</v>
      </c>
      <c r="Z202" s="818">
        <f>SUMIF($Y$114:$Y$314,Y202,$S$114:$S$1288)</f>
        <v>80000</v>
      </c>
      <c r="AA202" s="818"/>
      <c r="AC202" s="1316" t="str">
        <f t="shared" si="86"/>
        <v>Trevisan - SC</v>
      </c>
      <c r="AD202" s="1317">
        <f t="shared" si="87"/>
        <v>46332</v>
      </c>
      <c r="AE202" s="1317">
        <f t="shared" si="88"/>
        <v>46479</v>
      </c>
      <c r="AF202" s="1317">
        <f t="shared" si="89"/>
        <v>46793</v>
      </c>
      <c r="AG202" s="1315" t="str">
        <f t="shared" si="56"/>
        <v>500 SLOW - MALE</v>
      </c>
      <c r="AH202" s="1315" t="str">
        <f t="shared" si="57"/>
        <v>COBB</v>
      </c>
      <c r="AJ202" s="818"/>
    </row>
    <row r="203" spans="1:36">
      <c r="A203" s="750" t="s">
        <v>17</v>
      </c>
      <c r="B203" s="751">
        <f>N143+K143</f>
        <v>46332</v>
      </c>
      <c r="C203" s="752">
        <f t="shared" si="116"/>
        <v>46332</v>
      </c>
      <c r="D203" s="1026">
        <v>106326</v>
      </c>
      <c r="E203" s="757">
        <v>153544</v>
      </c>
      <c r="F203" s="753" t="str">
        <f>IFERROR(VLOOKUP(G203,Recria[[Granja Recria]:[Emp+CC]],4,0),"")</f>
        <v>112_1939</v>
      </c>
      <c r="G203" s="1076" t="s">
        <v>83</v>
      </c>
      <c r="H203" s="755" t="str">
        <f>IFERROR(VLOOKUP(G203,Recria[[Granja Recria]:[Núcleo]],2,0),"")</f>
        <v>(N4)</v>
      </c>
      <c r="I203" s="756"/>
      <c r="J203" s="750" t="s">
        <v>60</v>
      </c>
      <c r="K203" s="750">
        <v>25</v>
      </c>
      <c r="L203" s="803" t="str">
        <f>VLOOKUP(M203,Raca_Linhagem[],2,0)</f>
        <v>COBB</v>
      </c>
      <c r="M203" s="803" t="s">
        <v>21</v>
      </c>
      <c r="N203" s="727">
        <f t="shared" ref="N203" si="125">C203+(22*7)-7</f>
        <v>46479</v>
      </c>
      <c r="O203" s="728"/>
      <c r="P203" s="728" t="str">
        <f>IFERROR(VLOOKUP(Q203,Producao[[Granja Produção]:[Emp+CC]],4,0),"")</f>
        <v>10_43</v>
      </c>
      <c r="Q203" s="666" t="s">
        <v>209</v>
      </c>
      <c r="R203" s="667" t="str">
        <f>IFERROR(VLOOKUP(Q203,Producao[[Granja Produção]:[Núcleo]],2,0),"")</f>
        <v>(N1)</v>
      </c>
      <c r="S203" s="668">
        <v>26000</v>
      </c>
      <c r="T203" s="669">
        <f t="shared" ref="T203" si="126">C203+(U203*7)-1</f>
        <v>46793</v>
      </c>
      <c r="U203" s="670">
        <v>66</v>
      </c>
      <c r="V203" s="701"/>
      <c r="W203" s="671">
        <f t="shared" ref="W203" si="127">IFERROR(T203+V203," ")</f>
        <v>46793</v>
      </c>
      <c r="X203" s="802" t="e">
        <f>VLOOKUP(Q203,Q280:Q446,1,0)</f>
        <v>#N/A</v>
      </c>
      <c r="Y203" s="1229" t="str">
        <f t="shared" ref="Y203" si="128">G203&amp;D203</f>
        <v>Pluma 4 - PR106326</v>
      </c>
      <c r="Z203" s="818">
        <f>SUMIF($Y$114:$Y$314,Y203,$S$114:$S$1288)</f>
        <v>80000</v>
      </c>
      <c r="AA203" s="818"/>
      <c r="AC203" s="1316" t="str">
        <f t="shared" si="86"/>
        <v>São Braz 2 - PR</v>
      </c>
      <c r="AD203" s="1317">
        <f t="shared" si="87"/>
        <v>46332</v>
      </c>
      <c r="AE203" s="1317">
        <f t="shared" si="88"/>
        <v>46479</v>
      </c>
      <c r="AF203" s="1317">
        <f t="shared" si="89"/>
        <v>46793</v>
      </c>
      <c r="AG203" s="1315" t="str">
        <f t="shared" si="56"/>
        <v>500 SLOW - MALE</v>
      </c>
      <c r="AH203" s="1315" t="str">
        <f t="shared" si="57"/>
        <v>COBB</v>
      </c>
      <c r="AJ203" s="818"/>
    </row>
    <row r="204" spans="1:36">
      <c r="A204" s="750" t="s">
        <v>17</v>
      </c>
      <c r="B204" s="751">
        <f>N154+K154</f>
        <v>46336</v>
      </c>
      <c r="C204" s="752">
        <f t="shared" si="116"/>
        <v>46336</v>
      </c>
      <c r="D204" s="1026">
        <v>106426</v>
      </c>
      <c r="E204" s="747">
        <f ca="1">IF((TODAY()-C204)/7&gt;U204,U204,(TODAY()-C204)/7)</f>
        <v>-6</v>
      </c>
      <c r="F204" s="753" t="str">
        <f>IFERROR(VLOOKUP(G204,Recria[[Granja Recria]:[Emp+CC]],4,0),"")</f>
        <v>10_1250</v>
      </c>
      <c r="G204" s="1414" t="s">
        <v>101</v>
      </c>
      <c r="H204" s="755" t="str">
        <f>IFERROR(VLOOKUP(G204,Recria[[Granja Recria]:[Núcleo]],2,0),"")</f>
        <v>(N2)</v>
      </c>
      <c r="I204" s="756">
        <v>60000</v>
      </c>
      <c r="J204" s="750" t="s">
        <v>45</v>
      </c>
      <c r="K204" s="750">
        <v>52</v>
      </c>
      <c r="L204" s="804" t="str">
        <f>VLOOKUP(M204,Raca_Linhagem[],2,0)</f>
        <v>ROSS</v>
      </c>
      <c r="M204" s="804" t="s">
        <v>26</v>
      </c>
      <c r="N204" s="727">
        <f t="shared" si="100"/>
        <v>46483</v>
      </c>
      <c r="O204" s="728"/>
      <c r="P204" s="728" t="str">
        <f>IFERROR(VLOOKUP(Q204,Producao[[Granja Produção]:[Emp+CC]],4,0),"")</f>
        <v>16_85</v>
      </c>
      <c r="Q204" s="666" t="s">
        <v>199</v>
      </c>
      <c r="R204" s="667" t="str">
        <f>IFERROR(VLOOKUP(Q204,Producao[[Granja Produção]:[Núcleo]],2,0),"")</f>
        <v>(N1)</v>
      </c>
      <c r="S204" s="668">
        <v>21000</v>
      </c>
      <c r="T204" s="669">
        <f t="shared" si="101"/>
        <v>46797</v>
      </c>
      <c r="U204" s="670">
        <v>66</v>
      </c>
      <c r="V204" s="701"/>
      <c r="W204" s="671">
        <f t="shared" ref="W204" si="129">IFERROR(T204+V204," ")</f>
        <v>46797</v>
      </c>
      <c r="X204" s="802" t="e">
        <f>VLOOKUP(Q204,Q277:Q445,1,0)</f>
        <v>#N/A</v>
      </c>
      <c r="Y204" s="1229" t="str">
        <f t="shared" si="103"/>
        <v>Iguaçu Recria - PR106426</v>
      </c>
      <c r="Z204" s="818">
        <f>SUMIF($Y$114:$Y$314,Y204,$S$114:$S$1288)</f>
        <v>57000</v>
      </c>
      <c r="AA204" s="818"/>
      <c r="AC204" s="1316" t="str">
        <f t="shared" si="86"/>
        <v>Saudade - PR</v>
      </c>
      <c r="AD204" s="1317">
        <f t="shared" si="87"/>
        <v>46336</v>
      </c>
      <c r="AE204" s="1317">
        <f t="shared" si="88"/>
        <v>46483</v>
      </c>
      <c r="AF204" s="1317">
        <f t="shared" si="89"/>
        <v>46797</v>
      </c>
      <c r="AG204" s="1315" t="str">
        <f t="shared" ref="AG204:AG265" si="130">M204</f>
        <v>AP95 - 344</v>
      </c>
      <c r="AH204" s="1315" t="str">
        <f t="shared" ref="AH204:AH265" si="131">L204</f>
        <v>ROSS</v>
      </c>
      <c r="AJ204" s="818"/>
    </row>
    <row r="205" spans="1:36">
      <c r="A205" s="750" t="s">
        <v>17</v>
      </c>
      <c r="B205" s="751">
        <f>N154+K154</f>
        <v>46336</v>
      </c>
      <c r="C205" s="752">
        <f t="shared" si="116"/>
        <v>46336</v>
      </c>
      <c r="D205" s="1026">
        <v>106426</v>
      </c>
      <c r="E205" s="747">
        <f ca="1">IF((TODAY()-C205)/7&gt;U205,U205,(TODAY()-C205)/7)</f>
        <v>-6</v>
      </c>
      <c r="F205" s="753" t="str">
        <f>IFERROR(VLOOKUP(G205,Recria[[Granja Recria]:[Emp+CC]],4,0),"")</f>
        <v>10_1250</v>
      </c>
      <c r="G205" s="1414" t="s">
        <v>101</v>
      </c>
      <c r="H205" s="755" t="str">
        <f>IFERROR(VLOOKUP(G205,Recria[[Granja Recria]:[Núcleo]],2,0),"")</f>
        <v>(N2)</v>
      </c>
      <c r="I205" s="756"/>
      <c r="J205" s="750" t="s">
        <v>45</v>
      </c>
      <c r="K205" s="750">
        <v>52</v>
      </c>
      <c r="L205" s="804" t="str">
        <f>VLOOKUP(M205,Raca_Linhagem[],2,0)</f>
        <v>ROSS</v>
      </c>
      <c r="M205" s="804" t="s">
        <v>26</v>
      </c>
      <c r="N205" s="727">
        <f t="shared" ref="N205" si="132">C205+(22*7)-7</f>
        <v>46483</v>
      </c>
      <c r="O205" s="728"/>
      <c r="P205" s="728" t="str">
        <f>IFERROR(VLOOKUP(Q205,Producao[[Granja Produção]:[Emp+CC]],4,0),"")</f>
        <v>111_1534</v>
      </c>
      <c r="Q205" s="666" t="s">
        <v>202</v>
      </c>
      <c r="R205" s="667" t="str">
        <f>IFERROR(VLOOKUP(Q205,Producao[[Granja Produção]:[Núcleo]],2,0),"")</f>
        <v>(N1)</v>
      </c>
      <c r="S205" s="668">
        <v>36000</v>
      </c>
      <c r="T205" s="669">
        <f t="shared" ref="T205" si="133">C205+(U205*7)-1</f>
        <v>46797</v>
      </c>
      <c r="U205" s="670">
        <v>66</v>
      </c>
      <c r="V205" s="701"/>
      <c r="W205" s="671">
        <f t="shared" ref="W205" si="134">IFERROR(T205+V205," ")</f>
        <v>46797</v>
      </c>
      <c r="X205" s="802" t="e">
        <f>VLOOKUP(Q205,Q278:Q446,1,0)</f>
        <v>#N/A</v>
      </c>
      <c r="Y205" s="1229" t="str">
        <f t="shared" ref="Y205" si="135">G205&amp;D205</f>
        <v>Iguaçu Recria - PR106426</v>
      </c>
      <c r="Z205" s="818">
        <f>SUMIF($Y$114:$Y$314,Y205,$S$114:$S$1288)</f>
        <v>57000</v>
      </c>
      <c r="AA205" s="818"/>
      <c r="AC205" s="1316" t="str">
        <f t="shared" si="86"/>
        <v>Pandolfi - PR</v>
      </c>
      <c r="AD205" s="1317">
        <f t="shared" si="87"/>
        <v>46336</v>
      </c>
      <c r="AE205" s="1317">
        <f t="shared" si="88"/>
        <v>46483</v>
      </c>
      <c r="AF205" s="1317">
        <f t="shared" si="89"/>
        <v>46797</v>
      </c>
      <c r="AG205" s="1315" t="str">
        <f t="shared" si="130"/>
        <v>AP95 - 344</v>
      </c>
      <c r="AH205" s="1315" t="str">
        <f t="shared" si="131"/>
        <v>ROSS</v>
      </c>
      <c r="AJ205" s="818"/>
    </row>
    <row r="206" spans="1:36">
      <c r="A206" s="750" t="s">
        <v>17</v>
      </c>
      <c r="B206" s="751">
        <f>N146+K146</f>
        <v>46339</v>
      </c>
      <c r="C206" s="752">
        <f t="shared" si="116"/>
        <v>46339</v>
      </c>
      <c r="D206" s="1026">
        <v>106626</v>
      </c>
      <c r="E206" s="757">
        <v>151050</v>
      </c>
      <c r="F206" s="753" t="str">
        <f>IFERROR(VLOOKUP(G206,Recria[[Granja Recria]:[Emp+CC]],4,0),"")</f>
        <v>10_369</v>
      </c>
      <c r="G206" s="1076" t="s">
        <v>104</v>
      </c>
      <c r="H206" s="755" t="str">
        <f>IFERROR(VLOOKUP(G206,Recria[[Granja Recria]:[Núcleo]],2,0),"")</f>
        <v>(N2)</v>
      </c>
      <c r="I206" s="756">
        <v>66000</v>
      </c>
      <c r="J206" s="750" t="s">
        <v>60</v>
      </c>
      <c r="K206" s="750">
        <v>20</v>
      </c>
      <c r="L206" s="803" t="str">
        <f>VLOOKUP(M206,Raca_Linhagem[],2,0)</f>
        <v>COBB</v>
      </c>
      <c r="M206" s="803" t="s">
        <v>21</v>
      </c>
      <c r="N206" s="727">
        <f t="shared" si="100"/>
        <v>46486</v>
      </c>
      <c r="O206" s="728"/>
      <c r="P206" s="728" t="str">
        <f>IFERROR(VLOOKUP(Q206,Producao[[Granja Produção]:[Emp+CC]],4,0),"")</f>
        <v>10_43</v>
      </c>
      <c r="Q206" s="666" t="s">
        <v>209</v>
      </c>
      <c r="R206" s="667" t="str">
        <f>IFERROR(VLOOKUP(Q206,Producao[[Granja Produção]:[Núcleo]],2,0),"")</f>
        <v>(N1)</v>
      </c>
      <c r="S206" s="668">
        <v>8000</v>
      </c>
      <c r="T206" s="669">
        <f t="shared" si="101"/>
        <v>46800</v>
      </c>
      <c r="U206" s="670">
        <v>66</v>
      </c>
      <c r="V206" s="701"/>
      <c r="W206" s="671">
        <f t="shared" si="102"/>
        <v>46800</v>
      </c>
      <c r="X206" s="802" t="e">
        <f>VLOOKUP(Q206,Q280:Q446,1,0)</f>
        <v>#N/A</v>
      </c>
      <c r="Y206" s="1229" t="str">
        <f t="shared" si="103"/>
        <v>Panorama 2 - PR106626</v>
      </c>
      <c r="Z206" s="818">
        <f>SUMIF($Y$114:$Y$314,Y206,$S$114:$S$1288)</f>
        <v>65000</v>
      </c>
      <c r="AA206" s="818"/>
      <c r="AC206" s="1316" t="str">
        <f t="shared" si="86"/>
        <v>São Braz 2 - PR</v>
      </c>
      <c r="AD206" s="1317">
        <f t="shared" si="87"/>
        <v>46339</v>
      </c>
      <c r="AE206" s="1317">
        <f t="shared" si="88"/>
        <v>46486</v>
      </c>
      <c r="AF206" s="1317">
        <f t="shared" si="89"/>
        <v>46800</v>
      </c>
      <c r="AG206" s="1315" t="str">
        <f t="shared" si="130"/>
        <v>500 SLOW - MALE</v>
      </c>
      <c r="AH206" s="1315" t="str">
        <f t="shared" si="131"/>
        <v>COBB</v>
      </c>
      <c r="AJ206" s="818"/>
    </row>
    <row r="207" spans="1:36">
      <c r="A207" s="750" t="s">
        <v>17</v>
      </c>
      <c r="B207" s="751">
        <f>N146+K146</f>
        <v>46339</v>
      </c>
      <c r="C207" s="752">
        <f t="shared" si="116"/>
        <v>46339</v>
      </c>
      <c r="D207" s="1026">
        <v>106626</v>
      </c>
      <c r="E207" s="757">
        <v>151050</v>
      </c>
      <c r="F207" s="753" t="str">
        <f>IFERROR(VLOOKUP(G207,Recria[[Granja Recria]:[Emp+CC]],4,0),"")</f>
        <v>10_369</v>
      </c>
      <c r="G207" s="1076" t="s">
        <v>104</v>
      </c>
      <c r="H207" s="755" t="str">
        <f>IFERROR(VLOOKUP(G207,Recria[[Granja Recria]:[Núcleo]],2,0),"")</f>
        <v>(N2)</v>
      </c>
      <c r="I207" s="756"/>
      <c r="J207" s="750" t="s">
        <v>60</v>
      </c>
      <c r="K207" s="750">
        <v>20</v>
      </c>
      <c r="L207" s="803" t="str">
        <f>VLOOKUP(M207,Raca_Linhagem[],2,0)</f>
        <v>COBB</v>
      </c>
      <c r="M207" s="803" t="s">
        <v>21</v>
      </c>
      <c r="N207" s="727">
        <f t="shared" ref="N207" si="136">C207+(22*7)-7</f>
        <v>46486</v>
      </c>
      <c r="O207" s="728"/>
      <c r="P207" s="728" t="str">
        <f>IFERROR(VLOOKUP(Q207,Producao[[Granja Produção]:[Emp+CC]],4,0),"")</f>
        <v>10_17</v>
      </c>
      <c r="Q207" s="666" t="s">
        <v>205</v>
      </c>
      <c r="R207" s="667" t="str">
        <f>IFERROR(VLOOKUP(Q207,Producao[[Granja Produção]:[Núcleo]],2,0),"")</f>
        <v>(N1)</v>
      </c>
      <c r="S207" s="668">
        <v>57000</v>
      </c>
      <c r="T207" s="669">
        <f t="shared" ref="T207" si="137">C207+(U207*7)-1</f>
        <v>46800</v>
      </c>
      <c r="U207" s="670">
        <v>66</v>
      </c>
      <c r="V207" s="701"/>
      <c r="W207" s="671">
        <f t="shared" ref="W207" si="138">IFERROR(T207+V207," ")</f>
        <v>46800</v>
      </c>
      <c r="X207" s="802" t="e">
        <f>VLOOKUP(Q207,Q281:Q447,1,0)</f>
        <v>#N/A</v>
      </c>
      <c r="Y207" s="1229" t="str">
        <f t="shared" ref="Y207" si="139">G207&amp;D207</f>
        <v>Panorama 2 - PR106626</v>
      </c>
      <c r="Z207" s="818">
        <f>SUMIF($Y$114:$Y$314,Y207,$S$114:$S$1288)</f>
        <v>65000</v>
      </c>
      <c r="AA207" s="818"/>
      <c r="AC207" s="1316" t="str">
        <f t="shared" si="86"/>
        <v>Agua do Sabia - PR</v>
      </c>
      <c r="AD207" s="1317">
        <f t="shared" si="87"/>
        <v>46339</v>
      </c>
      <c r="AE207" s="1317">
        <f t="shared" si="88"/>
        <v>46486</v>
      </c>
      <c r="AF207" s="1317">
        <f t="shared" si="89"/>
        <v>46800</v>
      </c>
      <c r="AG207" s="1315" t="str">
        <f t="shared" si="130"/>
        <v>500 SLOW - MALE</v>
      </c>
      <c r="AH207" s="1315" t="str">
        <f t="shared" si="131"/>
        <v>COBB</v>
      </c>
      <c r="AJ207" s="818"/>
    </row>
    <row r="208" spans="1:36">
      <c r="A208" s="750" t="s">
        <v>17</v>
      </c>
      <c r="B208" s="751">
        <f>N157+K157</f>
        <v>46349</v>
      </c>
      <c r="C208" s="752">
        <f t="shared" si="116"/>
        <v>46349</v>
      </c>
      <c r="D208" s="1102">
        <v>106726</v>
      </c>
      <c r="E208" s="757"/>
      <c r="F208" s="753" t="str">
        <f>IFERROR(VLOOKUP(G208,Recria[[Granja Recria]:[Emp+CC]],4,0),"")</f>
        <v>10_140</v>
      </c>
      <c r="G208" s="1414" t="s">
        <v>107</v>
      </c>
      <c r="H208" s="755" t="str">
        <f>IFERROR(VLOOKUP(G208,Recria[[Granja Recria]:[Núcleo]],2,0),"")</f>
        <v>(N1)</v>
      </c>
      <c r="I208" s="756">
        <v>42000</v>
      </c>
      <c r="J208" s="750" t="s">
        <v>45</v>
      </c>
      <c r="K208" s="750">
        <v>50</v>
      </c>
      <c r="L208" s="804" t="str">
        <f>VLOOKUP(M208,Raca_Linhagem[],2,0)</f>
        <v>ROSS</v>
      </c>
      <c r="M208" s="804" t="s">
        <v>26</v>
      </c>
      <c r="N208" s="727">
        <f t="shared" si="100"/>
        <v>46496</v>
      </c>
      <c r="O208" s="728"/>
      <c r="P208" s="728" t="str">
        <f>IFERROR(VLOOKUP(Q208,Producao[[Granja Produção]:[Emp+CC]],4,0),"")</f>
        <v>10_41</v>
      </c>
      <c r="Q208" s="666" t="s">
        <v>206</v>
      </c>
      <c r="R208" s="667" t="str">
        <f>IFERROR(VLOOKUP(Q208,Producao[[Granja Produção]:[Núcleo]],2,0),"")</f>
        <v>(N1)</v>
      </c>
      <c r="S208" s="668">
        <f t="shared" ref="S208:S215" si="140">I208*0.96</f>
        <v>40320</v>
      </c>
      <c r="T208" s="669">
        <f t="shared" si="101"/>
        <v>46810</v>
      </c>
      <c r="U208" s="670">
        <v>66</v>
      </c>
      <c r="V208" s="701"/>
      <c r="W208" s="671">
        <f t="shared" si="102"/>
        <v>46810</v>
      </c>
      <c r="X208" s="802" t="e">
        <f>VLOOKUP(Q208,Q282:Q447,1,0)</f>
        <v>#N/A</v>
      </c>
      <c r="Y208" s="1229" t="str">
        <f t="shared" si="103"/>
        <v>Viganó 1 - PR106726</v>
      </c>
      <c r="Z208" s="818">
        <f>SUMIF($Y$114:$Y$314,Y208,$S$114:$S$1288)</f>
        <v>40320</v>
      </c>
      <c r="AA208" s="818"/>
      <c r="AC208" s="1316" t="str">
        <f t="shared" si="86"/>
        <v>Santolin - PR</v>
      </c>
      <c r="AD208" s="1317">
        <f t="shared" si="87"/>
        <v>46349</v>
      </c>
      <c r="AE208" s="1317">
        <f t="shared" si="88"/>
        <v>46496</v>
      </c>
      <c r="AF208" s="1317">
        <f t="shared" si="89"/>
        <v>46810</v>
      </c>
      <c r="AG208" s="1315" t="str">
        <f t="shared" si="130"/>
        <v>AP95 - 344</v>
      </c>
      <c r="AH208" s="1315" t="str">
        <f t="shared" si="131"/>
        <v>ROSS</v>
      </c>
      <c r="AJ208" s="818"/>
    </row>
    <row r="209" spans="1:36">
      <c r="A209" s="718" t="s">
        <v>17</v>
      </c>
      <c r="B209" s="758">
        <v>46349</v>
      </c>
      <c r="C209" s="759">
        <f t="shared" si="116"/>
        <v>46349</v>
      </c>
      <c r="D209" s="1055">
        <v>104626</v>
      </c>
      <c r="E209" s="760">
        <v>153532</v>
      </c>
      <c r="F209" s="760" t="str">
        <f>IFERROR(VLOOKUP(G209,Recria[[Granja Recria]:[Emp+CC]],4,0),"")</f>
        <v/>
      </c>
      <c r="G209" s="761" t="s">
        <v>248</v>
      </c>
      <c r="H209" s="762" t="str">
        <f>IFERROR(VLOOKUP(G209,Recria[[Granja Recria]:[Núcleo]],2,0),"")</f>
        <v/>
      </c>
      <c r="I209" s="763">
        <v>84000</v>
      </c>
      <c r="J209" s="718" t="s">
        <v>60</v>
      </c>
      <c r="K209" s="718">
        <v>30</v>
      </c>
      <c r="L209" s="803" t="str">
        <f>VLOOKUP(M209,Raca_Linhagem[],2,0)</f>
        <v>COBB</v>
      </c>
      <c r="M209" s="803" t="s">
        <v>21</v>
      </c>
      <c r="N209" s="714">
        <f>C209+(22*7)-7</f>
        <v>46496</v>
      </c>
      <c r="O209" s="716"/>
      <c r="P209" s="716" t="str">
        <f>IFERROR(VLOOKUP(Q209,Producao[[Granja Produção]:[Emp+CC]],4,0),"")</f>
        <v>10_2387</v>
      </c>
      <c r="Q209" s="717" t="s">
        <v>249</v>
      </c>
      <c r="R209" s="718" t="str">
        <f>IFERROR(VLOOKUP(Q209,Producao[[Granja Produção]:[Núcleo]],2,0),"")</f>
        <v>(N2)</v>
      </c>
      <c r="S209" s="719">
        <f>I209*0.96</f>
        <v>80640</v>
      </c>
      <c r="T209" s="720">
        <f>C209+(U209*7)-1</f>
        <v>46810</v>
      </c>
      <c r="U209" s="721">
        <v>66</v>
      </c>
      <c r="V209" s="722"/>
      <c r="W209" s="723">
        <f>IFERROR(T209+V209," ")</f>
        <v>46810</v>
      </c>
      <c r="X209" s="802" t="e">
        <f>VLOOKUP(Q209,Q253:Q428,1,0)</f>
        <v>#N/A</v>
      </c>
      <c r="Y209" s="1229" t="str">
        <f>G209&amp;D209</f>
        <v>Uberaba - PR104626</v>
      </c>
      <c r="Z209" s="818">
        <f>SUMIF($Y$114:$Y$314,Y209,$S$114:$S$1288)</f>
        <v>80640</v>
      </c>
      <c r="AA209" s="818"/>
      <c r="AC209" s="1316" t="str">
        <f t="shared" si="86"/>
        <v>Uberaba Prod. 1 - PR</v>
      </c>
      <c r="AD209" s="1317">
        <f t="shared" si="87"/>
        <v>46349</v>
      </c>
      <c r="AE209" s="1317">
        <f t="shared" si="88"/>
        <v>46496</v>
      </c>
      <c r="AF209" s="1317">
        <f t="shared" si="89"/>
        <v>46810</v>
      </c>
      <c r="AG209" s="1315" t="str">
        <f t="shared" si="130"/>
        <v>500 SLOW - MALE</v>
      </c>
      <c r="AH209" s="1315" t="str">
        <f t="shared" si="131"/>
        <v>COBB</v>
      </c>
      <c r="AJ209" s="818"/>
    </row>
    <row r="210" spans="1:36">
      <c r="A210" s="750" t="s">
        <v>17</v>
      </c>
      <c r="B210" s="1123">
        <f>N155+K155</f>
        <v>46352</v>
      </c>
      <c r="C210" s="752">
        <f t="shared" si="116"/>
        <v>46352</v>
      </c>
      <c r="D210" s="1026">
        <v>107626</v>
      </c>
      <c r="E210" s="757"/>
      <c r="F210" s="753" t="str">
        <f>IFERROR(VLOOKUP(G210,Recria[[Granja Recria]:[Emp+CC]],4,0),"")</f>
        <v>139_149</v>
      </c>
      <c r="G210" s="1414" t="s">
        <v>139</v>
      </c>
      <c r="H210" s="755" t="str">
        <f>IFERROR(VLOOKUP(G210,Recria[[Granja Recria]:[Núcleo]],2,0),"")</f>
        <v>(N2)</v>
      </c>
      <c r="I210" s="756">
        <v>60000</v>
      </c>
      <c r="J210" s="750" t="s">
        <v>45</v>
      </c>
      <c r="K210" s="750">
        <v>55</v>
      </c>
      <c r="L210" s="804" t="str">
        <f>VLOOKUP(M210,Raca_Linhagem[],2,0)</f>
        <v>ROSS</v>
      </c>
      <c r="M210" s="804" t="s">
        <v>26</v>
      </c>
      <c r="N210" s="727">
        <f t="shared" si="100"/>
        <v>46499</v>
      </c>
      <c r="O210" s="728"/>
      <c r="P210" s="728" t="str">
        <f>IFERROR(VLOOKUP(Q210,Producao[[Granja Produção]:[Emp+CC]],4,0),"")</f>
        <v>10_1184</v>
      </c>
      <c r="Q210" s="666" t="s">
        <v>217</v>
      </c>
      <c r="R210" s="667" t="str">
        <f>IFERROR(VLOOKUP(Q210,Producao[[Granja Produção]:[Núcleo]],2,0),"")</f>
        <v>(N1)</v>
      </c>
      <c r="S210" s="668">
        <f t="shared" si="140"/>
        <v>57600</v>
      </c>
      <c r="T210" s="669">
        <f t="shared" si="101"/>
        <v>46813</v>
      </c>
      <c r="U210" s="670">
        <v>66</v>
      </c>
      <c r="V210" s="701"/>
      <c r="W210" s="671">
        <f>IFERROR(T210+V210," ")</f>
        <v>46813</v>
      </c>
      <c r="X210" s="802" t="e">
        <f>VLOOKUP(Q210,Q290:Q456,1,0)</f>
        <v>#N/A</v>
      </c>
      <c r="Y210" s="1229" t="str">
        <f t="shared" si="103"/>
        <v>Esperança 2 - PR107626</v>
      </c>
      <c r="Z210" s="818">
        <f>SUMIF($Y$114:$Y$314,Y210,$S$114:$S$1288)</f>
        <v>57600</v>
      </c>
      <c r="AA210" s="818"/>
      <c r="AC210" s="1316" t="str">
        <f t="shared" si="86"/>
        <v>Fundo da Grota - PR</v>
      </c>
      <c r="AD210" s="1317">
        <f t="shared" si="87"/>
        <v>46352</v>
      </c>
      <c r="AE210" s="1317">
        <f t="shared" si="88"/>
        <v>46499</v>
      </c>
      <c r="AF210" s="1317">
        <f t="shared" si="89"/>
        <v>46813</v>
      </c>
      <c r="AG210" s="1315" t="str">
        <f t="shared" si="130"/>
        <v>AP95 - 344</v>
      </c>
      <c r="AH210" s="1315" t="str">
        <f t="shared" si="131"/>
        <v>ROSS</v>
      </c>
      <c r="AJ210" s="818"/>
    </row>
    <row r="211" spans="1:36">
      <c r="A211" s="750" t="s">
        <v>17</v>
      </c>
      <c r="B211" s="751">
        <f>N149+K149</f>
        <v>46355</v>
      </c>
      <c r="C211" s="752">
        <f t="shared" si="116"/>
        <v>46355</v>
      </c>
      <c r="D211" s="1026">
        <v>106926</v>
      </c>
      <c r="E211" s="757"/>
      <c r="F211" s="753" t="str">
        <f>IFERROR(VLOOKUP(G211,Recria[[Granja Recria]:[Emp+CC]],4,0),"")</f>
        <v>27_181</v>
      </c>
      <c r="G211" s="1414" t="s">
        <v>111</v>
      </c>
      <c r="H211" s="755" t="str">
        <f>IFERROR(VLOOKUP(G211,Recria[[Granja Recria]:[Núcleo]],2,0),"")</f>
        <v>(N2)</v>
      </c>
      <c r="I211" s="756">
        <v>42000</v>
      </c>
      <c r="J211" s="750" t="s">
        <v>60</v>
      </c>
      <c r="K211" s="750">
        <v>23</v>
      </c>
      <c r="L211" s="804" t="str">
        <f>VLOOKUP(M211,Raca_Linhagem[],2,0)</f>
        <v>ROSS</v>
      </c>
      <c r="M211" s="804" t="s">
        <v>26</v>
      </c>
      <c r="N211" s="727">
        <f t="shared" si="100"/>
        <v>46502</v>
      </c>
      <c r="O211" s="728"/>
      <c r="P211" s="728" t="str">
        <f>IFERROR(VLOOKUP(Q211,Producao[[Granja Produção]:[Emp+CC]],4,0),"")</f>
        <v>17_104</v>
      </c>
      <c r="Q211" s="666" t="s">
        <v>212</v>
      </c>
      <c r="R211" s="667" t="str">
        <f>IFERROR(VLOOKUP(Q211,Producao[[Granja Produção]:[Núcleo]],2,0),"")</f>
        <v>(N1)</v>
      </c>
      <c r="S211" s="668">
        <f t="shared" si="140"/>
        <v>40320</v>
      </c>
      <c r="T211" s="669">
        <f t="shared" si="101"/>
        <v>46816</v>
      </c>
      <c r="U211" s="670">
        <v>66</v>
      </c>
      <c r="V211" s="701"/>
      <c r="W211" s="671">
        <f t="shared" si="102"/>
        <v>46816</v>
      </c>
      <c r="X211" s="802" t="e">
        <f>VLOOKUP(Q211,Q285:Q450,1,0)</f>
        <v>#N/A</v>
      </c>
      <c r="Y211" s="1229" t="str">
        <f t="shared" si="103"/>
        <v>Rio Chopim 2 - PR106926</v>
      </c>
      <c r="Z211" s="818">
        <f>SUMIF($Y$114:$Y$314,Y211,$S$114:$S$1288)</f>
        <v>40320</v>
      </c>
      <c r="AA211" s="818"/>
      <c r="AC211" s="1316" t="str">
        <f t="shared" si="86"/>
        <v>Bela Vista 1 - PR</v>
      </c>
      <c r="AD211" s="1317">
        <f t="shared" si="87"/>
        <v>46355</v>
      </c>
      <c r="AE211" s="1317">
        <f t="shared" si="88"/>
        <v>46502</v>
      </c>
      <c r="AF211" s="1317">
        <f t="shared" si="89"/>
        <v>46816</v>
      </c>
      <c r="AG211" s="1315" t="str">
        <f t="shared" si="130"/>
        <v>AP95 - 344</v>
      </c>
      <c r="AH211" s="1315" t="str">
        <f t="shared" si="131"/>
        <v>ROSS</v>
      </c>
      <c r="AJ211" s="818"/>
    </row>
    <row r="212" spans="1:36">
      <c r="A212" s="750" t="s">
        <v>17</v>
      </c>
      <c r="B212" s="1123">
        <f>N159+K159</f>
        <v>46361</v>
      </c>
      <c r="C212" s="752">
        <f t="shared" si="116"/>
        <v>46361</v>
      </c>
      <c r="D212" s="1026">
        <v>107026</v>
      </c>
      <c r="E212" s="757"/>
      <c r="F212" s="753" t="str">
        <f>IFERROR(VLOOKUP(G212,Recria[[Granja Recria]:[Emp+CC]],4,0),"")</f>
        <v>10_326</v>
      </c>
      <c r="G212" s="1414" t="s">
        <v>129</v>
      </c>
      <c r="H212" s="755" t="str">
        <f>IFERROR(VLOOKUP(G212,Recria[[Granja Recria]:[Núcleo]],2,0),"")</f>
        <v>(N1)</v>
      </c>
      <c r="I212" s="756">
        <v>38000</v>
      </c>
      <c r="J212" s="750" t="s">
        <v>20</v>
      </c>
      <c r="K212" s="750">
        <v>22</v>
      </c>
      <c r="L212" s="804" t="str">
        <f>VLOOKUP(M212,Raca_Linhagem[],2,0)</f>
        <v>ROSS</v>
      </c>
      <c r="M212" s="804" t="s">
        <v>26</v>
      </c>
      <c r="N212" s="727">
        <f t="shared" si="100"/>
        <v>46508</v>
      </c>
      <c r="O212" s="728"/>
      <c r="P212" s="728" t="str">
        <f>IFERROR(VLOOKUP(Q212,Producao[[Granja Produção]:[Emp+CC]],4,0),"")</f>
        <v>119_154</v>
      </c>
      <c r="Q212" s="666" t="s">
        <v>215</v>
      </c>
      <c r="R212" s="667" t="str">
        <f>IFERROR(VLOOKUP(Q212,Producao[[Granja Produção]:[Núcleo]],2,0),"")</f>
        <v>(N1)</v>
      </c>
      <c r="S212" s="668">
        <f t="shared" si="140"/>
        <v>36480</v>
      </c>
      <c r="T212" s="669">
        <f t="shared" si="101"/>
        <v>46822</v>
      </c>
      <c r="U212" s="670">
        <v>66</v>
      </c>
      <c r="V212" s="701"/>
      <c r="W212" s="671">
        <f t="shared" si="102"/>
        <v>46822</v>
      </c>
      <c r="X212" s="802" t="e">
        <f>VLOOKUP(Q212,Q285:Q451,1,0)</f>
        <v>#N/A</v>
      </c>
      <c r="Y212" s="1229" t="str">
        <f t="shared" si="103"/>
        <v>Santa Tereza 1 - PR107026</v>
      </c>
      <c r="Z212" s="818">
        <f>SUMIF($Y$114:$Y$314,Y212,$S$114:$S$1288)</f>
        <v>36480</v>
      </c>
      <c r="AA212" s="818"/>
      <c r="AC212" s="1316" t="str">
        <f t="shared" si="86"/>
        <v>São Caetano - PR</v>
      </c>
      <c r="AD212" s="1317">
        <f t="shared" si="87"/>
        <v>46361</v>
      </c>
      <c r="AE212" s="1317">
        <f t="shared" si="88"/>
        <v>46508</v>
      </c>
      <c r="AF212" s="1317">
        <f t="shared" si="89"/>
        <v>46822</v>
      </c>
      <c r="AG212" s="1315" t="str">
        <f t="shared" si="130"/>
        <v>AP95 - 344</v>
      </c>
      <c r="AH212" s="1315" t="str">
        <f t="shared" si="131"/>
        <v>ROSS</v>
      </c>
      <c r="AJ212" s="818"/>
    </row>
    <row r="213" spans="1:36">
      <c r="A213" s="816" t="s">
        <v>17</v>
      </c>
      <c r="B213" s="1246">
        <f>N164+K164</f>
        <v>46363</v>
      </c>
      <c r="C213" s="1247">
        <f t="shared" si="116"/>
        <v>46363</v>
      </c>
      <c r="D213" s="1248">
        <v>107126</v>
      </c>
      <c r="E213" s="1249">
        <v>153552</v>
      </c>
      <c r="F213" s="1250" t="str">
        <f>IFERROR(VLOOKUP(G213,Recria[[Granja Recria]:[Emp+CC]],4,0),"")</f>
        <v>10_267</v>
      </c>
      <c r="G213" s="1251" t="s">
        <v>115</v>
      </c>
      <c r="H213" s="1252" t="str">
        <f>IFERROR(VLOOKUP(G213,Recria[[Granja Recria]:[Núcleo]],2,0),"")</f>
        <v>(N1)</v>
      </c>
      <c r="I213" s="1288" t="s">
        <v>250</v>
      </c>
      <c r="J213" s="816" t="s">
        <v>45</v>
      </c>
      <c r="K213" s="816">
        <v>50</v>
      </c>
      <c r="L213" s="1253" t="str">
        <f>VLOOKUP(M213,Raca_Linhagem[],2,0)</f>
        <v>COBB</v>
      </c>
      <c r="M213" s="1253" t="s">
        <v>21</v>
      </c>
      <c r="N213" s="1254">
        <f t="shared" si="100"/>
        <v>46510</v>
      </c>
      <c r="O213" s="1255"/>
      <c r="P213" s="1255" t="str">
        <f>IFERROR(VLOOKUP(Q213,Producao[[Granja Produção]:[Emp+CC]],4,0),"")</f>
        <v/>
      </c>
      <c r="Q213" s="1256"/>
      <c r="R213" s="1257" t="str">
        <f>IFERROR(VLOOKUP(Q213,Producao[[Granja Produção]:[Núcleo]],2,0),"")</f>
        <v/>
      </c>
      <c r="S213" s="1258">
        <f t="shared" si="140"/>
        <v>60480</v>
      </c>
      <c r="T213" s="881">
        <f t="shared" si="101"/>
        <v>46824</v>
      </c>
      <c r="U213" s="672">
        <v>66</v>
      </c>
      <c r="V213" s="880"/>
      <c r="W213" s="1259">
        <f t="shared" si="102"/>
        <v>46824</v>
      </c>
      <c r="X213" s="802" t="e">
        <f>VLOOKUP(Q213,Q288:Q452,1,0)</f>
        <v>#N/A</v>
      </c>
      <c r="Y213" s="1229" t="str">
        <f t="shared" si="103"/>
        <v>Três Palmeiras - PR107126</v>
      </c>
      <c r="Z213" s="818">
        <f>SUMIF($Y$114:$Y$314,Y213,$S$114:$S$1288)</f>
        <v>120960</v>
      </c>
      <c r="AA213" s="818"/>
      <c r="AC213" s="1316">
        <f t="shared" si="86"/>
        <v>0</v>
      </c>
      <c r="AD213" s="1317">
        <f t="shared" si="87"/>
        <v>46363</v>
      </c>
      <c r="AE213" s="1317">
        <f t="shared" si="88"/>
        <v>46510</v>
      </c>
      <c r="AF213" s="1317">
        <f t="shared" si="89"/>
        <v>46824</v>
      </c>
      <c r="AG213" s="1315" t="str">
        <f t="shared" si="130"/>
        <v>500 SLOW - MALE</v>
      </c>
      <c r="AH213" s="1315" t="str">
        <f t="shared" si="131"/>
        <v>COBB</v>
      </c>
      <c r="AJ213" s="818"/>
    </row>
    <row r="214" spans="1:36">
      <c r="A214" s="816" t="s">
        <v>17</v>
      </c>
      <c r="B214" s="1246">
        <f>N165+K165</f>
        <v>46363</v>
      </c>
      <c r="C214" s="1247">
        <f t="shared" si="116"/>
        <v>46363</v>
      </c>
      <c r="D214" s="1248">
        <v>107126</v>
      </c>
      <c r="E214" s="1249">
        <v>153552</v>
      </c>
      <c r="F214" s="1250" t="str">
        <f>IFERROR(VLOOKUP(G214,Recria[[Granja Recria]:[Emp+CC]],4,0),"")</f>
        <v>10_267</v>
      </c>
      <c r="G214" s="1251" t="s">
        <v>115</v>
      </c>
      <c r="H214" s="1252" t="str">
        <f>IFERROR(VLOOKUP(G214,Recria[[Granja Recria]:[Núcleo]],2,0),"")</f>
        <v>(N1)</v>
      </c>
      <c r="I214" s="1288" t="s">
        <v>250</v>
      </c>
      <c r="J214" s="816" t="s">
        <v>45</v>
      </c>
      <c r="K214" s="816">
        <v>50</v>
      </c>
      <c r="L214" s="1253" t="str">
        <f>VLOOKUP(M214,Raca_Linhagem[],2,0)</f>
        <v>COBB</v>
      </c>
      <c r="M214" s="1253" t="s">
        <v>21</v>
      </c>
      <c r="N214" s="1254">
        <f t="shared" si="100"/>
        <v>46510</v>
      </c>
      <c r="O214" s="1255"/>
      <c r="P214" s="1255" t="str">
        <f>IFERROR(VLOOKUP(Q214,Producao[[Granja Produção]:[Emp+CC]],4,0),"")</f>
        <v/>
      </c>
      <c r="Q214" s="1256"/>
      <c r="R214" s="1257" t="str">
        <f>IFERROR(VLOOKUP(Q214,Producao[[Granja Produção]:[Núcleo]],2,0),"")</f>
        <v/>
      </c>
      <c r="S214" s="1258">
        <f t="shared" si="140"/>
        <v>60480</v>
      </c>
      <c r="T214" s="881">
        <f t="shared" si="101"/>
        <v>46824</v>
      </c>
      <c r="U214" s="672">
        <v>66</v>
      </c>
      <c r="V214" s="880"/>
      <c r="W214" s="1259">
        <f t="shared" si="102"/>
        <v>46824</v>
      </c>
      <c r="X214" s="802" t="e">
        <f>VLOOKUP(Q214,Q285:Q453,1,0)</f>
        <v>#N/A</v>
      </c>
      <c r="Y214" s="1229" t="str">
        <f t="shared" si="103"/>
        <v>Três Palmeiras - PR107126</v>
      </c>
      <c r="Z214" s="818">
        <f>SUMIF($Y$114:$Y$314,Y214,$S$114:$S$1288)</f>
        <v>120960</v>
      </c>
      <c r="AA214" s="818"/>
      <c r="AC214" s="1316">
        <f t="shared" si="86"/>
        <v>0</v>
      </c>
      <c r="AD214" s="1317">
        <f t="shared" si="87"/>
        <v>46363</v>
      </c>
      <c r="AE214" s="1317">
        <f t="shared" si="88"/>
        <v>46510</v>
      </c>
      <c r="AF214" s="1317">
        <f t="shared" si="89"/>
        <v>46824</v>
      </c>
      <c r="AG214" s="1315" t="str">
        <f t="shared" si="130"/>
        <v>500 SLOW - MALE</v>
      </c>
      <c r="AH214" s="1315" t="str">
        <f t="shared" si="131"/>
        <v>COBB</v>
      </c>
      <c r="AJ214" s="818"/>
    </row>
    <row r="215" spans="1:36">
      <c r="A215" s="750" t="s">
        <v>17</v>
      </c>
      <c r="B215" s="1123">
        <f>N158+K158</f>
        <v>46361</v>
      </c>
      <c r="C215" s="752">
        <f t="shared" si="116"/>
        <v>46361</v>
      </c>
      <c r="D215" s="1026">
        <v>107226</v>
      </c>
      <c r="E215" s="757"/>
      <c r="F215" s="753" t="str">
        <f>IFERROR(VLOOKUP(G215,Recria[[Granja Recria]:[Emp+CC]],4,0),"")</f>
        <v>10_775</v>
      </c>
      <c r="G215" s="1414" t="s">
        <v>120</v>
      </c>
      <c r="H215" s="755" t="str">
        <f>IFERROR(VLOOKUP(G215,Recria[[Granja Recria]:[Núcleo]],2,0),"")</f>
        <v>(N1)</v>
      </c>
      <c r="I215" s="756">
        <v>50000</v>
      </c>
      <c r="J215" s="750" t="s">
        <v>45</v>
      </c>
      <c r="K215" s="750">
        <v>55</v>
      </c>
      <c r="L215" s="804" t="str">
        <f>VLOOKUP(M215,Raca_Linhagem[],2,0)</f>
        <v>ROSS</v>
      </c>
      <c r="M215" s="804" t="s">
        <v>26</v>
      </c>
      <c r="N215" s="727">
        <f t="shared" si="100"/>
        <v>46508</v>
      </c>
      <c r="O215" s="728"/>
      <c r="P215" s="728" t="str">
        <f>IFERROR(VLOOKUP(Q215,Producao[[Granja Produção]:[Emp+CC]],4,0),"")</f>
        <v>10_46</v>
      </c>
      <c r="Q215" s="666" t="s">
        <v>210</v>
      </c>
      <c r="R215" s="667" t="str">
        <f>IFERROR(VLOOKUP(Q215,Producao[[Granja Produção]:[Núcleo]],2,0),"")</f>
        <v>(N2)</v>
      </c>
      <c r="S215" s="668">
        <f t="shared" si="140"/>
        <v>48000</v>
      </c>
      <c r="T215" s="669">
        <f t="shared" si="101"/>
        <v>46822</v>
      </c>
      <c r="U215" s="670">
        <v>66</v>
      </c>
      <c r="V215" s="701"/>
      <c r="W215" s="671">
        <f t="shared" si="102"/>
        <v>46822</v>
      </c>
      <c r="X215" s="802" t="e">
        <f>VLOOKUP(Q215,Q284:Q454,1,0)</f>
        <v>#N/A</v>
      </c>
      <c r="Y215" s="1229" t="str">
        <f t="shared" si="103"/>
        <v>Salto Caxias Rec. 1 - PR107226</v>
      </c>
      <c r="Z215" s="818">
        <f>SUMIF($Y$114:$Y$314,Y215,$S$114:$S$1288)</f>
        <v>48000</v>
      </c>
      <c r="AA215" s="818"/>
      <c r="AC215" s="1316" t="str">
        <f t="shared" si="86"/>
        <v>Salto Caxias Prod. 1 - PR</v>
      </c>
      <c r="AD215" s="1317">
        <f t="shared" si="87"/>
        <v>46361</v>
      </c>
      <c r="AE215" s="1317">
        <f t="shared" si="88"/>
        <v>46508</v>
      </c>
      <c r="AF215" s="1317">
        <f t="shared" si="89"/>
        <v>46822</v>
      </c>
      <c r="AG215" s="1315" t="str">
        <f t="shared" si="130"/>
        <v>AP95 - 344</v>
      </c>
      <c r="AH215" s="1315" t="str">
        <f t="shared" si="131"/>
        <v>ROSS</v>
      </c>
      <c r="AJ215" s="818"/>
    </row>
    <row r="216" spans="1:36">
      <c r="A216" s="750" t="s">
        <v>17</v>
      </c>
      <c r="B216" s="1123">
        <f>N162+K162</f>
        <v>46363</v>
      </c>
      <c r="C216" s="752">
        <f t="shared" si="116"/>
        <v>46363</v>
      </c>
      <c r="D216" s="1026">
        <v>107526</v>
      </c>
      <c r="E216" s="757">
        <v>153553</v>
      </c>
      <c r="F216" s="753" t="str">
        <f>IFERROR(VLOOKUP(G216,Recria[[Granja Recria]:[Emp+CC]],4,0),"")</f>
        <v>10_180</v>
      </c>
      <c r="G216" s="1076" t="s">
        <v>135</v>
      </c>
      <c r="H216" s="755" t="str">
        <f>IFERROR(VLOOKUP(G216,Recria[[Granja Recria]:[Núcleo]],2,0),"")</f>
        <v>(N1)</v>
      </c>
      <c r="I216" s="756">
        <v>46000</v>
      </c>
      <c r="J216" s="750" t="s">
        <v>45</v>
      </c>
      <c r="K216" s="750">
        <v>50</v>
      </c>
      <c r="L216" s="803" t="str">
        <f>VLOOKUP(M216,Raca_Linhagem[],2,0)</f>
        <v>COBB</v>
      </c>
      <c r="M216" s="803" t="s">
        <v>21</v>
      </c>
      <c r="N216" s="727">
        <f>C216+(22*7)-7</f>
        <v>46510</v>
      </c>
      <c r="O216" s="728"/>
      <c r="P216" s="728" t="str">
        <f>IFERROR(VLOOKUP(Q216,Producao[[Granja Produção]:[Emp+CC]],4,0),"")</f>
        <v>13_258</v>
      </c>
      <c r="Q216" s="666" t="s">
        <v>219</v>
      </c>
      <c r="R216" s="667" t="str">
        <f>IFERROR(VLOOKUP(Q216,Producao[[Granja Produção]:[Núcleo]],2,0),"")</f>
        <v>(N1)</v>
      </c>
      <c r="S216" s="668">
        <f>I216*0.96</f>
        <v>44160</v>
      </c>
      <c r="T216" s="669">
        <f>C216+(U216*7)-1</f>
        <v>46824</v>
      </c>
      <c r="U216" s="670">
        <v>66</v>
      </c>
      <c r="V216" s="701"/>
      <c r="W216" s="671">
        <f t="shared" ref="W216:W219" si="141">IFERROR(T216+V216," ")</f>
        <v>46824</v>
      </c>
      <c r="X216" s="802" t="e">
        <f>VLOOKUP(Q216,Q283:Q449,1,0)</f>
        <v>#N/A</v>
      </c>
      <c r="Y216" s="1229" t="str">
        <f>G216&amp;D216</f>
        <v>Panorama 1 - PR107526</v>
      </c>
      <c r="Z216" s="818">
        <f>SUMIF($Y$114:$Y$314,Y216,$S$114:$S$1288)</f>
        <v>44160</v>
      </c>
      <c r="AA216" s="818"/>
      <c r="AC216" s="1316" t="str">
        <f t="shared" si="86"/>
        <v>Prezotto - SC</v>
      </c>
      <c r="AD216" s="1317">
        <f t="shared" si="87"/>
        <v>46363</v>
      </c>
      <c r="AE216" s="1317">
        <f t="shared" si="88"/>
        <v>46510</v>
      </c>
      <c r="AF216" s="1317">
        <f t="shared" si="89"/>
        <v>46824</v>
      </c>
      <c r="AG216" s="1315" t="str">
        <f t="shared" si="130"/>
        <v>500 SLOW - MALE</v>
      </c>
      <c r="AH216" s="1315" t="str">
        <f t="shared" si="131"/>
        <v>COBB</v>
      </c>
      <c r="AJ216" s="818"/>
    </row>
    <row r="217" spans="1:36">
      <c r="A217" s="1105" t="s">
        <v>17</v>
      </c>
      <c r="B217" s="781">
        <f>N167+K167</f>
        <v>46375</v>
      </c>
      <c r="C217" s="1106">
        <f t="shared" si="116"/>
        <v>46375</v>
      </c>
      <c r="D217" s="1127">
        <v>107726</v>
      </c>
      <c r="E217" s="1107">
        <v>153550</v>
      </c>
      <c r="F217" s="1107" t="str">
        <f>IFERROR(VLOOKUP(G217,Recria[[Granja Recria]:[Emp+CC]],4,0),"")</f>
        <v>10_2384</v>
      </c>
      <c r="G217" s="1413" t="s">
        <v>239</v>
      </c>
      <c r="H217" s="1109" t="str">
        <f>IFERROR(VLOOKUP(G217,Recria[[Granja Recria]:[Núcleo]],2,0),"")</f>
        <v>(N1)</v>
      </c>
      <c r="I217" s="1110">
        <v>60000</v>
      </c>
      <c r="J217" s="1105" t="s">
        <v>45</v>
      </c>
      <c r="K217" s="1105">
        <v>50</v>
      </c>
      <c r="L217" s="803" t="str">
        <f>VLOOKUP(M217,Raca_Linhagem[],2,0)</f>
        <v>COBB</v>
      </c>
      <c r="M217" s="803" t="s">
        <v>21</v>
      </c>
      <c r="N217" s="714">
        <f>C217+(22*7)-7</f>
        <v>46522</v>
      </c>
      <c r="O217" s="716"/>
      <c r="P217" s="716" t="str">
        <f>IFERROR(VLOOKUP(Q217,Producao[[Granja Produção]:[Emp+CC]],4,0),"")</f>
        <v>10_2386</v>
      </c>
      <c r="Q217" s="717" t="s">
        <v>251</v>
      </c>
      <c r="R217" s="718" t="str">
        <f>IFERROR(VLOOKUP(Q217,Producao[[Granja Produção]:[Núcleo]],2,0),"")</f>
        <v>(N3)</v>
      </c>
      <c r="S217" s="719">
        <v>57000</v>
      </c>
      <c r="T217" s="720">
        <f>C217+(U217*7)-1</f>
        <v>46836</v>
      </c>
      <c r="U217" s="721">
        <v>66</v>
      </c>
      <c r="V217" s="722"/>
      <c r="W217" s="723">
        <f>IFERROR(T217+V217," ")</f>
        <v>46836</v>
      </c>
      <c r="X217" s="802" t="e">
        <f>VLOOKUP(Q217,Q291:Q458,1,0)</f>
        <v>#N/A</v>
      </c>
      <c r="Y217" s="1229" t="str">
        <f>G217&amp;D217</f>
        <v>N. Sª. Ap. Rec. 1- PR107726</v>
      </c>
      <c r="Z217" s="818">
        <f>SUMIF($Y$114:$Y$314,Y217,$S$114:$S$1288)</f>
        <v>57000</v>
      </c>
      <c r="AA217" s="818"/>
      <c r="AC217" s="1316" t="str">
        <f t="shared" si="86"/>
        <v>N. Sª. Ap. Prod. 2 - PR</v>
      </c>
      <c r="AD217" s="1317">
        <f t="shared" si="87"/>
        <v>46375</v>
      </c>
      <c r="AE217" s="1317">
        <f t="shared" si="88"/>
        <v>46522</v>
      </c>
      <c r="AF217" s="1317">
        <f t="shared" si="89"/>
        <v>46836</v>
      </c>
      <c r="AG217" s="1315" t="str">
        <f t="shared" si="130"/>
        <v>500 SLOW - MALE</v>
      </c>
      <c r="AH217" s="1315" t="str">
        <f t="shared" si="131"/>
        <v>COBB</v>
      </c>
      <c r="AJ217" s="818"/>
    </row>
    <row r="218" spans="1:36">
      <c r="A218" s="718" t="s">
        <v>17</v>
      </c>
      <c r="B218" s="758">
        <v>46376</v>
      </c>
      <c r="C218" s="759">
        <f t="shared" si="116"/>
        <v>46376</v>
      </c>
      <c r="D218" s="1055">
        <v>106026</v>
      </c>
      <c r="E218" s="760"/>
      <c r="F218" s="760" t="str">
        <f>IFERROR(VLOOKUP(G218,Recria[[Granja Recria]:[Emp+CC]],4,0),"")</f>
        <v>135_2402</v>
      </c>
      <c r="G218" s="761" t="s">
        <v>252</v>
      </c>
      <c r="H218" s="762" t="str">
        <f>IFERROR(VLOOKUP(G218,Recria[[Granja Recria]:[Núcleo]],2,0),"")</f>
        <v>(N2)</v>
      </c>
      <c r="I218" s="763">
        <v>60000</v>
      </c>
      <c r="J218" s="718" t="s">
        <v>60</v>
      </c>
      <c r="K218" s="718">
        <v>25</v>
      </c>
      <c r="L218" s="803" t="str">
        <f>VLOOKUP(M218,Raca_Linhagem[],2,0)</f>
        <v>ROSS</v>
      </c>
      <c r="M218" s="804" t="s">
        <v>26</v>
      </c>
      <c r="N218" s="714">
        <f t="shared" si="100"/>
        <v>46523</v>
      </c>
      <c r="O218" s="716"/>
      <c r="P218" s="716" t="str">
        <f>IFERROR(VLOOKUP(Q218,Producao[[Granja Produção]:[Emp+CC]],4,0),"")</f>
        <v>135_2391</v>
      </c>
      <c r="Q218" s="717" t="s">
        <v>253</v>
      </c>
      <c r="R218" s="718" t="str">
        <f>IFERROR(VLOOKUP(Q218,Producao[[Granja Produção]:[Núcleo]],2,0),"")</f>
        <v>(N4)</v>
      </c>
      <c r="S218" s="719">
        <v>57000</v>
      </c>
      <c r="T218" s="720">
        <f t="shared" si="101"/>
        <v>46837</v>
      </c>
      <c r="U218" s="721">
        <v>66</v>
      </c>
      <c r="V218" s="722"/>
      <c r="W218" s="723">
        <f t="shared" si="141"/>
        <v>46837</v>
      </c>
      <c r="X218" s="802" t="e">
        <f>VLOOKUP(Q218,Q276:Q443,1,0)</f>
        <v>#N/A</v>
      </c>
      <c r="Y218" s="1229" t="str">
        <f t="shared" si="103"/>
        <v>Cafezal Rec. 2 - PR106026</v>
      </c>
      <c r="Z218" s="818">
        <f>SUMIF($Y$114:$Y$314,Y218,$S$114:$S$1288)</f>
        <v>57000</v>
      </c>
      <c r="AA218" s="818"/>
      <c r="AC218" s="1316" t="str">
        <f t="shared" si="86"/>
        <v>Cafezal Prod. 2 - PR</v>
      </c>
      <c r="AD218" s="1317">
        <f t="shared" si="87"/>
        <v>46376</v>
      </c>
      <c r="AE218" s="1317">
        <f t="shared" si="88"/>
        <v>46523</v>
      </c>
      <c r="AF218" s="1317">
        <f t="shared" si="89"/>
        <v>46837</v>
      </c>
      <c r="AG218" s="1315" t="str">
        <f t="shared" si="130"/>
        <v>AP95 - 344</v>
      </c>
      <c r="AH218" s="1315" t="str">
        <f t="shared" si="131"/>
        <v>ROSS</v>
      </c>
      <c r="AJ218" s="818"/>
    </row>
    <row r="219" spans="1:36">
      <c r="A219" s="1289" t="s">
        <v>254</v>
      </c>
      <c r="B219" s="1290">
        <f>N168+K168</f>
        <v>46377</v>
      </c>
      <c r="C219" s="1291">
        <f t="shared" si="116"/>
        <v>46377</v>
      </c>
      <c r="D219" s="1292">
        <v>106226</v>
      </c>
      <c r="E219" s="1293">
        <v>153526</v>
      </c>
      <c r="F219" s="1294" t="str">
        <f>IFERROR(VLOOKUP(G219,Recria[[Granja Recria]:[Emp+CC]],4,0),"")</f>
        <v>112_2401</v>
      </c>
      <c r="G219" s="1295" t="s">
        <v>241</v>
      </c>
      <c r="H219" s="1296" t="str">
        <f>IFERROR(VLOOKUP(G219,Recria[[Granja Recria]:[Núcleo]],2,0),"")</f>
        <v>(N6)</v>
      </c>
      <c r="I219" s="1297">
        <v>84000</v>
      </c>
      <c r="J219" s="1289" t="s">
        <v>45</v>
      </c>
      <c r="K219" s="1289">
        <v>55</v>
      </c>
      <c r="L219" s="803" t="str">
        <f>VLOOKUP(M219,Raca_Linhagem[],2,0)</f>
        <v>COBB</v>
      </c>
      <c r="M219" s="803" t="s">
        <v>21</v>
      </c>
      <c r="N219" s="1303">
        <f>C219+(22*7)-7</f>
        <v>46524</v>
      </c>
      <c r="O219" s="1304"/>
      <c r="P219" s="1304" t="str">
        <f>IFERROR(VLOOKUP(Q219,Producao[[Granja Produção]:[Emp+CC]],4,0),"")</f>
        <v/>
      </c>
      <c r="Q219" s="1305" t="s">
        <v>255</v>
      </c>
      <c r="R219" s="1306" t="str">
        <f>IFERROR(VLOOKUP(Q219,Producao[[Granja Produção]:[Núcleo]],2,0),"")</f>
        <v/>
      </c>
      <c r="S219" s="1307">
        <v>80000</v>
      </c>
      <c r="T219" s="1308">
        <f>C219+(U219*7)-1</f>
        <v>46838</v>
      </c>
      <c r="U219" s="1309">
        <v>66</v>
      </c>
      <c r="V219" s="1310"/>
      <c r="W219" s="1311">
        <f t="shared" si="141"/>
        <v>46838</v>
      </c>
      <c r="X219" s="802" t="e">
        <f>VLOOKUP(Q219,Q258:Q430,1,0)</f>
        <v>#N/A</v>
      </c>
      <c r="Y219" s="1229" t="str">
        <f>G219&amp;D219</f>
        <v>Pluma 6 - PR106226</v>
      </c>
      <c r="Z219" s="818">
        <f>SUMIF($Y$114:$Y$314,Y219,$S$114:$S$1288)</f>
        <v>80000</v>
      </c>
      <c r="AA219" s="818"/>
      <c r="AC219" s="1316" t="str">
        <f t="shared" si="86"/>
        <v>C.VALE</v>
      </c>
      <c r="AD219" s="1317">
        <f t="shared" si="87"/>
        <v>46377</v>
      </c>
      <c r="AE219" s="1317">
        <f t="shared" si="88"/>
        <v>46524</v>
      </c>
      <c r="AF219" s="1317">
        <f t="shared" si="89"/>
        <v>46838</v>
      </c>
      <c r="AG219" s="1315" t="str">
        <f t="shared" si="130"/>
        <v>500 SLOW - MALE</v>
      </c>
      <c r="AH219" s="1315" t="str">
        <f t="shared" si="131"/>
        <v>COBB</v>
      </c>
      <c r="AJ219" s="818"/>
    </row>
    <row r="220" spans="1:36">
      <c r="A220" s="750" t="s">
        <v>17</v>
      </c>
      <c r="B220" s="1123">
        <f>N156+K156</f>
        <v>46379</v>
      </c>
      <c r="C220" s="752">
        <f t="shared" si="116"/>
        <v>46379</v>
      </c>
      <c r="D220" s="1026">
        <v>107426</v>
      </c>
      <c r="E220" s="757">
        <v>124</v>
      </c>
      <c r="F220" s="753" t="str">
        <f>IFERROR(VLOOKUP(G220,Recria[[Granja Recria]:[Emp+CC]],4,0),"")</f>
        <v>112_2399</v>
      </c>
      <c r="G220" s="1076" t="s">
        <v>216</v>
      </c>
      <c r="H220" s="755" t="str">
        <f>IFERROR(VLOOKUP(G220,Recria[[Granja Recria]:[Núcleo]],2,0),"")</f>
        <v>(N5)</v>
      </c>
      <c r="I220" s="756">
        <v>60000</v>
      </c>
      <c r="J220" s="750" t="s">
        <v>60</v>
      </c>
      <c r="K220" s="750">
        <v>26</v>
      </c>
      <c r="L220" s="807" t="str">
        <f>VLOOKUP(M220,Raca_Linhagem[],2,0)</f>
        <v>ROSS</v>
      </c>
      <c r="M220" s="807" t="s">
        <v>31</v>
      </c>
      <c r="N220" s="727">
        <f t="shared" si="100"/>
        <v>46526</v>
      </c>
      <c r="O220" s="728"/>
      <c r="P220" s="728" t="str">
        <f>IFERROR(VLOOKUP(Q220,Producao[[Granja Produção]:[Emp+CC]],4,0),"")</f>
        <v>105_30</v>
      </c>
      <c r="Q220" s="666" t="s">
        <v>214</v>
      </c>
      <c r="R220" s="667" t="str">
        <f>IFERROR(VLOOKUP(Q220,Producao[[Granja Produção]:[Núcleo]],2,0),"")</f>
        <v>(N1)</v>
      </c>
      <c r="S220" s="668">
        <v>38000</v>
      </c>
      <c r="T220" s="669">
        <f t="shared" si="101"/>
        <v>46840</v>
      </c>
      <c r="U220" s="670">
        <v>66</v>
      </c>
      <c r="V220" s="701"/>
      <c r="W220" s="671">
        <f t="shared" si="102"/>
        <v>46840</v>
      </c>
      <c r="X220" s="802" t="e">
        <f>VLOOKUP(Q220,Q290:Q457,1,0)</f>
        <v>#N/A</v>
      </c>
      <c r="Y220" s="1229" t="str">
        <f t="shared" si="103"/>
        <v>Pluma 5 - PR107426</v>
      </c>
      <c r="Z220" s="818">
        <f>SUMIF($Y$114:$Y$314,Y220,$S$114:$S$1288)</f>
        <v>57000</v>
      </c>
      <c r="AA220" s="818"/>
      <c r="AC220" s="1316" t="str">
        <f t="shared" si="86"/>
        <v>Itapejara - PR</v>
      </c>
      <c r="AD220" s="1317">
        <f t="shared" si="87"/>
        <v>46379</v>
      </c>
      <c r="AE220" s="1317">
        <f t="shared" si="88"/>
        <v>46526</v>
      </c>
      <c r="AF220" s="1317">
        <f t="shared" si="89"/>
        <v>46840</v>
      </c>
      <c r="AG220" s="1315" t="str">
        <f t="shared" si="130"/>
        <v>AP95 - 344  JBS</v>
      </c>
      <c r="AH220" s="1315" t="str">
        <f t="shared" si="131"/>
        <v>ROSS</v>
      </c>
      <c r="AJ220" s="818"/>
    </row>
    <row r="221" spans="1:36">
      <c r="A221" s="750" t="s">
        <v>17</v>
      </c>
      <c r="B221" s="1123">
        <f>N156+K156</f>
        <v>46379</v>
      </c>
      <c r="C221" s="752">
        <f t="shared" si="116"/>
        <v>46379</v>
      </c>
      <c r="D221" s="1026">
        <v>107426</v>
      </c>
      <c r="E221" s="757">
        <v>124</v>
      </c>
      <c r="F221" s="753" t="str">
        <f>IFERROR(VLOOKUP(G221,Recria[[Granja Recria]:[Emp+CC]],4,0),"")</f>
        <v>112_2399</v>
      </c>
      <c r="G221" s="1076" t="s">
        <v>216</v>
      </c>
      <c r="H221" s="755" t="str">
        <f>IFERROR(VLOOKUP(G221,Recria[[Granja Recria]:[Núcleo]],2,0),"")</f>
        <v>(N5)</v>
      </c>
      <c r="I221" s="756"/>
      <c r="J221" s="750" t="s">
        <v>60</v>
      </c>
      <c r="K221" s="750">
        <v>26</v>
      </c>
      <c r="L221" s="807" t="str">
        <f>VLOOKUP(M221,Raca_Linhagem[],2,0)</f>
        <v>ROSS</v>
      </c>
      <c r="M221" s="807" t="s">
        <v>31</v>
      </c>
      <c r="N221" s="727">
        <f t="shared" ref="N221" si="142">C221+(22*7)-7</f>
        <v>46526</v>
      </c>
      <c r="O221" s="728"/>
      <c r="P221" s="728" t="str">
        <f>IFERROR(VLOOKUP(Q221,Producao[[Granja Produção]:[Emp+CC]],4,0),"")</f>
        <v>10_34</v>
      </c>
      <c r="Q221" s="666" t="s">
        <v>223</v>
      </c>
      <c r="R221" s="667" t="str">
        <f>IFERROR(VLOOKUP(Q221,Producao[[Granja Produção]:[Núcleo]],2,0),"")</f>
        <v>(N1)</v>
      </c>
      <c r="S221" s="668">
        <v>19000</v>
      </c>
      <c r="T221" s="669">
        <f t="shared" ref="T221" si="143">C221+(U221*7)-1</f>
        <v>46840</v>
      </c>
      <c r="U221" s="670">
        <v>66</v>
      </c>
      <c r="V221" s="701"/>
      <c r="W221" s="671">
        <f t="shared" ref="W221" si="144">IFERROR(T221+V221," ")</f>
        <v>46840</v>
      </c>
      <c r="X221" s="802" t="e">
        <f>VLOOKUP(Q221,Q291:Q458,1,0)</f>
        <v>#N/A</v>
      </c>
      <c r="Y221" s="1229" t="str">
        <f t="shared" ref="Y221" si="145">G221&amp;D221</f>
        <v>Pluma 5 - PR107426</v>
      </c>
      <c r="Z221" s="818">
        <f>SUMIF($Y$114:$Y$314,Y221,$S$114:$S$1288)</f>
        <v>57000</v>
      </c>
      <c r="AA221" s="818"/>
      <c r="AC221" s="1316" t="str">
        <f t="shared" si="86"/>
        <v>Pinzon - PR</v>
      </c>
      <c r="AD221" s="1317">
        <f t="shared" si="87"/>
        <v>46379</v>
      </c>
      <c r="AE221" s="1317">
        <f t="shared" si="88"/>
        <v>46526</v>
      </c>
      <c r="AF221" s="1317">
        <f t="shared" si="89"/>
        <v>46840</v>
      </c>
      <c r="AG221" s="1315" t="str">
        <f t="shared" si="130"/>
        <v>AP95 - 344  JBS</v>
      </c>
      <c r="AH221" s="1315" t="str">
        <f t="shared" si="131"/>
        <v>ROSS</v>
      </c>
      <c r="AJ221" s="818"/>
    </row>
    <row r="222" spans="1:36">
      <c r="A222" s="750" t="s">
        <v>17</v>
      </c>
      <c r="B222" s="751">
        <f>N160+K160</f>
        <v>46388</v>
      </c>
      <c r="C222" s="752">
        <f t="shared" si="116"/>
        <v>46388</v>
      </c>
      <c r="D222" s="1026">
        <v>107826</v>
      </c>
      <c r="E222" s="757"/>
      <c r="F222" s="753" t="str">
        <f>IFERROR(VLOOKUP(G222,Recria[[Granja Recria]:[Emp+CC]],4,0),"")</f>
        <v>10_130</v>
      </c>
      <c r="G222" s="754" t="s">
        <v>123</v>
      </c>
      <c r="H222" s="755" t="str">
        <f>IFERROR(VLOOKUP(G222,Recria[[Granja Recria]:[Núcleo]],2,0),"")</f>
        <v>(N1)</v>
      </c>
      <c r="I222" s="756">
        <v>42000</v>
      </c>
      <c r="J222" s="750" t="s">
        <v>60</v>
      </c>
      <c r="K222" s="750">
        <v>25</v>
      </c>
      <c r="L222" s="803" t="str">
        <f>VLOOKUP(M222,Raca_Linhagem[],2,0)</f>
        <v>ROSS</v>
      </c>
      <c r="M222" s="804" t="s">
        <v>26</v>
      </c>
      <c r="N222" s="727">
        <f t="shared" ref="N222:N223" si="146">C222+(22*7)-7</f>
        <v>46535</v>
      </c>
      <c r="O222" s="728"/>
      <c r="P222" s="728" t="str">
        <f>IFERROR(VLOOKUP(Q222,Producao[[Granja Produção]:[Emp+CC]],4,0),"")</f>
        <v>10_34</v>
      </c>
      <c r="Q222" s="666" t="s">
        <v>223</v>
      </c>
      <c r="R222" s="667" t="str">
        <f>IFERROR(VLOOKUP(Q222,Producao[[Granja Produção]:[Núcleo]],2,0),"")</f>
        <v>(N1)</v>
      </c>
      <c r="S222" s="668">
        <v>6000</v>
      </c>
      <c r="T222" s="669">
        <f t="shared" ref="T222:T223" si="147">C222+(U222*7)-1</f>
        <v>46849</v>
      </c>
      <c r="U222" s="670">
        <v>66</v>
      </c>
      <c r="V222" s="701"/>
      <c r="W222" s="671">
        <f t="shared" ref="W222:W223" si="148">IFERROR(T222+V222," ")</f>
        <v>46849</v>
      </c>
      <c r="X222" s="802" t="e">
        <f>VLOOKUP(Q222,Q297:Q461,1,0)</f>
        <v>#N/A</v>
      </c>
      <c r="Y222" s="1229" t="str">
        <f t="shared" si="103"/>
        <v>Corti - PR107826</v>
      </c>
      <c r="Z222" s="818">
        <f>SUMIF($Y$114:$Y$314,Y222,$S$114:$S$1288)</f>
        <v>40000</v>
      </c>
      <c r="AA222" s="818"/>
      <c r="AC222" s="1316" t="str">
        <f t="shared" si="86"/>
        <v>Pinzon - PR</v>
      </c>
      <c r="AD222" s="1317">
        <f t="shared" si="87"/>
        <v>46388</v>
      </c>
      <c r="AE222" s="1317">
        <f t="shared" si="88"/>
        <v>46535</v>
      </c>
      <c r="AF222" s="1317">
        <f t="shared" si="89"/>
        <v>46849</v>
      </c>
      <c r="AG222" s="1315" t="str">
        <f t="shared" si="130"/>
        <v>AP95 - 344</v>
      </c>
      <c r="AH222" s="1315" t="str">
        <f t="shared" si="131"/>
        <v>ROSS</v>
      </c>
      <c r="AJ222" s="818"/>
    </row>
    <row r="223" spans="1:36">
      <c r="A223" s="750" t="s">
        <v>17</v>
      </c>
      <c r="B223" s="751">
        <f>N160+K160</f>
        <v>46388</v>
      </c>
      <c r="C223" s="752">
        <f t="shared" si="116"/>
        <v>46388</v>
      </c>
      <c r="D223" s="1026">
        <v>107826</v>
      </c>
      <c r="E223" s="757"/>
      <c r="F223" s="753" t="str">
        <f>IFERROR(VLOOKUP(G223,Recria[[Granja Recria]:[Emp+CC]],4,0),"")</f>
        <v>10_130</v>
      </c>
      <c r="G223" s="754" t="s">
        <v>123</v>
      </c>
      <c r="H223" s="755" t="str">
        <f>IFERROR(VLOOKUP(G223,Recria[[Granja Recria]:[Núcleo]],2,0),"")</f>
        <v>(N1)</v>
      </c>
      <c r="I223" s="756"/>
      <c r="J223" s="750" t="s">
        <v>60</v>
      </c>
      <c r="K223" s="750">
        <v>25</v>
      </c>
      <c r="L223" s="803" t="str">
        <f>VLOOKUP(M223,Raca_Linhagem[],2,0)</f>
        <v>ROSS</v>
      </c>
      <c r="M223" s="804" t="s">
        <v>26</v>
      </c>
      <c r="N223" s="674">
        <f t="shared" si="146"/>
        <v>46535</v>
      </c>
      <c r="O223" s="675"/>
      <c r="P223" s="675" t="str">
        <f>IFERROR(VLOOKUP(Q223,Producao[[Granja Produção]:[Emp+CC]],4,0),"")</f>
        <v>121_2237</v>
      </c>
      <c r="Q223" s="676" t="s">
        <v>224</v>
      </c>
      <c r="R223" s="677" t="str">
        <f>IFERROR(VLOOKUP(Q223,Producao[[Granja Produção]:[Núcleo]],2,0),"")</f>
        <v>(N1)</v>
      </c>
      <c r="S223" s="702">
        <v>34000</v>
      </c>
      <c r="T223" s="679">
        <f t="shared" si="147"/>
        <v>46849</v>
      </c>
      <c r="U223" s="680">
        <v>66</v>
      </c>
      <c r="V223" s="682"/>
      <c r="W223" s="681">
        <f t="shared" si="148"/>
        <v>46849</v>
      </c>
      <c r="X223" s="802" t="e">
        <f>VLOOKUP(Q223,Q298:Q462,1,0)</f>
        <v>#N/A</v>
      </c>
      <c r="Y223" s="1229" t="str">
        <f t="shared" ref="Y223" si="149">G223&amp;D223</f>
        <v>Corti - PR107826</v>
      </c>
      <c r="Z223" s="818">
        <f>SUMIF($Y$114:$Y$314,Y223,$S$114:$S$1288)</f>
        <v>40000</v>
      </c>
      <c r="AA223" s="818"/>
      <c r="AC223" s="1316" t="str">
        <f t="shared" si="86"/>
        <v>Santelmo - SP</v>
      </c>
      <c r="AD223" s="1317">
        <f t="shared" si="87"/>
        <v>46388</v>
      </c>
      <c r="AE223" s="1317">
        <f t="shared" si="88"/>
        <v>46535</v>
      </c>
      <c r="AF223" s="1317">
        <f t="shared" si="89"/>
        <v>46849</v>
      </c>
      <c r="AG223" s="1315" t="str">
        <f t="shared" si="130"/>
        <v>AP95 - 344</v>
      </c>
      <c r="AH223" s="1315" t="str">
        <f t="shared" si="131"/>
        <v>ROSS</v>
      </c>
      <c r="AJ223" s="818"/>
    </row>
    <row r="224" spans="1:36" s="820" customFormat="1">
      <c r="A224" s="766" t="s">
        <v>17</v>
      </c>
      <c r="B224" s="767">
        <f>N172+K172</f>
        <v>46400</v>
      </c>
      <c r="C224" s="768">
        <f t="shared" si="116"/>
        <v>46400</v>
      </c>
      <c r="D224" s="1078">
        <v>100127</v>
      </c>
      <c r="E224" s="769"/>
      <c r="F224" s="769" t="str">
        <f>IFERROR(VLOOKUP(G224,Recria[[Granja Recria]:[Emp+CC]],4,0),"")</f>
        <v>27_165</v>
      </c>
      <c r="G224" s="770" t="s">
        <v>151</v>
      </c>
      <c r="H224" s="771" t="str">
        <f>IFERROR(VLOOKUP(G224,Recria[[Granja Recria]:[Núcleo]],2,0),"")</f>
        <v>(N1)</v>
      </c>
      <c r="I224" s="772">
        <v>42000</v>
      </c>
      <c r="J224" s="766" t="s">
        <v>45</v>
      </c>
      <c r="K224" s="766">
        <v>50</v>
      </c>
      <c r="L224" s="810" t="str">
        <f>VLOOKUP(M224,Raca_Linhagem[],2,0)</f>
        <v>COBB</v>
      </c>
      <c r="M224" s="813" t="s">
        <v>21</v>
      </c>
      <c r="N224" s="727">
        <f t="shared" ref="N224" si="150">C224+(22*7)-7</f>
        <v>46547</v>
      </c>
      <c r="O224" s="728"/>
      <c r="P224" s="728" t="str">
        <f>IFERROR(VLOOKUP(Q224,Producao[[Granja Produção]:[Emp+CC]],4,0),"")</f>
        <v>10_1183</v>
      </c>
      <c r="Q224" s="666" t="s">
        <v>225</v>
      </c>
      <c r="R224" s="667" t="str">
        <f>IFERROR(VLOOKUP(Q224,Producao[[Granja Produção]:[Núcleo]],2,0),"")</f>
        <v>(N1)</v>
      </c>
      <c r="S224" s="668">
        <v>40000</v>
      </c>
      <c r="T224" s="669">
        <f t="shared" ref="T224" si="151">C224+(U224*7)-1</f>
        <v>46861</v>
      </c>
      <c r="U224" s="670">
        <v>66</v>
      </c>
      <c r="V224" s="701"/>
      <c r="W224" s="671">
        <f t="shared" ref="W224" si="152">IFERROR(T224+V224," ")</f>
        <v>46861</v>
      </c>
      <c r="X224" s="811" t="e">
        <f>VLOOKUP(Q224,Q292:Q459,1,0)</f>
        <v>#N/A</v>
      </c>
      <c r="Y224" s="1229" t="str">
        <f t="shared" si="103"/>
        <v>Rio Chopim 1 - PR100127</v>
      </c>
      <c r="Z224" s="818">
        <f>SUMIF($Y$114:$Y$314,Y224,$S$114:$S$1288)</f>
        <v>40000</v>
      </c>
      <c r="AA224" s="821"/>
      <c r="AC224" s="1316" t="str">
        <f t="shared" si="86"/>
        <v>Linha Nova - PR</v>
      </c>
      <c r="AD224" s="1317">
        <f t="shared" si="87"/>
        <v>46400</v>
      </c>
      <c r="AE224" s="1317">
        <f t="shared" si="88"/>
        <v>46547</v>
      </c>
      <c r="AF224" s="1317">
        <f t="shared" si="89"/>
        <v>46861</v>
      </c>
      <c r="AG224" s="1315" t="str">
        <f t="shared" si="130"/>
        <v>500 SLOW - MALE</v>
      </c>
      <c r="AH224" s="1315" t="str">
        <f t="shared" si="131"/>
        <v>COBB</v>
      </c>
      <c r="AJ224" s="818"/>
    </row>
    <row r="225" spans="1:36" s="820" customFormat="1">
      <c r="A225" s="766" t="s">
        <v>17</v>
      </c>
      <c r="B225" s="767">
        <f>N173+K173</f>
        <v>46400</v>
      </c>
      <c r="C225" s="768">
        <f t="shared" si="116"/>
        <v>46400</v>
      </c>
      <c r="D225" s="1079">
        <v>100227</v>
      </c>
      <c r="E225" s="757">
        <v>125</v>
      </c>
      <c r="F225" s="769" t="str">
        <f>IFERROR(VLOOKUP(G225,Recria[[Granja Recria]:[Emp+CC]],4,0),"")</f>
        <v>10_1405</v>
      </c>
      <c r="G225" s="770" t="s">
        <v>148</v>
      </c>
      <c r="H225" s="771" t="str">
        <f>IFERROR(VLOOKUP(G225,Recria[[Granja Recria]:[Núcleo]],2,0),"")</f>
        <v>(N1)</v>
      </c>
      <c r="I225" s="772">
        <v>60000</v>
      </c>
      <c r="J225" s="766" t="s">
        <v>45</v>
      </c>
      <c r="K225" s="766">
        <v>50</v>
      </c>
      <c r="L225" s="812" t="str">
        <f>VLOOKUP(M225,Raca_Linhagem[],2,0)</f>
        <v>COBB</v>
      </c>
      <c r="M225" s="814" t="s">
        <v>37</v>
      </c>
      <c r="N225" s="773">
        <f t="shared" si="100"/>
        <v>46547</v>
      </c>
      <c r="O225" s="774"/>
      <c r="P225" s="774" t="str">
        <f>IFERROR(VLOOKUP(Q225,Producao[[Granja Produção]:[Emp+CC]],4,0),"")</f>
        <v>10_1459</v>
      </c>
      <c r="Q225" s="775" t="s">
        <v>226</v>
      </c>
      <c r="R225" s="766" t="str">
        <f>IFERROR(VLOOKUP(Q225,Producao[[Granja Produção]:[Núcleo]],2,0),"")</f>
        <v>(N3)</v>
      </c>
      <c r="S225" s="776">
        <v>57000</v>
      </c>
      <c r="T225" s="777">
        <f t="shared" ref="T225:T261" si="153">C225+(U225*7)-1</f>
        <v>46861</v>
      </c>
      <c r="U225" s="778">
        <v>66</v>
      </c>
      <c r="V225" s="779"/>
      <c r="W225" s="780">
        <f t="shared" ref="W225:W263" si="154">IFERROR(T225+V225," ")</f>
        <v>46861</v>
      </c>
      <c r="X225" s="811" t="e">
        <f>VLOOKUP(Q225,Q295:Q460,1,0)</f>
        <v>#N/A</v>
      </c>
      <c r="Y225" s="1229" t="str">
        <f t="shared" si="103"/>
        <v>Rio Chopim 3 - PR100227</v>
      </c>
      <c r="Z225" s="818">
        <f>SUMIF($Y$114:$Y$314,Y225,$S$114:$S$1288)</f>
        <v>57000</v>
      </c>
      <c r="AA225" s="821"/>
      <c r="AC225" s="1316" t="str">
        <f t="shared" si="86"/>
        <v>Canguçu 3 - PR</v>
      </c>
      <c r="AD225" s="1317">
        <f t="shared" si="87"/>
        <v>46400</v>
      </c>
      <c r="AE225" s="1317">
        <f t="shared" si="88"/>
        <v>46547</v>
      </c>
      <c r="AF225" s="1317">
        <f t="shared" si="89"/>
        <v>46861</v>
      </c>
      <c r="AG225" s="1315" t="str">
        <f t="shared" si="130"/>
        <v>500 SLOW - MALE JBS</v>
      </c>
      <c r="AH225" s="1315" t="str">
        <f t="shared" si="131"/>
        <v>COBB</v>
      </c>
      <c r="AJ225" s="818"/>
    </row>
    <row r="226" spans="1:36" s="820" customFormat="1">
      <c r="A226" s="766" t="s">
        <v>17</v>
      </c>
      <c r="B226" s="767">
        <f>N174+K174</f>
        <v>46407</v>
      </c>
      <c r="C226" s="768">
        <f t="shared" si="116"/>
        <v>46407</v>
      </c>
      <c r="D226" s="1079">
        <v>100327</v>
      </c>
      <c r="E226" s="769"/>
      <c r="F226" s="769" t="str">
        <f>IFERROR(VLOOKUP(G226,Recria[[Granja Recria]:[Emp+CC]],4,0),"")</f>
        <v>10_327</v>
      </c>
      <c r="G226" s="770" t="s">
        <v>157</v>
      </c>
      <c r="H226" s="771" t="str">
        <f>IFERROR(VLOOKUP(G226,Recria[[Granja Recria]:[Núcleo]],2,0),"")</f>
        <v>(N2)</v>
      </c>
      <c r="I226" s="772">
        <v>38000</v>
      </c>
      <c r="J226" s="766" t="s">
        <v>20</v>
      </c>
      <c r="K226" s="766">
        <v>25</v>
      </c>
      <c r="L226" s="813" t="str">
        <f>VLOOKUP(M226,Raca_Linhagem[],2,0)</f>
        <v>COBB</v>
      </c>
      <c r="M226" s="813" t="s">
        <v>21</v>
      </c>
      <c r="N226" s="773">
        <f t="shared" si="100"/>
        <v>46554</v>
      </c>
      <c r="O226" s="774"/>
      <c r="P226" s="774" t="str">
        <f>IFERROR(VLOOKUP(Q226,Producao[[Granja Produção]:[Emp+CC]],4,0),"")</f>
        <v>10_1183</v>
      </c>
      <c r="Q226" s="775" t="s">
        <v>225</v>
      </c>
      <c r="R226" s="766" t="str">
        <f>IFERROR(VLOOKUP(Q226,Producao[[Granja Produção]:[Núcleo]],2,0),"")</f>
        <v>(N1)</v>
      </c>
      <c r="S226" s="776">
        <f>I226*0.96</f>
        <v>36480</v>
      </c>
      <c r="T226" s="777">
        <f t="shared" si="153"/>
        <v>46868</v>
      </c>
      <c r="U226" s="778">
        <v>66</v>
      </c>
      <c r="V226" s="779"/>
      <c r="W226" s="780">
        <f t="shared" si="154"/>
        <v>46868</v>
      </c>
      <c r="X226" s="811" t="e">
        <f>VLOOKUP(Q226,Q296:Q461,1,0)</f>
        <v>#N/A</v>
      </c>
      <c r="Y226" s="1229" t="str">
        <f t="shared" si="103"/>
        <v>Santa Tereza 2 - PR100327</v>
      </c>
      <c r="Z226" s="818">
        <f>SUMIF($Y$114:$Y$314,Y226,$S$114:$S$1288)</f>
        <v>36480</v>
      </c>
      <c r="AA226" s="821"/>
      <c r="AC226" s="1316" t="str">
        <f t="shared" si="86"/>
        <v>Linha Nova - PR</v>
      </c>
      <c r="AD226" s="1317">
        <f t="shared" si="87"/>
        <v>46407</v>
      </c>
      <c r="AE226" s="1317">
        <f t="shared" si="88"/>
        <v>46554</v>
      </c>
      <c r="AF226" s="1317">
        <f t="shared" si="89"/>
        <v>46868</v>
      </c>
      <c r="AG226" s="1315" t="str">
        <f t="shared" si="130"/>
        <v>500 SLOW - MALE</v>
      </c>
      <c r="AH226" s="1315" t="str">
        <f t="shared" si="131"/>
        <v>COBB</v>
      </c>
      <c r="AJ226" s="818"/>
    </row>
    <row r="227" spans="1:36" s="820" customFormat="1">
      <c r="A227" s="766" t="s">
        <v>17</v>
      </c>
      <c r="B227" s="767">
        <f>N170+K170</f>
        <v>46414</v>
      </c>
      <c r="C227" s="768">
        <f t="shared" si="116"/>
        <v>46414</v>
      </c>
      <c r="D227" s="1079">
        <v>100527</v>
      </c>
      <c r="E227" s="769"/>
      <c r="F227" s="769" t="str">
        <f>IFERROR(VLOOKUP(G227,Recria[[Granja Recria]:[Emp+CC]],4,0),"")</f>
        <v>117_1531</v>
      </c>
      <c r="G227" s="770" t="s">
        <v>160</v>
      </c>
      <c r="H227" s="771" t="str">
        <f>IFERROR(VLOOKUP(G227,Recria[[Granja Recria]:[Núcleo]],2,0),"")</f>
        <v>(N7)</v>
      </c>
      <c r="I227" s="772">
        <v>84000</v>
      </c>
      <c r="J227" s="766" t="s">
        <v>60</v>
      </c>
      <c r="K227" s="766">
        <v>25</v>
      </c>
      <c r="L227" s="812" t="str">
        <f>VLOOKUP(M227,Raca_Linhagem[],2,0)</f>
        <v>ROSS</v>
      </c>
      <c r="M227" s="804" t="s">
        <v>26</v>
      </c>
      <c r="N227" s="773">
        <f t="shared" ref="N227" si="155">C227+(22*7)-7</f>
        <v>46561</v>
      </c>
      <c r="O227" s="774"/>
      <c r="P227" s="774" t="str">
        <f>IFERROR(VLOOKUP(Q227,Producao[[Granja Produção]:[Emp+CC]],4,0),"")</f>
        <v>107_248</v>
      </c>
      <c r="Q227" s="775" t="s">
        <v>227</v>
      </c>
      <c r="R227" s="766" t="str">
        <f>IFERROR(VLOOKUP(Q227,Producao[[Granja Produção]:[Núcleo]],2,0),"")</f>
        <v>(N1)</v>
      </c>
      <c r="S227" s="776">
        <v>40000</v>
      </c>
      <c r="T227" s="777">
        <f t="shared" ref="T227" si="156">C227+(U227*7)-1</f>
        <v>46875</v>
      </c>
      <c r="U227" s="778">
        <v>66</v>
      </c>
      <c r="V227" s="779"/>
      <c r="W227" s="780">
        <f t="shared" ref="W227" si="157">IFERROR(T227+V227," ")</f>
        <v>46875</v>
      </c>
      <c r="X227" s="811" t="e">
        <f>VLOOKUP(Q227,Q295:Q461,1,0)</f>
        <v>#N/A</v>
      </c>
      <c r="Y227" s="1229" t="str">
        <f t="shared" ref="Y227" si="158">G227&amp;D227</f>
        <v>Bom S. Rec. 2 - PR100527</v>
      </c>
      <c r="Z227" s="818">
        <f>SUMIF($Y$114:$Y$314,Y227,$S$114:$S$1288)</f>
        <v>80000</v>
      </c>
      <c r="AA227" s="821"/>
      <c r="AC227" s="1316" t="str">
        <f>Q227</f>
        <v>Trindade - SC</v>
      </c>
      <c r="AD227" s="1317">
        <f>C227</f>
        <v>46414</v>
      </c>
      <c r="AE227" s="1317">
        <f>N227</f>
        <v>46561</v>
      </c>
      <c r="AF227" s="1317">
        <f>T227</f>
        <v>46875</v>
      </c>
      <c r="AG227" s="1315" t="str">
        <f>M227</f>
        <v>AP95 - 344</v>
      </c>
      <c r="AH227" s="1315" t="str">
        <f>L227</f>
        <v>ROSS</v>
      </c>
      <c r="AJ227" s="818"/>
    </row>
    <row r="228" spans="1:36" s="820" customFormat="1">
      <c r="A228" s="766" t="s">
        <v>17</v>
      </c>
      <c r="B228" s="767">
        <f>N169+K170</f>
        <v>46414</v>
      </c>
      <c r="C228" s="768">
        <f t="shared" si="116"/>
        <v>46414</v>
      </c>
      <c r="D228" s="1079">
        <v>100527</v>
      </c>
      <c r="E228" s="769"/>
      <c r="F228" s="769" t="str">
        <f>IFERROR(VLOOKUP(G228,Recria[[Granja Recria]:[Emp+CC]],4,0),"")</f>
        <v>117_1531</v>
      </c>
      <c r="G228" s="770" t="s">
        <v>160</v>
      </c>
      <c r="H228" s="771" t="str">
        <f>IFERROR(VLOOKUP(G228,Recria[[Granja Recria]:[Núcleo]],2,0),"")</f>
        <v>(N7)</v>
      </c>
      <c r="I228" s="772"/>
      <c r="J228" s="766" t="s">
        <v>60</v>
      </c>
      <c r="K228" s="766">
        <v>25</v>
      </c>
      <c r="L228" s="812" t="str">
        <f>VLOOKUP(M228,Raca_Linhagem[],2,0)</f>
        <v>ROSS</v>
      </c>
      <c r="M228" s="804" t="s">
        <v>26</v>
      </c>
      <c r="N228" s="773">
        <f t="shared" ref="N228" si="159">C228+(22*7)-7</f>
        <v>46561</v>
      </c>
      <c r="O228" s="774"/>
      <c r="P228" s="774" t="str">
        <f>IFERROR(VLOOKUP(Q228,Producao[[Granja Produção]:[Emp+CC]],4,0),"")</f>
        <v>10_204</v>
      </c>
      <c r="Q228" s="775" t="s">
        <v>228</v>
      </c>
      <c r="R228" s="766" t="str">
        <f>IFERROR(VLOOKUP(Q228,Producao[[Granja Produção]:[Núcleo]],2,0),"")</f>
        <v>(N1)</v>
      </c>
      <c r="S228" s="776">
        <v>40000</v>
      </c>
      <c r="T228" s="777">
        <f t="shared" ref="T228" si="160">C228+(U228*7)-1</f>
        <v>46875</v>
      </c>
      <c r="U228" s="778">
        <v>66</v>
      </c>
      <c r="V228" s="779"/>
      <c r="W228" s="780">
        <f t="shared" ref="W228" si="161">IFERROR(T228+V228," ")</f>
        <v>46875</v>
      </c>
      <c r="X228" s="811" t="e">
        <f>VLOOKUP(Q228,Q296:Q462,1,0)</f>
        <v>#N/A</v>
      </c>
      <c r="Y228" s="1229" t="str">
        <f t="shared" ref="Y228" si="162">G228&amp;D228</f>
        <v>Bom S. Rec. 2 - PR100527</v>
      </c>
      <c r="Z228" s="818">
        <f>SUMIF($Y$114:$Y$314,Y228,$S$114:$S$1288)</f>
        <v>80000</v>
      </c>
      <c r="AA228" s="821"/>
      <c r="AC228" s="1316" t="str">
        <f>Q228</f>
        <v>Km 45 nucleo 1 - PR</v>
      </c>
      <c r="AD228" s="1317">
        <f>C228</f>
        <v>46414</v>
      </c>
      <c r="AE228" s="1317">
        <f>N228</f>
        <v>46561</v>
      </c>
      <c r="AF228" s="1317">
        <f>T228</f>
        <v>46875</v>
      </c>
      <c r="AG228" s="1315" t="str">
        <f>M228</f>
        <v>AP95 - 344</v>
      </c>
      <c r="AH228" s="1315" t="str">
        <f>L228</f>
        <v>ROSS</v>
      </c>
      <c r="AJ228" s="818"/>
    </row>
    <row r="229" spans="1:36" s="820" customFormat="1">
      <c r="A229" s="766" t="s">
        <v>17</v>
      </c>
      <c r="B229" s="767">
        <f>N171+K171</f>
        <v>46426</v>
      </c>
      <c r="C229" s="768">
        <f t="shared" si="116"/>
        <v>46426</v>
      </c>
      <c r="D229" s="1079">
        <v>100627</v>
      </c>
      <c r="E229" s="769"/>
      <c r="F229" s="769" t="str">
        <f>IFERROR(VLOOKUP(G229,Recria[[Granja Recria]:[Emp+CC]],4,0),"")</f>
        <v>10_116</v>
      </c>
      <c r="G229" s="770" t="s">
        <v>144</v>
      </c>
      <c r="H229" s="771" t="str">
        <f>IFERROR(VLOOKUP(G229,Recria[[Granja Recria]:[Núcleo]],2,0),"")</f>
        <v>(N1)</v>
      </c>
      <c r="I229" s="772">
        <v>60000</v>
      </c>
      <c r="J229" s="766" t="s">
        <v>60</v>
      </c>
      <c r="K229" s="766">
        <v>28</v>
      </c>
      <c r="L229" s="803" t="str">
        <f>VLOOKUP(M229,Raca_Linhagem[],2,0)</f>
        <v>COBB</v>
      </c>
      <c r="M229" s="813" t="s">
        <v>21</v>
      </c>
      <c r="N229" s="773">
        <f t="shared" si="100"/>
        <v>46573</v>
      </c>
      <c r="O229" s="774"/>
      <c r="P229" s="774" t="str">
        <f>IFERROR(VLOOKUP(Q229,Producao[[Granja Produção]:[Emp+CC]],4,0),"")</f>
        <v>96_1029</v>
      </c>
      <c r="Q229" s="775" t="s">
        <v>42</v>
      </c>
      <c r="R229" s="766" t="str">
        <f>IFERROR(VLOOKUP(Q229,Producao[[Granja Produção]:[Núcleo]],2,0),"")</f>
        <v>(N1)</v>
      </c>
      <c r="S229" s="776">
        <v>28000</v>
      </c>
      <c r="T229" s="777">
        <f t="shared" si="153"/>
        <v>46887</v>
      </c>
      <c r="U229" s="778">
        <v>66</v>
      </c>
      <c r="V229" s="779" t="s">
        <v>1741</v>
      </c>
      <c r="W229" s="780" t="str">
        <f t="shared" si="154"/>
        <v xml:space="preserve"> </v>
      </c>
      <c r="X229" s="811" t="e">
        <f>VLOOKUP(Q229,Q293:Q464,1,0)</f>
        <v>#N/A</v>
      </c>
      <c r="Y229" s="1229" t="str">
        <f t="shared" si="103"/>
        <v>Santa Izabel - PR100627</v>
      </c>
      <c r="Z229" s="818">
        <f>SUMIF($Y$114:$Y$314,Y229,$S$114:$S$1288)</f>
        <v>61000</v>
      </c>
      <c r="AA229" s="821"/>
      <c r="AC229" s="1316" t="str">
        <f t="shared" si="86"/>
        <v>Bem-te-vi - SC</v>
      </c>
      <c r="AD229" s="1317">
        <f t="shared" si="87"/>
        <v>46426</v>
      </c>
      <c r="AE229" s="1317">
        <f t="shared" si="88"/>
        <v>46573</v>
      </c>
      <c r="AF229" s="1317">
        <f t="shared" si="89"/>
        <v>46887</v>
      </c>
      <c r="AG229" s="1315" t="str">
        <f t="shared" si="130"/>
        <v>500 SLOW - MALE</v>
      </c>
      <c r="AH229" s="1315" t="str">
        <f t="shared" si="131"/>
        <v>COBB</v>
      </c>
      <c r="AJ229" s="818"/>
    </row>
    <row r="230" spans="1:36" s="820" customFormat="1">
      <c r="A230" s="766" t="s">
        <v>17</v>
      </c>
      <c r="B230" s="767">
        <f>N171+K171</f>
        <v>46426</v>
      </c>
      <c r="C230" s="768">
        <f t="shared" si="116"/>
        <v>46426</v>
      </c>
      <c r="D230" s="1079">
        <v>100627</v>
      </c>
      <c r="E230" s="769"/>
      <c r="F230" s="769" t="str">
        <f>IFERROR(VLOOKUP(G230,Recria[[Granja Recria]:[Emp+CC]],4,0),"")</f>
        <v>10_116</v>
      </c>
      <c r="G230" s="770" t="s">
        <v>144</v>
      </c>
      <c r="H230" s="771" t="str">
        <f>IFERROR(VLOOKUP(G230,Recria[[Granja Recria]:[Núcleo]],2,0),"")</f>
        <v>(N1)</v>
      </c>
      <c r="I230" s="772"/>
      <c r="J230" s="766" t="s">
        <v>60</v>
      </c>
      <c r="K230" s="766">
        <v>28</v>
      </c>
      <c r="L230" s="803" t="str">
        <f>VLOOKUP(M230,Raca_Linhagem[],2,0)</f>
        <v>COBB</v>
      </c>
      <c r="M230" s="813" t="s">
        <v>21</v>
      </c>
      <c r="N230" s="773">
        <f t="shared" ref="N230" si="163">C230+(22*7)-7</f>
        <v>46573</v>
      </c>
      <c r="O230" s="774"/>
      <c r="P230" s="774" t="str">
        <f>IFERROR(VLOOKUP(Q230,Producao[[Granja Produção]:[Emp+CC]],4,0),"")</f>
        <v>119_156</v>
      </c>
      <c r="Q230" s="775" t="s">
        <v>233</v>
      </c>
      <c r="R230" s="766" t="str">
        <f>IFERROR(VLOOKUP(Q230,Producao[[Granja Produção]:[Núcleo]],2,0),"")</f>
        <v>(N1)</v>
      </c>
      <c r="S230" s="776">
        <v>33000</v>
      </c>
      <c r="T230" s="777">
        <f t="shared" ref="T230" si="164">C230+(U230*7)-1</f>
        <v>46887</v>
      </c>
      <c r="U230" s="778">
        <v>66</v>
      </c>
      <c r="V230" s="779"/>
      <c r="W230" s="780">
        <f t="shared" ref="W230" si="165">IFERROR(T230+V230," ")</f>
        <v>46887</v>
      </c>
      <c r="X230" s="811" t="e">
        <f>VLOOKUP(Q230,Q294:Q465,1,0)</f>
        <v>#N/A</v>
      </c>
      <c r="Y230" s="1229" t="str">
        <f t="shared" ref="Y230" si="166">G230&amp;D230</f>
        <v>Santa Izabel - PR100627</v>
      </c>
      <c r="Z230" s="818">
        <f>SUMIF($Y$114:$Y$314,Y230,$S$114:$S$1288)</f>
        <v>61000</v>
      </c>
      <c r="AA230" s="821"/>
      <c r="AC230" s="1316" t="str">
        <f t="shared" si="86"/>
        <v>São Francisco - PR</v>
      </c>
      <c r="AD230" s="1317">
        <f t="shared" si="87"/>
        <v>46426</v>
      </c>
      <c r="AE230" s="1317">
        <f t="shared" si="88"/>
        <v>46573</v>
      </c>
      <c r="AF230" s="1317">
        <f t="shared" si="89"/>
        <v>46887</v>
      </c>
      <c r="AG230" s="1315" t="str">
        <f t="shared" si="130"/>
        <v>500 SLOW - MALE</v>
      </c>
      <c r="AH230" s="1315" t="str">
        <f t="shared" si="131"/>
        <v>COBB</v>
      </c>
      <c r="AJ230" s="818"/>
    </row>
    <row r="231" spans="1:36" s="820" customFormat="1">
      <c r="A231" s="766" t="s">
        <v>17</v>
      </c>
      <c r="B231" s="767">
        <f>N175+K175</f>
        <v>46437</v>
      </c>
      <c r="C231" s="768">
        <f t="shared" si="116"/>
        <v>46437</v>
      </c>
      <c r="D231" s="1079">
        <v>100427</v>
      </c>
      <c r="E231" s="769"/>
      <c r="F231" s="769" t="str">
        <f>IFERROR(VLOOKUP(G231,Recria[[Granja Recria]:[Emp+CC]],4,0),"")</f>
        <v>10_1182</v>
      </c>
      <c r="G231" s="770" t="s">
        <v>154</v>
      </c>
      <c r="H231" s="771" t="str">
        <f>IFERROR(VLOOKUP(G231,Recria[[Granja Recria]:[Núcleo]],2,0),"")</f>
        <v>(N2)</v>
      </c>
      <c r="I231" s="772">
        <v>60000</v>
      </c>
      <c r="J231" s="766" t="s">
        <v>60</v>
      </c>
      <c r="K231" s="766">
        <v>25</v>
      </c>
      <c r="L231" s="1244" t="s">
        <v>177</v>
      </c>
      <c r="M231" s="812" t="s">
        <v>26</v>
      </c>
      <c r="N231" s="773">
        <f>C231+(22*7)-7</f>
        <v>46584</v>
      </c>
      <c r="O231" s="774"/>
      <c r="P231" s="774" t="str">
        <f>IFERROR(VLOOKUP(Q231,Producao[[Granja Produção]:[Emp+CC]],4,0),"")</f>
        <v>123_1536</v>
      </c>
      <c r="Q231" s="775" t="s">
        <v>230</v>
      </c>
      <c r="R231" s="766" t="str">
        <f>IFERROR(VLOOKUP(Q231,Producao[[Granja Produção]:[Núcleo]],2,0),"")</f>
        <v>(N1)</v>
      </c>
      <c r="S231" s="776">
        <v>57000</v>
      </c>
      <c r="T231" s="777">
        <f>C231+(U231*7)-1</f>
        <v>46898</v>
      </c>
      <c r="U231" s="778">
        <v>66</v>
      </c>
      <c r="V231" s="779"/>
      <c r="W231" s="780">
        <f>IFERROR(T231+V231," ")</f>
        <v>46898</v>
      </c>
      <c r="X231" s="811" t="e">
        <f>VLOOKUP(Q231,Q294:Q462,1,0)</f>
        <v>#N/A</v>
      </c>
      <c r="Y231" s="1229" t="str">
        <f>G231&amp;D231</f>
        <v>N. S. Carmo 2 - PR100427</v>
      </c>
      <c r="Z231" s="818">
        <f>SUMIF($Y$114:$Y$314,Y231,$S$114:$S$1288)</f>
        <v>57000</v>
      </c>
      <c r="AA231" s="821"/>
      <c r="AC231" s="1316" t="str">
        <f>Q231</f>
        <v>Fronteira 1 - PR</v>
      </c>
      <c r="AD231" s="1317">
        <f>C231</f>
        <v>46437</v>
      </c>
      <c r="AE231" s="1317">
        <f>N231</f>
        <v>46584</v>
      </c>
      <c r="AF231" s="1317">
        <f>T231</f>
        <v>46898</v>
      </c>
      <c r="AG231" s="1315" t="str">
        <f>M231</f>
        <v>AP95 - 344</v>
      </c>
      <c r="AH231" s="1315" t="str">
        <f>L231</f>
        <v>JBS</v>
      </c>
      <c r="AJ231" s="818"/>
    </row>
    <row r="232" spans="1:36" s="820" customFormat="1">
      <c r="A232" s="766" t="s">
        <v>17</v>
      </c>
      <c r="B232" s="767">
        <f>N182+K182</f>
        <v>46449</v>
      </c>
      <c r="C232" s="768">
        <f t="shared" si="116"/>
        <v>46449</v>
      </c>
      <c r="D232" s="1079">
        <v>100927</v>
      </c>
      <c r="E232" s="769"/>
      <c r="F232" s="769" t="str">
        <f>IFERROR(VLOOKUP(G232,Recria[[Granja Recria]:[Emp+CC]],4,0),"")</f>
        <v>124_47</v>
      </c>
      <c r="G232" s="770" t="s">
        <v>52</v>
      </c>
      <c r="H232" s="771" t="str">
        <f>IFERROR(VLOOKUP(G232,Recria[[Granja Recria]:[Núcleo]],2,0),"")</f>
        <v>(N1)</v>
      </c>
      <c r="I232" s="772">
        <v>30000</v>
      </c>
      <c r="J232" s="766" t="s">
        <v>20</v>
      </c>
      <c r="K232" s="766">
        <v>27</v>
      </c>
      <c r="L232" s="812" t="str">
        <f>VLOOKUP(M232,Raca_Linhagem[],2,0)</f>
        <v>COBB</v>
      </c>
      <c r="M232" s="803" t="s">
        <v>21</v>
      </c>
      <c r="N232" s="773">
        <f t="shared" si="100"/>
        <v>46596</v>
      </c>
      <c r="O232" s="774"/>
      <c r="P232" s="774" t="str">
        <f>IFERROR(VLOOKUP(Q232,Producao[[Granja Produção]:[Emp+CC]],4,0),"")</f>
        <v>120_45</v>
      </c>
      <c r="Q232" s="775" t="s">
        <v>62</v>
      </c>
      <c r="R232" s="766" t="str">
        <f>IFERROR(VLOOKUP(Q232,Producao[[Granja Produção]:[Núcleo]],2,0),"")</f>
        <v>(N1)</v>
      </c>
      <c r="S232" s="776">
        <f t="shared" ref="S232:S308" si="167">I232*0.955</f>
        <v>28650</v>
      </c>
      <c r="T232" s="777">
        <f t="shared" si="153"/>
        <v>46910</v>
      </c>
      <c r="U232" s="778">
        <v>66</v>
      </c>
      <c r="V232" s="779"/>
      <c r="W232" s="780">
        <f t="shared" si="154"/>
        <v>46910</v>
      </c>
      <c r="X232" s="811" t="e">
        <f>VLOOKUP(Q232,Q298:Q469,1,0)</f>
        <v>#N/A</v>
      </c>
      <c r="Y232" s="1229" t="str">
        <f t="shared" si="103"/>
        <v>Quedas - PR100927</v>
      </c>
      <c r="Z232" s="818">
        <f>SUMIF($Y$114:$Y$314,Y232,$S$114:$S$1288)</f>
        <v>28650</v>
      </c>
      <c r="AA232" s="821"/>
      <c r="AC232" s="1316" t="str">
        <f t="shared" si="86"/>
        <v>São Pedro - PR</v>
      </c>
      <c r="AD232" s="1317">
        <f t="shared" si="87"/>
        <v>46449</v>
      </c>
      <c r="AE232" s="1317">
        <f t="shared" si="88"/>
        <v>46596</v>
      </c>
      <c r="AF232" s="1317">
        <f t="shared" si="89"/>
        <v>46910</v>
      </c>
      <c r="AG232" s="1315" t="str">
        <f t="shared" si="130"/>
        <v>500 SLOW - MALE</v>
      </c>
      <c r="AH232" s="1315" t="str">
        <f t="shared" si="131"/>
        <v>COBB</v>
      </c>
      <c r="AJ232" s="818"/>
    </row>
    <row r="233" spans="1:36" s="820" customFormat="1">
      <c r="A233" s="766" t="s">
        <v>17</v>
      </c>
      <c r="B233" s="767">
        <f>N177+K177</f>
        <v>46444</v>
      </c>
      <c r="C233" s="768">
        <f t="shared" si="116"/>
        <v>46444</v>
      </c>
      <c r="D233" s="1079">
        <v>101027</v>
      </c>
      <c r="E233" s="1098">
        <v>127</v>
      </c>
      <c r="F233" s="769" t="str">
        <f>IFERROR(VLOOKUP(G233,Recria[[Granja Recria]:[Emp+CC]],4,0),"")</f>
        <v>10_203</v>
      </c>
      <c r="G233" s="770" t="s">
        <v>25</v>
      </c>
      <c r="H233" s="771" t="str">
        <f>IFERROR(VLOOKUP(G233,Recria[[Granja Recria]:[Núcleo]],2,0),"")</f>
        <v>(N1)</v>
      </c>
      <c r="I233" s="772">
        <v>61000</v>
      </c>
      <c r="J233" s="766" t="s">
        <v>60</v>
      </c>
      <c r="K233" s="766">
        <v>25</v>
      </c>
      <c r="L233" s="812" t="str">
        <f>VLOOKUP(M233,Raca_Linhagem[],2,0)</f>
        <v>ROSS</v>
      </c>
      <c r="M233" s="815" t="s">
        <v>31</v>
      </c>
      <c r="N233" s="773">
        <f t="shared" si="100"/>
        <v>46591</v>
      </c>
      <c r="O233" s="774"/>
      <c r="P233" s="774" t="str">
        <f>IFERROR(VLOOKUP(Q233,Producao[[Granja Produção]:[Emp+CC]],4,0),"")</f>
        <v>10_330</v>
      </c>
      <c r="Q233" s="775" t="s">
        <v>28</v>
      </c>
      <c r="R233" s="766" t="str">
        <f>IFERROR(VLOOKUP(Q233,Producao[[Granja Produção]:[Núcleo]],2,0),"")</f>
        <v>(N1)</v>
      </c>
      <c r="S233" s="776">
        <f t="shared" si="167"/>
        <v>58255</v>
      </c>
      <c r="T233" s="777">
        <f t="shared" si="153"/>
        <v>46905</v>
      </c>
      <c r="U233" s="778">
        <v>66</v>
      </c>
      <c r="V233" s="779"/>
      <c r="W233" s="780">
        <f t="shared" si="154"/>
        <v>46905</v>
      </c>
      <c r="X233" s="811" t="e">
        <f>VLOOKUP(Q233,Q298:Q468,1,0)</f>
        <v>#N/A</v>
      </c>
      <c r="Y233" s="1229" t="str">
        <f t="shared" si="103"/>
        <v>Picolli Rec. - PR101027</v>
      </c>
      <c r="Z233" s="818">
        <f>SUMIF($Y$114:$Y$314,Y233,$S$114:$S$1288)</f>
        <v>58255</v>
      </c>
      <c r="AA233" s="821"/>
      <c r="AC233" s="1316" t="str">
        <f t="shared" si="86"/>
        <v>Darlan - PR</v>
      </c>
      <c r="AD233" s="1317">
        <f t="shared" si="87"/>
        <v>46444</v>
      </c>
      <c r="AE233" s="1317">
        <f t="shared" si="88"/>
        <v>46591</v>
      </c>
      <c r="AF233" s="1317">
        <f t="shared" si="89"/>
        <v>46905</v>
      </c>
      <c r="AG233" s="1315" t="str">
        <f t="shared" si="130"/>
        <v>AP95 - 344  JBS</v>
      </c>
      <c r="AH233" s="1315" t="str">
        <f t="shared" si="131"/>
        <v>ROSS</v>
      </c>
      <c r="AJ233" s="818"/>
    </row>
    <row r="234" spans="1:36" s="824" customFormat="1">
      <c r="A234" s="1105" t="s">
        <v>17</v>
      </c>
      <c r="B234" s="781">
        <f>N185+K185</f>
        <v>46449</v>
      </c>
      <c r="C234" s="1106">
        <f t="shared" si="116"/>
        <v>46449</v>
      </c>
      <c r="D234" s="1127">
        <v>101627</v>
      </c>
      <c r="E234" s="1107"/>
      <c r="F234" s="1107" t="str">
        <f>IFERROR(VLOOKUP(G234,Recria[[Granja Recria]:[Emp+CC]],4,0),"")</f>
        <v>117_139</v>
      </c>
      <c r="G234" s="1108" t="s">
        <v>30</v>
      </c>
      <c r="H234" s="1109" t="str">
        <f>IFERROR(VLOOKUP(G234,Recria[[Granja Recria]:[Núcleo]],2,0),"")</f>
        <v>(N4)</v>
      </c>
      <c r="I234" s="1110">
        <v>43000</v>
      </c>
      <c r="J234" s="1105" t="s">
        <v>45</v>
      </c>
      <c r="K234" s="1105">
        <v>55</v>
      </c>
      <c r="L234" s="1105" t="str">
        <f>VLOOKUP(M234,Raca_Linhagem[],2,0)</f>
        <v>COBB</v>
      </c>
      <c r="M234" s="1105" t="s">
        <v>21</v>
      </c>
      <c r="N234" s="1106">
        <f>C234+(22*7)-7</f>
        <v>46596</v>
      </c>
      <c r="O234" s="1105"/>
      <c r="P234" s="1105" t="str">
        <f>IFERROR(VLOOKUP(Q234,Producao[[Granja Produção]:[Emp+CC]],4,0),"")</f>
        <v>17_105</v>
      </c>
      <c r="Q234" s="1111" t="s">
        <v>85</v>
      </c>
      <c r="R234" s="1105" t="str">
        <f>IFERROR(VLOOKUP(Q234,Producao[[Granja Produção]:[Núcleo]],2,0),"")</f>
        <v>(N2)</v>
      </c>
      <c r="S234" s="1110">
        <v>41000</v>
      </c>
      <c r="T234" s="1112">
        <f>C234+(U234*7)-1</f>
        <v>46910</v>
      </c>
      <c r="U234" s="1113">
        <v>66</v>
      </c>
      <c r="V234" s="1114"/>
      <c r="W234" s="1115">
        <f>IFERROR(T234+V234," ")</f>
        <v>46910</v>
      </c>
      <c r="X234" s="1116" t="e">
        <f>VLOOKUP(Q234,Q306:Q471,1,0)</f>
        <v>#N/A</v>
      </c>
      <c r="Y234" s="1229" t="str">
        <f>G234&amp;D234</f>
        <v>Bom S. Rec. 1 - PR101627</v>
      </c>
      <c r="Z234" s="818">
        <f>SUMIF($Y$114:$Y$314,Y234,$S$114:$S$1288)</f>
        <v>41000</v>
      </c>
      <c r="AA234" s="1117"/>
      <c r="AC234" s="1316" t="str">
        <f>Q234</f>
        <v>Bela Vista 2 - PR</v>
      </c>
      <c r="AD234" s="1317">
        <f>C234</f>
        <v>46449</v>
      </c>
      <c r="AE234" s="1317">
        <f>N234</f>
        <v>46596</v>
      </c>
      <c r="AF234" s="1317">
        <f>T234</f>
        <v>46910</v>
      </c>
      <c r="AG234" s="1315" t="str">
        <f>M234</f>
        <v>500 SLOW - MALE</v>
      </c>
      <c r="AH234" s="1315" t="str">
        <f>L234</f>
        <v>COBB</v>
      </c>
      <c r="AJ234" s="818"/>
    </row>
    <row r="235" spans="1:36">
      <c r="A235" s="718" t="s">
        <v>17</v>
      </c>
      <c r="B235" s="758">
        <f>N198+K198</f>
        <v>46503</v>
      </c>
      <c r="C235" s="759">
        <f t="shared" si="116"/>
        <v>46503</v>
      </c>
      <c r="D235" s="1055">
        <v>107326</v>
      </c>
      <c r="E235" s="760">
        <v>153549</v>
      </c>
      <c r="F235" s="760" t="str">
        <f>IFERROR(VLOOKUP(G235,Recria[[Granja Recria]:[Emp+CC]],4,0),"")</f>
        <v>135_2389</v>
      </c>
      <c r="G235" s="764" t="s">
        <v>246</v>
      </c>
      <c r="H235" s="762" t="str">
        <f>IFERROR(VLOOKUP(G235,Recria[[Granja Recria]:[Núcleo]],2,0),"")</f>
        <v>(N1)</v>
      </c>
      <c r="I235" s="763">
        <v>60000</v>
      </c>
      <c r="J235" s="718" t="s">
        <v>45</v>
      </c>
      <c r="K235" s="718">
        <v>52</v>
      </c>
      <c r="L235" s="803" t="str">
        <f>VLOOKUP(M235,Raca_Linhagem[],2,0)</f>
        <v>COBB</v>
      </c>
      <c r="M235" s="803" t="s">
        <v>21</v>
      </c>
      <c r="N235" s="714">
        <f>C235+(22*7)-7</f>
        <v>46650</v>
      </c>
      <c r="O235" s="716"/>
      <c r="P235" s="716" t="str">
        <f>IFERROR(VLOOKUP(Q235,Producao[[Granja Produção]:[Emp+CC]],4,0),"")</f>
        <v>10</v>
      </c>
      <c r="Q235" s="717" t="s">
        <v>256</v>
      </c>
      <c r="R235" s="718" t="str">
        <f>IFERROR(VLOOKUP(Q235,Producao[[Granja Produção]:[Núcleo]],2,0),"")</f>
        <v>(N5)</v>
      </c>
      <c r="S235" s="719">
        <f t="shared" ref="S235" si="168">I235*0.96</f>
        <v>57600</v>
      </c>
      <c r="T235" s="720">
        <f>C235+(U235*7)-1</f>
        <v>46964</v>
      </c>
      <c r="U235" s="721">
        <v>66</v>
      </c>
      <c r="V235" s="722"/>
      <c r="W235" s="723">
        <f>IFERROR(T235+V235," ")</f>
        <v>46964</v>
      </c>
      <c r="X235" s="802" t="e">
        <f>VLOOKUP(Q235,Q292:Q455,1,0)</f>
        <v>#N/A</v>
      </c>
      <c r="Y235" s="1229" t="str">
        <f>G235&amp;D235</f>
        <v>Cafezal Rec. 1 - PR107326</v>
      </c>
      <c r="Z235" s="818">
        <f>SUMIF($Y$114:$Y$314,Y235,$S$114:$S$1288)</f>
        <v>57600</v>
      </c>
      <c r="AA235" s="818"/>
      <c r="AC235" s="1316" t="str">
        <f>Q235</f>
        <v>Cafezal Prod. 3 - PR</v>
      </c>
      <c r="AD235" s="1317">
        <f>C235</f>
        <v>46503</v>
      </c>
      <c r="AE235" s="1317">
        <f>N235</f>
        <v>46650</v>
      </c>
      <c r="AF235" s="1317">
        <f>T235</f>
        <v>46964</v>
      </c>
      <c r="AG235" s="1315" t="str">
        <f>M235</f>
        <v>500 SLOW - MALE</v>
      </c>
      <c r="AH235" s="1315" t="str">
        <f>L235</f>
        <v>COBB</v>
      </c>
      <c r="AJ235" s="818"/>
    </row>
    <row r="236" spans="1:36" s="820" customFormat="1">
      <c r="A236" s="766" t="s">
        <v>17</v>
      </c>
      <c r="B236" s="781">
        <f>N178+K178</f>
        <v>46458</v>
      </c>
      <c r="C236" s="768">
        <f t="shared" si="116"/>
        <v>46458</v>
      </c>
      <c r="D236" s="1079">
        <v>100727</v>
      </c>
      <c r="E236" s="769"/>
      <c r="F236" s="769" t="str">
        <f>IFERROR(VLOOKUP(G236,Recria[[Granja Recria]:[Emp+CC]],4,0),"")</f>
        <v>10_1295</v>
      </c>
      <c r="G236" s="770" t="s">
        <v>19</v>
      </c>
      <c r="H236" s="771" t="str">
        <f>IFERROR(VLOOKUP(G236,Recria[[Granja Recria]:[Núcleo]],2,0),"")</f>
        <v>(N3)</v>
      </c>
      <c r="I236" s="772">
        <v>84000</v>
      </c>
      <c r="J236" s="766" t="s">
        <v>60</v>
      </c>
      <c r="K236" s="766">
        <v>25</v>
      </c>
      <c r="L236" s="812" t="str">
        <f>VLOOKUP(M236,Raca_Linhagem[],2,0)</f>
        <v>ROSS</v>
      </c>
      <c r="M236" s="812" t="s">
        <v>26</v>
      </c>
      <c r="N236" s="773">
        <f>C236+(22*7)-7</f>
        <v>46605</v>
      </c>
      <c r="O236" s="774"/>
      <c r="P236" s="774" t="str">
        <f>IFERROR(VLOOKUP(Q236,Producao[[Granja Produção]:[Emp+CC]],4,0),"")</f>
        <v>10_358</v>
      </c>
      <c r="Q236" s="775" t="s">
        <v>231</v>
      </c>
      <c r="R236" s="766" t="str">
        <f>IFERROR(VLOOKUP(Q236,Producao[[Granja Produção]:[Núcleo]],2,0),"")</f>
        <v>(N1)</v>
      </c>
      <c r="S236" s="776">
        <v>76000</v>
      </c>
      <c r="T236" s="777">
        <f>C236+(U236*7)-1</f>
        <v>46919</v>
      </c>
      <c r="U236" s="778">
        <v>66</v>
      </c>
      <c r="V236" s="779"/>
      <c r="W236" s="780">
        <f>IFERROR(T236+V236," ")</f>
        <v>46919</v>
      </c>
      <c r="X236" s="811" t="e">
        <f>VLOOKUP(Q236,Q293:Q465,1,0)</f>
        <v>#N/A</v>
      </c>
      <c r="Y236" s="1229" t="str">
        <f>G236&amp;D236</f>
        <v>Esperança 3 - PR100727</v>
      </c>
      <c r="Z236" s="818">
        <f>SUMIF($Y$114:$Y$314,Y236,$S$114:$S$1288)</f>
        <v>76000</v>
      </c>
      <c r="AA236" s="821"/>
      <c r="AC236" s="1316" t="str">
        <f>Q236</f>
        <v>Scolari - PR</v>
      </c>
      <c r="AD236" s="1317">
        <f>C236</f>
        <v>46458</v>
      </c>
      <c r="AE236" s="1317">
        <f>N236</f>
        <v>46605</v>
      </c>
      <c r="AF236" s="1317">
        <f>T236</f>
        <v>46919</v>
      </c>
      <c r="AG236" s="1315" t="str">
        <f>M236</f>
        <v>AP95 - 344</v>
      </c>
      <c r="AH236" s="1315" t="str">
        <f>L236</f>
        <v>ROSS</v>
      </c>
      <c r="AJ236" s="818"/>
    </row>
    <row r="237" spans="1:36" s="820" customFormat="1">
      <c r="A237" s="766" t="s">
        <v>17</v>
      </c>
      <c r="B237" s="781">
        <f>N186+K186</f>
        <v>46459</v>
      </c>
      <c r="C237" s="768">
        <f t="shared" si="116"/>
        <v>46459</v>
      </c>
      <c r="D237" s="1079">
        <v>101127</v>
      </c>
      <c r="E237" s="769"/>
      <c r="F237" s="769" t="str">
        <f>IFERROR(VLOOKUP(G237,Recria[[Granja Recria]:[Emp+CC]],4,0),"")</f>
        <v>10_857</v>
      </c>
      <c r="G237" s="770" t="s">
        <v>47</v>
      </c>
      <c r="H237" s="771" t="str">
        <f>IFERROR(VLOOKUP(G237,Recria[[Granja Recria]:[Núcleo]],2,0),"")</f>
        <v>(N2)</v>
      </c>
      <c r="I237" s="772">
        <v>60000</v>
      </c>
      <c r="J237" s="766" t="s">
        <v>45</v>
      </c>
      <c r="K237" s="766">
        <v>49</v>
      </c>
      <c r="L237" s="812" t="str">
        <f>VLOOKUP(M237,Raca_Linhagem[],2,0)</f>
        <v>ROSS</v>
      </c>
      <c r="M237" s="812" t="s">
        <v>26</v>
      </c>
      <c r="N237" s="773">
        <f t="shared" si="100"/>
        <v>46606</v>
      </c>
      <c r="O237" s="774"/>
      <c r="P237" s="774" t="str">
        <f>IFERROR(VLOOKUP(Q237,Producao[[Granja Produção]:[Emp+CC]],4,0),"")</f>
        <v>10_859</v>
      </c>
      <c r="Q237" s="775" t="s">
        <v>34</v>
      </c>
      <c r="R237" s="766" t="str">
        <f>IFERROR(VLOOKUP(Q237,Producao[[Granja Produção]:[Núcleo]],2,0),"")</f>
        <v>(N1)</v>
      </c>
      <c r="S237" s="776">
        <v>57000</v>
      </c>
      <c r="T237" s="777">
        <f t="shared" si="153"/>
        <v>46920</v>
      </c>
      <c r="U237" s="778">
        <v>66</v>
      </c>
      <c r="V237" s="779"/>
      <c r="W237" s="780">
        <f t="shared" si="154"/>
        <v>46920</v>
      </c>
      <c r="X237" s="811" t="e">
        <f>VLOOKUP(Q237,Q297:Q467,1,0)</f>
        <v>#N/A</v>
      </c>
      <c r="Y237" s="1229" t="str">
        <f t="shared" si="103"/>
        <v>Viganó 2 - PR101127</v>
      </c>
      <c r="Z237" s="818">
        <f>SUMIF($Y$114:$Y$314,Y237,$S$114:$S$1288)</f>
        <v>57000</v>
      </c>
      <c r="AA237" s="821"/>
      <c r="AC237" s="1316" t="str">
        <f t="shared" si="86"/>
        <v>Iguaçu 1 - PR</v>
      </c>
      <c r="AD237" s="1317">
        <f t="shared" si="87"/>
        <v>46459</v>
      </c>
      <c r="AE237" s="1317">
        <f t="shared" si="88"/>
        <v>46606</v>
      </c>
      <c r="AF237" s="1317">
        <f t="shared" si="89"/>
        <v>46920</v>
      </c>
      <c r="AG237" s="1315" t="str">
        <f t="shared" si="130"/>
        <v>AP95 - 344</v>
      </c>
      <c r="AH237" s="1315" t="str">
        <f t="shared" si="131"/>
        <v>ROSS</v>
      </c>
      <c r="AJ237" s="818"/>
    </row>
    <row r="238" spans="1:36" s="824" customFormat="1">
      <c r="A238" s="1105" t="s">
        <v>17</v>
      </c>
      <c r="B238" s="781">
        <f>N190+K190</f>
        <v>46470</v>
      </c>
      <c r="C238" s="1106">
        <f t="shared" si="116"/>
        <v>46470</v>
      </c>
      <c r="D238" s="1127">
        <v>101827</v>
      </c>
      <c r="E238" s="1107"/>
      <c r="F238" s="1107" t="str">
        <f>IFERROR(VLOOKUP(G238,Recria[[Granja Recria]:[Emp+CC]],4,0),"")</f>
        <v>139_49</v>
      </c>
      <c r="G238" s="1108" t="s">
        <v>59</v>
      </c>
      <c r="H238" s="1109" t="str">
        <f>IFERROR(VLOOKUP(G238,Recria[[Granja Recria]:[Núcleo]],2,0),"")</f>
        <v>(N1)</v>
      </c>
      <c r="I238" s="1110">
        <v>60000</v>
      </c>
      <c r="J238" s="1105" t="s">
        <v>45</v>
      </c>
      <c r="K238" s="1105">
        <v>48</v>
      </c>
      <c r="L238" s="1118" t="str">
        <f>VLOOKUP(M238,Raca_Linhagem[],2,0)</f>
        <v>COBB</v>
      </c>
      <c r="M238" s="1105" t="s">
        <v>21</v>
      </c>
      <c r="N238" s="1106">
        <f>C238+(22*7)-7</f>
        <v>46617</v>
      </c>
      <c r="O238" s="1105"/>
      <c r="P238" s="1105" t="str">
        <f>IFERROR(VLOOKUP(Q238,Producao[[Granja Produção]:[Emp+CC]],4,0),"")</f>
        <v>10_329</v>
      </c>
      <c r="Q238" s="775" t="s">
        <v>50</v>
      </c>
      <c r="R238" s="1105" t="str">
        <f>IFERROR(VLOOKUP(Q238,Producao[[Granja Produção]:[Núcleo]],2,0),"")</f>
        <v>(N1)</v>
      </c>
      <c r="S238" s="1110">
        <f>I238*0.955</f>
        <v>57300</v>
      </c>
      <c r="T238" s="1112">
        <f>C238+(U238*7)-1</f>
        <v>46931</v>
      </c>
      <c r="U238" s="1113">
        <v>66</v>
      </c>
      <c r="V238" s="1114"/>
      <c r="W238" s="1115">
        <f>IFERROR(T238+V238," ")</f>
        <v>46931</v>
      </c>
      <c r="X238" s="1116" t="e">
        <f>VLOOKUP(Q238,Q307:Q472,1,0)</f>
        <v>#N/A</v>
      </c>
      <c r="Y238" s="1229" t="str">
        <f>G238&amp;D238</f>
        <v>Esperança 1  - PR101827</v>
      </c>
      <c r="Z238" s="818">
        <f>SUMIF($Y$114:$Y$314,Y238,$S$114:$S$1288)</f>
        <v>57300</v>
      </c>
      <c r="AA238" s="1117"/>
      <c r="AC238" s="1316" t="str">
        <f t="shared" si="86"/>
        <v>Rossi 1 - PR</v>
      </c>
      <c r="AD238" s="1317">
        <f t="shared" si="87"/>
        <v>46470</v>
      </c>
      <c r="AE238" s="1317">
        <f t="shared" si="88"/>
        <v>46617</v>
      </c>
      <c r="AF238" s="1317">
        <f t="shared" si="89"/>
        <v>46931</v>
      </c>
      <c r="AG238" s="1315" t="str">
        <f t="shared" si="130"/>
        <v>500 SLOW - MALE</v>
      </c>
      <c r="AH238" s="1315" t="str">
        <f t="shared" si="131"/>
        <v>COBB</v>
      </c>
      <c r="AJ238" s="818"/>
    </row>
    <row r="239" spans="1:36" s="820" customFormat="1">
      <c r="A239" s="766" t="s">
        <v>17</v>
      </c>
      <c r="B239" s="781">
        <f>N187+K187</f>
        <v>46470</v>
      </c>
      <c r="C239" s="768">
        <f t="shared" si="116"/>
        <v>46470</v>
      </c>
      <c r="D239" s="1079">
        <v>101227</v>
      </c>
      <c r="E239" s="769"/>
      <c r="F239" s="769" t="str">
        <f>IFERROR(VLOOKUP(G239,Recria[[Granja Recria]:[Emp+CC]],4,0),"")</f>
        <v>112_29</v>
      </c>
      <c r="G239" s="770" t="s">
        <v>68</v>
      </c>
      <c r="H239" s="771" t="str">
        <f>IFERROR(VLOOKUP(G239,Recria[[Granja Recria]:[Núcleo]],2,0),"")</f>
        <v>(N1)</v>
      </c>
      <c r="I239" s="772">
        <v>107000</v>
      </c>
      <c r="J239" s="766" t="s">
        <v>20</v>
      </c>
      <c r="K239" s="766">
        <v>25</v>
      </c>
      <c r="L239" s="813" t="str">
        <f>VLOOKUP(M239,Raca_Linhagem[],2,0)</f>
        <v>COBB</v>
      </c>
      <c r="M239" s="813" t="s">
        <v>21</v>
      </c>
      <c r="N239" s="773">
        <f t="shared" si="100"/>
        <v>46617</v>
      </c>
      <c r="O239" s="774"/>
      <c r="P239" s="774" t="str">
        <f>IFERROR(VLOOKUP(Q239,Producao[[Granja Produção]:[Emp+CC]],4,0),"")</f>
        <v>11_150</v>
      </c>
      <c r="Q239" s="775" t="s">
        <v>54</v>
      </c>
      <c r="R239" s="766" t="str">
        <f>IFERROR(VLOOKUP(Q239,Producao[[Granja Produção]:[Núcleo]],2,0),"")</f>
        <v>(N1)</v>
      </c>
      <c r="S239" s="776">
        <v>40000</v>
      </c>
      <c r="T239" s="777">
        <f t="shared" si="153"/>
        <v>46931</v>
      </c>
      <c r="U239" s="778">
        <v>66</v>
      </c>
      <c r="V239" s="779"/>
      <c r="W239" s="780">
        <f t="shared" si="154"/>
        <v>46931</v>
      </c>
      <c r="X239" s="811" t="e">
        <f>VLOOKUP(Q239,Q302:Q470,1,0)</f>
        <v>#N/A</v>
      </c>
      <c r="Y239" s="1229" t="str">
        <f t="shared" si="103"/>
        <v>Pluma 1 - PR101227</v>
      </c>
      <c r="Z239" s="818">
        <f>SUMIF($Y$114:$Y$314,Y239,$S$114:$S$1288)</f>
        <v>101000</v>
      </c>
      <c r="AA239" s="821"/>
      <c r="AC239" s="1316" t="str">
        <f t="shared" si="86"/>
        <v>São Roque - PR</v>
      </c>
      <c r="AD239" s="1317">
        <f t="shared" si="87"/>
        <v>46470</v>
      </c>
      <c r="AE239" s="1317">
        <f t="shared" si="88"/>
        <v>46617</v>
      </c>
      <c r="AF239" s="1317">
        <f t="shared" si="89"/>
        <v>46931</v>
      </c>
      <c r="AG239" s="1315" t="str">
        <f t="shared" si="130"/>
        <v>500 SLOW - MALE</v>
      </c>
      <c r="AH239" s="1315" t="str">
        <f t="shared" si="131"/>
        <v>COBB</v>
      </c>
      <c r="AJ239" s="818"/>
    </row>
    <row r="240" spans="1:36" s="820" customFormat="1">
      <c r="A240" s="766" t="s">
        <v>17</v>
      </c>
      <c r="B240" s="781">
        <f>N187+K187</f>
        <v>46470</v>
      </c>
      <c r="C240" s="768">
        <f t="shared" si="116"/>
        <v>46470</v>
      </c>
      <c r="D240" s="1079">
        <v>101227</v>
      </c>
      <c r="E240" s="769"/>
      <c r="F240" s="769" t="str">
        <f>IFERROR(VLOOKUP(G240,Recria[[Granja Recria]:[Emp+CC]],4,0),"")</f>
        <v>112_29</v>
      </c>
      <c r="G240" s="770" t="s">
        <v>68</v>
      </c>
      <c r="H240" s="771" t="str">
        <f>IFERROR(VLOOKUP(G240,Recria[[Granja Recria]:[Núcleo]],2,0),"")</f>
        <v>(N1)</v>
      </c>
      <c r="I240" s="772"/>
      <c r="J240" s="766" t="s">
        <v>20</v>
      </c>
      <c r="K240" s="766">
        <v>25</v>
      </c>
      <c r="L240" s="813" t="str">
        <f>VLOOKUP(M240,Raca_Linhagem[],2,0)</f>
        <v>COBB</v>
      </c>
      <c r="M240" s="813" t="s">
        <v>21</v>
      </c>
      <c r="N240" s="773">
        <f t="shared" ref="N240" si="169">C240+(22*7)-7</f>
        <v>46617</v>
      </c>
      <c r="O240" s="774"/>
      <c r="P240" s="774" t="str">
        <f>IFERROR(VLOOKUP(Q240,Producao[[Granja Produção]:[Emp+CC]],4,0),"")</f>
        <v>10_860</v>
      </c>
      <c r="Q240" s="775" t="s">
        <v>57</v>
      </c>
      <c r="R240" s="766" t="str">
        <f>IFERROR(VLOOKUP(Q240,Producao[[Granja Produção]:[Núcleo]],2,0),"")</f>
        <v>(N1)</v>
      </c>
      <c r="S240" s="776">
        <v>61000</v>
      </c>
      <c r="T240" s="777">
        <f t="shared" ref="T240" si="170">C240+(U240*7)-1</f>
        <v>46931</v>
      </c>
      <c r="U240" s="778">
        <v>66</v>
      </c>
      <c r="V240" s="779"/>
      <c r="W240" s="780">
        <f t="shared" ref="W240" si="171">IFERROR(T240+V240," ")</f>
        <v>46931</v>
      </c>
      <c r="X240" s="811" t="e">
        <f>VLOOKUP(Q240,Q303:Q471,1,0)</f>
        <v>#N/A</v>
      </c>
      <c r="Y240" s="1229" t="str">
        <f t="shared" ref="Y240" si="172">G240&amp;D240</f>
        <v>Pluma 1 - PR101227</v>
      </c>
      <c r="Z240" s="818">
        <f>SUMIF($Y$114:$Y$314,Y240,$S$114:$S$1288)</f>
        <v>101000</v>
      </c>
      <c r="AA240" s="821"/>
      <c r="AC240" s="1316" t="str">
        <f t="shared" si="86"/>
        <v>Canguçu 1 - PR</v>
      </c>
      <c r="AD240" s="1317">
        <f t="shared" si="87"/>
        <v>46470</v>
      </c>
      <c r="AE240" s="1317">
        <f t="shared" si="88"/>
        <v>46617</v>
      </c>
      <c r="AF240" s="1317">
        <f t="shared" si="89"/>
        <v>46931</v>
      </c>
      <c r="AG240" s="1315" t="str">
        <f t="shared" si="130"/>
        <v>500 SLOW - MALE</v>
      </c>
      <c r="AH240" s="1315" t="str">
        <f t="shared" si="131"/>
        <v>COBB</v>
      </c>
      <c r="AJ240" s="818"/>
    </row>
    <row r="241" spans="1:36" s="820" customFormat="1">
      <c r="A241" s="766" t="s">
        <v>17</v>
      </c>
      <c r="B241" s="767">
        <f>N194+K194</f>
        <v>46482</v>
      </c>
      <c r="C241" s="768">
        <f t="shared" si="116"/>
        <v>46482</v>
      </c>
      <c r="D241" s="1079">
        <v>101327</v>
      </c>
      <c r="E241" s="769"/>
      <c r="F241" s="769" t="str">
        <f>IFERROR(VLOOKUP(G241,Recria[[Granja Recria]:[Emp+CC]],4,0),"")</f>
        <v>10_1940</v>
      </c>
      <c r="G241" s="770" t="s">
        <v>187</v>
      </c>
      <c r="H241" s="771" t="str">
        <f>IFERROR(VLOOKUP(G241,Recria[[Granja Recria]:[Núcleo]],2,0),"")</f>
        <v>(N1)</v>
      </c>
      <c r="I241" s="772">
        <v>60000</v>
      </c>
      <c r="J241" s="766" t="s">
        <v>45</v>
      </c>
      <c r="K241" s="766">
        <v>55</v>
      </c>
      <c r="L241" s="813" t="str">
        <f>VLOOKUP(M241,Raca_Linhagem[],2,0)</f>
        <v>ROSS</v>
      </c>
      <c r="M241" s="812" t="s">
        <v>26</v>
      </c>
      <c r="N241" s="773">
        <f t="shared" si="100"/>
        <v>46629</v>
      </c>
      <c r="O241" s="774"/>
      <c r="P241" s="774" t="str">
        <f>IFERROR(VLOOKUP(Q241,Producao[[Granja Produção]:[Emp+CC]],4,0),"")</f>
        <v>10_2383</v>
      </c>
      <c r="Q241" s="717" t="s">
        <v>236</v>
      </c>
      <c r="R241" s="766" t="str">
        <f>IFERROR(VLOOKUP(Q241,Producao[[Granja Produção]:[Núcleo]],2,0),"")</f>
        <v>(N3)</v>
      </c>
      <c r="S241" s="776">
        <f t="shared" si="167"/>
        <v>57300</v>
      </c>
      <c r="T241" s="777">
        <f t="shared" si="153"/>
        <v>46943</v>
      </c>
      <c r="U241" s="778">
        <v>66</v>
      </c>
      <c r="V241" s="779"/>
      <c r="W241" s="780">
        <f t="shared" si="154"/>
        <v>46943</v>
      </c>
      <c r="X241" s="811" t="e">
        <f>VLOOKUP(Q241,Q309:Q474,1,0)</f>
        <v>#N/A</v>
      </c>
      <c r="Y241" s="1229" t="str">
        <f t="shared" si="103"/>
        <v>Aliança - PR101327</v>
      </c>
      <c r="Z241" s="818">
        <f>SUMIF($Y$114:$Y$314,Y241,$S$114:$S$1288)</f>
        <v>57300</v>
      </c>
      <c r="AA241" s="821"/>
      <c r="AC241" s="1316" t="str">
        <f t="shared" si="86"/>
        <v>Aliança Prod. 2 - PR</v>
      </c>
      <c r="AD241" s="1317">
        <f t="shared" si="87"/>
        <v>46482</v>
      </c>
      <c r="AE241" s="1317">
        <f t="shared" si="88"/>
        <v>46629</v>
      </c>
      <c r="AF241" s="1317">
        <f t="shared" si="89"/>
        <v>46943</v>
      </c>
      <c r="AG241" s="1315" t="str">
        <f t="shared" si="130"/>
        <v>AP95 - 344</v>
      </c>
      <c r="AH241" s="1315" t="str">
        <f t="shared" si="131"/>
        <v>ROSS</v>
      </c>
      <c r="AJ241" s="818"/>
    </row>
    <row r="242" spans="1:36" s="820" customFormat="1">
      <c r="A242" s="766" t="s">
        <v>17</v>
      </c>
      <c r="B242" s="767">
        <f>N180+K180</f>
        <v>46479</v>
      </c>
      <c r="C242" s="768">
        <f t="shared" si="116"/>
        <v>46479</v>
      </c>
      <c r="D242" s="1079">
        <v>101427</v>
      </c>
      <c r="E242" s="769"/>
      <c r="F242" s="769" t="str">
        <f>IFERROR(VLOOKUP(G242,Recria[[Granja Recria]:[Emp+CC]],4,0),"")</f>
        <v>128_1367</v>
      </c>
      <c r="G242" s="770" t="s">
        <v>36</v>
      </c>
      <c r="H242" s="771" t="str">
        <f>IFERROR(VLOOKUP(G242,Recria[[Granja Recria]:[Núcleo]],2,0),"")</f>
        <v>(N1)</v>
      </c>
      <c r="I242" s="772">
        <v>60000</v>
      </c>
      <c r="J242" s="766" t="s">
        <v>60</v>
      </c>
      <c r="K242" s="766">
        <v>25</v>
      </c>
      <c r="L242" s="1244" t="s">
        <v>177</v>
      </c>
      <c r="M242" s="812" t="s">
        <v>26</v>
      </c>
      <c r="N242" s="773">
        <f t="shared" si="100"/>
        <v>46626</v>
      </c>
      <c r="O242" s="774"/>
      <c r="P242" s="774" t="str">
        <f>IFERROR(VLOOKUP(Q242,Producao[[Granja Produção]:[Emp+CC]],4,0),"")</f>
        <v>10_1296</v>
      </c>
      <c r="Q242" s="775" t="s">
        <v>81</v>
      </c>
      <c r="R242" s="766" t="str">
        <f>IFERROR(VLOOKUP(Q242,Producao[[Granja Produção]:[Núcleo]],2,0),"")</f>
        <v>(N2)</v>
      </c>
      <c r="S242" s="776">
        <f t="shared" si="167"/>
        <v>57300</v>
      </c>
      <c r="T242" s="777">
        <f t="shared" si="153"/>
        <v>46940</v>
      </c>
      <c r="U242" s="778">
        <v>66</v>
      </c>
      <c r="V242" s="779"/>
      <c r="W242" s="780">
        <f t="shared" si="154"/>
        <v>46940</v>
      </c>
      <c r="X242" s="811" t="e">
        <f>VLOOKUP(Q242,Q308:Q473,1,0)</f>
        <v>#N/A</v>
      </c>
      <c r="Y242" s="1229" t="str">
        <f t="shared" si="103"/>
        <v>Alto da Serra - PR101427</v>
      </c>
      <c r="Z242" s="818">
        <f>SUMIF($Y$114:$Y$314,Y242,$S$114:$S$1288)</f>
        <v>57300</v>
      </c>
      <c r="AA242" s="821"/>
      <c r="AC242" s="1316" t="str">
        <f t="shared" ref="AC242:AC306" si="173">Q242</f>
        <v>Canguçu 2 - PR</v>
      </c>
      <c r="AD242" s="1317">
        <f t="shared" ref="AD242:AD306" si="174">C242</f>
        <v>46479</v>
      </c>
      <c r="AE242" s="1317">
        <f t="shared" ref="AE242:AE306" si="175">N242</f>
        <v>46626</v>
      </c>
      <c r="AF242" s="1317">
        <f t="shared" ref="AF242:AF306" si="176">T242</f>
        <v>46940</v>
      </c>
      <c r="AG242" s="1315" t="str">
        <f t="shared" si="130"/>
        <v>AP95 - 344</v>
      </c>
      <c r="AH242" s="1315" t="str">
        <f t="shared" si="131"/>
        <v>JBS</v>
      </c>
      <c r="AJ242" s="818"/>
    </row>
    <row r="243" spans="1:36" s="820" customFormat="1">
      <c r="A243" s="766" t="s">
        <v>17</v>
      </c>
      <c r="B243" s="767">
        <f>N193+K193</f>
        <v>46477</v>
      </c>
      <c r="C243" s="768">
        <f t="shared" si="116"/>
        <v>46477</v>
      </c>
      <c r="D243" s="1079">
        <v>101527</v>
      </c>
      <c r="E243" s="769"/>
      <c r="F243" s="769" t="str">
        <f>IFERROR(VLOOKUP(G243,Recria[[Granja Recria]:[Emp+CC]],4,0),"")</f>
        <v>10_328</v>
      </c>
      <c r="G243" s="770" t="s">
        <v>44</v>
      </c>
      <c r="H243" s="771" t="str">
        <f>IFERROR(VLOOKUP(G243,Recria[[Granja Recria]:[Núcleo]],2,0),"")</f>
        <v>(N3)</v>
      </c>
      <c r="I243" s="772">
        <v>38000</v>
      </c>
      <c r="J243" s="766" t="s">
        <v>45</v>
      </c>
      <c r="K243" s="766">
        <v>49</v>
      </c>
      <c r="L243" s="812" t="str">
        <f>VLOOKUP(M243,Raca_Linhagem[],2,0)</f>
        <v>COBB</v>
      </c>
      <c r="M243" s="813" t="s">
        <v>21</v>
      </c>
      <c r="N243" s="773">
        <f t="shared" si="100"/>
        <v>46624</v>
      </c>
      <c r="O243" s="774"/>
      <c r="P243" s="774" t="str">
        <f>IFERROR(VLOOKUP(Q243,Producao[[Granja Produção]:[Emp+CC]],4,0),"")</f>
        <v>10_31</v>
      </c>
      <c r="Q243" s="775" t="s">
        <v>237</v>
      </c>
      <c r="R243" s="766" t="str">
        <f>IFERROR(VLOOKUP(Q243,Producao[[Granja Produção]:[Núcleo]],2,0),"")</f>
        <v>(N1)</v>
      </c>
      <c r="S243" s="776">
        <v>15000</v>
      </c>
      <c r="T243" s="777">
        <f t="shared" si="153"/>
        <v>46938</v>
      </c>
      <c r="U243" s="778">
        <v>66</v>
      </c>
      <c r="V243" s="779"/>
      <c r="W243" s="780">
        <f t="shared" si="154"/>
        <v>46938</v>
      </c>
      <c r="X243" s="811" t="e">
        <f>VLOOKUP(Q243,Q311:Q475,1,0)</f>
        <v>#N/A</v>
      </c>
      <c r="Y243" s="1229" t="str">
        <f t="shared" si="103"/>
        <v>Santa Tereza 3 - PR101527</v>
      </c>
      <c r="Z243" s="818">
        <f>SUMIF($Y$114:$Y$314,Y243,$S$114:$S$1288)</f>
        <v>36000</v>
      </c>
      <c r="AA243" s="821"/>
      <c r="AC243" s="1316" t="str">
        <f t="shared" si="173"/>
        <v>Jairo Guzzo - PR</v>
      </c>
      <c r="AD243" s="1317">
        <f t="shared" si="174"/>
        <v>46477</v>
      </c>
      <c r="AE243" s="1317">
        <f t="shared" si="175"/>
        <v>46624</v>
      </c>
      <c r="AF243" s="1317">
        <f t="shared" si="176"/>
        <v>46938</v>
      </c>
      <c r="AG243" s="1315" t="str">
        <f t="shared" si="130"/>
        <v>500 SLOW - MALE</v>
      </c>
      <c r="AH243" s="1315" t="str">
        <f t="shared" si="131"/>
        <v>COBB</v>
      </c>
      <c r="AJ243" s="818"/>
    </row>
    <row r="244" spans="1:36" s="820" customFormat="1">
      <c r="A244" s="766" t="s">
        <v>17</v>
      </c>
      <c r="B244" s="767">
        <f>N193+K193</f>
        <v>46477</v>
      </c>
      <c r="C244" s="768">
        <f t="shared" si="116"/>
        <v>46477</v>
      </c>
      <c r="D244" s="1079">
        <v>101527</v>
      </c>
      <c r="E244" s="769"/>
      <c r="F244" s="769" t="str">
        <f>IFERROR(VLOOKUP(G244,Recria[[Granja Recria]:[Emp+CC]],4,0),"")</f>
        <v>10_328</v>
      </c>
      <c r="G244" s="770" t="s">
        <v>44</v>
      </c>
      <c r="H244" s="771" t="str">
        <f>IFERROR(VLOOKUP(G244,Recria[[Granja Recria]:[Núcleo]],2,0),"")</f>
        <v>(N3)</v>
      </c>
      <c r="I244" s="772"/>
      <c r="J244" s="766" t="s">
        <v>45</v>
      </c>
      <c r="K244" s="766">
        <v>49</v>
      </c>
      <c r="L244" s="812" t="str">
        <f>VLOOKUP(M244,Raca_Linhagem[],2,0)</f>
        <v>COBB</v>
      </c>
      <c r="M244" s="813" t="s">
        <v>21</v>
      </c>
      <c r="N244" s="674">
        <f t="shared" si="100"/>
        <v>46624</v>
      </c>
      <c r="O244" s="675"/>
      <c r="P244" s="675" t="str">
        <f>IFERROR(VLOOKUP(Q244,Producao[[Granja Produção]:[Emp+CC]],4,0),"")</f>
        <v>81_826</v>
      </c>
      <c r="Q244" s="676" t="s">
        <v>257</v>
      </c>
      <c r="R244" s="677" t="str">
        <f>IFERROR(VLOOKUP(Q244,Producao[[Granja Produção]:[Núcleo]],2,0),"")</f>
        <v>(N4)</v>
      </c>
      <c r="S244" s="702">
        <v>21000</v>
      </c>
      <c r="T244" s="679">
        <f t="shared" si="153"/>
        <v>46938</v>
      </c>
      <c r="U244" s="680">
        <v>66</v>
      </c>
      <c r="V244" s="682"/>
      <c r="W244" s="681">
        <f t="shared" si="154"/>
        <v>46938</v>
      </c>
      <c r="X244" s="811" t="e">
        <f>VLOOKUP(Q244,Q301:Q476,1,0)</f>
        <v>#N/A</v>
      </c>
      <c r="Y244" s="1229" t="str">
        <f t="shared" ref="Y244" si="177">G244&amp;D244</f>
        <v>Santa Tereza 3 - PR101527</v>
      </c>
      <c r="Z244" s="818">
        <f>SUMIF($Y$114:$Y$314,Y244,$S$114:$S$1288)</f>
        <v>36000</v>
      </c>
      <c r="AA244" s="821"/>
      <c r="AC244" s="1316" t="str">
        <f t="shared" si="173"/>
        <v>Potreiro 4 - SP</v>
      </c>
      <c r="AD244" s="1317">
        <f t="shared" si="174"/>
        <v>46477</v>
      </c>
      <c r="AE244" s="1317">
        <f t="shared" si="175"/>
        <v>46624</v>
      </c>
      <c r="AF244" s="1317">
        <f t="shared" si="176"/>
        <v>46938</v>
      </c>
      <c r="AG244" s="1315" t="str">
        <f t="shared" si="130"/>
        <v>500 SLOW - MALE</v>
      </c>
      <c r="AH244" s="1315" t="str">
        <f t="shared" si="131"/>
        <v>COBB</v>
      </c>
      <c r="AJ244" s="818"/>
    </row>
    <row r="245" spans="1:36" s="824" customFormat="1">
      <c r="A245" s="1105" t="s">
        <v>17</v>
      </c>
      <c r="B245" s="781">
        <f>N196+K196</f>
        <v>46490</v>
      </c>
      <c r="C245" s="1106">
        <f t="shared" si="116"/>
        <v>46490</v>
      </c>
      <c r="D245" s="1127">
        <v>101727</v>
      </c>
      <c r="E245" s="1107"/>
      <c r="F245" s="1107" t="str">
        <f>IFERROR(VLOOKUP(G245,Recria[[Granja Recria]:[Emp+CC]],4,0),"")</f>
        <v>10_776</v>
      </c>
      <c r="G245" s="1108" t="s">
        <v>89</v>
      </c>
      <c r="H245" s="1109" t="str">
        <f>IFERROR(VLOOKUP(G245,Recria[[Granja Recria]:[Núcleo]],2,0),"")</f>
        <v>(N3)</v>
      </c>
      <c r="I245" s="1110">
        <v>74000</v>
      </c>
      <c r="J245" s="1105" t="s">
        <v>45</v>
      </c>
      <c r="K245" s="1105">
        <v>49</v>
      </c>
      <c r="L245" s="1118" t="str">
        <f>VLOOKUP(M245,Raca_Linhagem[],2,0)</f>
        <v>ROSS</v>
      </c>
      <c r="M245" s="1118" t="s">
        <v>26</v>
      </c>
      <c r="N245" s="1106">
        <f t="shared" ref="N245" si="178">C245+(22*7)-7</f>
        <v>46637</v>
      </c>
      <c r="O245" s="1105"/>
      <c r="P245" s="1105" t="str">
        <f>IFERROR(VLOOKUP(Q245,Producao[[Granja Produção]:[Emp+CC]],4,0),"")</f>
        <v>10_1027</v>
      </c>
      <c r="Q245" s="1111" t="s">
        <v>71</v>
      </c>
      <c r="R245" s="1105" t="str">
        <f>IFERROR(VLOOKUP(Q245,Producao[[Granja Produção]:[Núcleo]],2,0),"")</f>
        <v>(N1)</v>
      </c>
      <c r="S245" s="1110">
        <f t="shared" ref="S245" si="179">I245*0.955</f>
        <v>70670</v>
      </c>
      <c r="T245" s="1112">
        <f t="shared" ref="T245" si="180">C245+(U245*7)-1</f>
        <v>46951</v>
      </c>
      <c r="U245" s="1113">
        <v>66</v>
      </c>
      <c r="V245" s="1114"/>
      <c r="W245" s="1115">
        <f t="shared" ref="W245" si="181">IFERROR(T245+V245," ")</f>
        <v>46951</v>
      </c>
      <c r="X245" s="1116" t="e">
        <f>VLOOKUP(Q245,Q311:Q476,1,0)</f>
        <v>#N/A</v>
      </c>
      <c r="Y245" s="1229" t="str">
        <f t="shared" si="103"/>
        <v>Panorama 3 - PR101727</v>
      </c>
      <c r="Z245" s="818">
        <f>SUMIF($Y$114:$Y$314,Y245,$S$114:$S$1288)</f>
        <v>70670</v>
      </c>
      <c r="AA245" s="1117"/>
      <c r="AC245" s="1316" t="str">
        <f t="shared" si="173"/>
        <v>Bragapolis - PR</v>
      </c>
      <c r="AD245" s="1317">
        <f t="shared" si="174"/>
        <v>46490</v>
      </c>
      <c r="AE245" s="1317">
        <f t="shared" si="175"/>
        <v>46637</v>
      </c>
      <c r="AF245" s="1317">
        <f t="shared" si="176"/>
        <v>46951</v>
      </c>
      <c r="AG245" s="1315" t="str">
        <f t="shared" si="130"/>
        <v>AP95 - 344</v>
      </c>
      <c r="AH245" s="1315" t="str">
        <f t="shared" si="131"/>
        <v>ROSS</v>
      </c>
      <c r="AJ245" s="818"/>
    </row>
    <row r="246" spans="1:36" s="824" customFormat="1">
      <c r="A246" s="1105" t="s">
        <v>17</v>
      </c>
      <c r="B246" s="781">
        <f>N199+K199</f>
        <v>46497</v>
      </c>
      <c r="C246" s="1106">
        <f t="shared" si="116"/>
        <v>46497</v>
      </c>
      <c r="D246" s="1127">
        <v>101927</v>
      </c>
      <c r="E246" s="1119">
        <v>130</v>
      </c>
      <c r="F246" s="1107" t="str">
        <f>IFERROR(VLOOKUP(G246,Recria[[Granja Recria]:[Emp+CC]],4,0),"")</f>
        <v>10_169</v>
      </c>
      <c r="G246" s="1108" t="s">
        <v>95</v>
      </c>
      <c r="H246" s="1109" t="str">
        <f>IFERROR(VLOOKUP(G246,Recria[[Granja Recria]:[Núcleo]],2,0),"")</f>
        <v>(N1)</v>
      </c>
      <c r="I246" s="1110">
        <v>42000</v>
      </c>
      <c r="J246" s="1105" t="s">
        <v>60</v>
      </c>
      <c r="K246" s="1105">
        <v>25</v>
      </c>
      <c r="L246" s="1118" t="str">
        <f>VLOOKUP(M246,Raca_Linhagem[],2,0)</f>
        <v>COBB</v>
      </c>
      <c r="M246" s="1120" t="s">
        <v>37</v>
      </c>
      <c r="N246" s="1106">
        <f t="shared" si="100"/>
        <v>46644</v>
      </c>
      <c r="O246" s="1105"/>
      <c r="P246" s="1105" t="str">
        <f>IFERROR(VLOOKUP(Q246,Producao[[Granja Produção]:[Emp+CC]],4,0),"")</f>
        <v>84_159</v>
      </c>
      <c r="Q246" s="1111" t="s">
        <v>73</v>
      </c>
      <c r="R246" s="1105" t="str">
        <f>IFERROR(VLOOKUP(Q246,Producao[[Granja Produção]:[Núcleo]],2,0),"")</f>
        <v>(N1)</v>
      </c>
      <c r="S246" s="1110">
        <v>27000</v>
      </c>
      <c r="T246" s="1112">
        <f t="shared" si="153"/>
        <v>46958</v>
      </c>
      <c r="U246" s="1113">
        <v>66</v>
      </c>
      <c r="V246" s="1114"/>
      <c r="W246" s="1115">
        <f t="shared" si="154"/>
        <v>46958</v>
      </c>
      <c r="X246" s="1116" t="e">
        <f>VLOOKUP(Q246,Q312:Q478,1,0)</f>
        <v>#N/A</v>
      </c>
      <c r="Y246" s="1229" t="str">
        <f t="shared" si="103"/>
        <v>N. S. Carmo 1 - PR101927</v>
      </c>
      <c r="Z246" s="818">
        <f>SUMIF($Y$114:$Y$314,Y246,$S$114:$S$1288)</f>
        <v>40000</v>
      </c>
      <c r="AA246" s="1117"/>
      <c r="AC246" s="1316" t="str">
        <f t="shared" si="173"/>
        <v>Faxinal 1 - SC</v>
      </c>
      <c r="AD246" s="1317">
        <f t="shared" si="174"/>
        <v>46497</v>
      </c>
      <c r="AE246" s="1317">
        <f t="shared" si="175"/>
        <v>46644</v>
      </c>
      <c r="AF246" s="1317">
        <f t="shared" si="176"/>
        <v>46958</v>
      </c>
      <c r="AG246" s="1315" t="str">
        <f t="shared" si="130"/>
        <v>500 SLOW - MALE JBS</v>
      </c>
      <c r="AH246" s="1315" t="str">
        <f t="shared" si="131"/>
        <v>COBB</v>
      </c>
      <c r="AJ246" s="818"/>
    </row>
    <row r="247" spans="1:36" s="824" customFormat="1">
      <c r="A247" s="1105" t="s">
        <v>17</v>
      </c>
      <c r="B247" s="781">
        <f>N199+K199</f>
        <v>46497</v>
      </c>
      <c r="C247" s="1106">
        <f t="shared" si="116"/>
        <v>46497</v>
      </c>
      <c r="D247" s="1127">
        <v>101927</v>
      </c>
      <c r="E247" s="1119">
        <v>130</v>
      </c>
      <c r="F247" s="1107" t="str">
        <f>IFERROR(VLOOKUP(G247,Recria[[Granja Recria]:[Emp+CC]],4,0),"")</f>
        <v>10_169</v>
      </c>
      <c r="G247" s="1108" t="s">
        <v>95</v>
      </c>
      <c r="H247" s="1109" t="str">
        <f>IFERROR(VLOOKUP(G247,Recria[[Granja Recria]:[Núcleo]],2,0),"")</f>
        <v>(N1)</v>
      </c>
      <c r="I247" s="1110"/>
      <c r="J247" s="1105" t="s">
        <v>60</v>
      </c>
      <c r="K247" s="1105">
        <v>25</v>
      </c>
      <c r="L247" s="1118" t="str">
        <f>VLOOKUP(M247,Raca_Linhagem[],2,0)</f>
        <v>COBB</v>
      </c>
      <c r="M247" s="1120" t="s">
        <v>37</v>
      </c>
      <c r="N247" s="1106">
        <f t="shared" ref="N247" si="182">C247+(22*7)-7</f>
        <v>46644</v>
      </c>
      <c r="O247" s="1105"/>
      <c r="P247" s="1105" t="str">
        <f>IFERROR(VLOOKUP(Q247,Producao[[Granja Produção]:[Emp+CC]],4,0),"")</f>
        <v>84_162</v>
      </c>
      <c r="Q247" s="1111" t="s">
        <v>93</v>
      </c>
      <c r="R247" s="1105" t="str">
        <f>IFERROR(VLOOKUP(Q247,Producao[[Granja Produção]:[Núcleo]],2,0),"")</f>
        <v>(N2)</v>
      </c>
      <c r="S247" s="1110">
        <v>13000</v>
      </c>
      <c r="T247" s="1112">
        <f t="shared" ref="T247" si="183">C247+(U247*7)-1</f>
        <v>46958</v>
      </c>
      <c r="U247" s="1113">
        <v>66</v>
      </c>
      <c r="V247" s="1114"/>
      <c r="W247" s="1115">
        <f t="shared" ref="W247" si="184">IFERROR(T247+V247," ")</f>
        <v>46958</v>
      </c>
      <c r="X247" s="1116" t="e">
        <f>VLOOKUP(Q247,Q313:Q479,1,0)</f>
        <v>#N/A</v>
      </c>
      <c r="Y247" s="1229" t="str">
        <f t="shared" ref="Y247" si="185">G247&amp;D247</f>
        <v>N. S. Carmo 1 - PR101927</v>
      </c>
      <c r="Z247" s="818">
        <f>SUMIF($Y$114:$Y$314,Y247,$S$114:$S$1288)</f>
        <v>40000</v>
      </c>
      <c r="AA247" s="1117"/>
      <c r="AC247" s="1316" t="str">
        <f t="shared" si="173"/>
        <v>Faxinal 2 - SC</v>
      </c>
      <c r="AD247" s="1317">
        <f t="shared" si="174"/>
        <v>46497</v>
      </c>
      <c r="AE247" s="1317">
        <f t="shared" si="175"/>
        <v>46644</v>
      </c>
      <c r="AF247" s="1317">
        <f t="shared" si="176"/>
        <v>46958</v>
      </c>
      <c r="AG247" s="1315" t="str">
        <f t="shared" si="130"/>
        <v>500 SLOW - MALE JBS</v>
      </c>
      <c r="AH247" s="1315" t="str">
        <f t="shared" si="131"/>
        <v>COBB</v>
      </c>
      <c r="AJ247" s="818"/>
    </row>
    <row r="248" spans="1:36" s="824" customFormat="1">
      <c r="A248" s="1289" t="s">
        <v>17</v>
      </c>
      <c r="B248" s="1290">
        <f>N201+K201</f>
        <v>46504</v>
      </c>
      <c r="C248" s="1291">
        <f t="shared" si="116"/>
        <v>46504</v>
      </c>
      <c r="D248" s="1292">
        <v>102227</v>
      </c>
      <c r="E248" s="1293"/>
      <c r="F248" s="1294" t="str">
        <f>IFERROR(VLOOKUP(G248,Recria[[Granja Recria]:[Emp+CC]],4,0),"")</f>
        <v>112_1939</v>
      </c>
      <c r="G248" s="1295" t="s">
        <v>83</v>
      </c>
      <c r="H248" s="1296" t="str">
        <f>IFERROR(VLOOKUP(G248,Recria[[Granja Recria]:[Núcleo]],2,0),"")</f>
        <v>(N4)</v>
      </c>
      <c r="I248" s="1297">
        <v>84000</v>
      </c>
      <c r="J248" s="1289" t="s">
        <v>20</v>
      </c>
      <c r="K248" s="1289">
        <v>25</v>
      </c>
      <c r="L248" s="1105" t="str">
        <f>VLOOKUP(M248,Raca_Linhagem[],2,0)</f>
        <v>COBB</v>
      </c>
      <c r="M248" s="1105" t="s">
        <v>21</v>
      </c>
      <c r="N248" s="1303">
        <f>C248+(22*7)-7</f>
        <v>46651</v>
      </c>
      <c r="O248" s="1304"/>
      <c r="P248" s="1304" t="str">
        <f>IFERROR(VLOOKUP(Q248,Producao[[Granja Produção]:[Emp+CC]],4,0),"")</f>
        <v/>
      </c>
      <c r="Q248" s="1305" t="s">
        <v>255</v>
      </c>
      <c r="R248" s="1304" t="str">
        <f>IFERROR(VLOOKUP(Q248,Producao[[Granja Produção]:[Núcleo]],2,0),"")</f>
        <v/>
      </c>
      <c r="S248" s="1307">
        <v>80000</v>
      </c>
      <c r="T248" s="1308">
        <f>C248+(U248*7)-1</f>
        <v>46965</v>
      </c>
      <c r="U248" s="1309">
        <v>66</v>
      </c>
      <c r="V248" s="1310"/>
      <c r="W248" s="1311">
        <f>IFERROR(T248+V248," ")</f>
        <v>46965</v>
      </c>
      <c r="X248" s="1116" t="e">
        <f>VLOOKUP(Q248,Q320:Q485,1,0)</f>
        <v>#N/A</v>
      </c>
      <c r="Y248" s="1229" t="str">
        <f>G248&amp;D248</f>
        <v>Pluma 4 - PR102227</v>
      </c>
      <c r="Z248" s="818">
        <f>SUMIF($Y$114:$Y$314,Y248,$S$114:$S$1288)</f>
        <v>80000</v>
      </c>
      <c r="AA248" s="1117"/>
      <c r="AC248" s="1316" t="str">
        <f>Q248</f>
        <v>C.VALE</v>
      </c>
      <c r="AD248" s="1317">
        <f>C248</f>
        <v>46504</v>
      </c>
      <c r="AE248" s="1317">
        <f>N248</f>
        <v>46651</v>
      </c>
      <c r="AF248" s="1317">
        <f>T248</f>
        <v>46965</v>
      </c>
      <c r="AG248" s="1315" t="str">
        <f>M248</f>
        <v>500 SLOW - MALE</v>
      </c>
      <c r="AH248" s="1315" t="str">
        <f>L248</f>
        <v>COBB</v>
      </c>
      <c r="AJ248" s="818"/>
    </row>
    <row r="249" spans="1:36" s="824" customFormat="1">
      <c r="A249" s="1105" t="s">
        <v>17</v>
      </c>
      <c r="B249" s="781">
        <f>N191+K191</f>
        <v>46500</v>
      </c>
      <c r="C249" s="1106">
        <f t="shared" si="116"/>
        <v>46500</v>
      </c>
      <c r="D249" s="1127">
        <v>102327</v>
      </c>
      <c r="E249" s="1107"/>
      <c r="F249" s="1107" t="str">
        <f>IFERROR(VLOOKUP(G249,Recria[[Granja Recria]:[Emp+CC]],4,0),"")</f>
        <v>112_16</v>
      </c>
      <c r="G249" s="1108" t="s">
        <v>79</v>
      </c>
      <c r="H249" s="1109" t="str">
        <f>IFERROR(VLOOKUP(G249,Recria[[Granja Recria]:[Núcleo]],2,0),"")</f>
        <v>(N3)</v>
      </c>
      <c r="I249" s="1110">
        <v>61000</v>
      </c>
      <c r="J249" s="1105" t="s">
        <v>60</v>
      </c>
      <c r="K249" s="1105">
        <v>25</v>
      </c>
      <c r="L249" s="1120" t="str">
        <f>VLOOKUP(M249,Raca_Linhagem[],2,0)</f>
        <v>ROSS</v>
      </c>
      <c r="M249" s="1118" t="s">
        <v>26</v>
      </c>
      <c r="N249" s="1106">
        <f>C249+(22*7)-7</f>
        <v>46647</v>
      </c>
      <c r="O249" s="1105"/>
      <c r="P249" s="1105" t="str">
        <f>IFERROR(VLOOKUP(Q249,Producao[[Granja Produção]:[Emp+CC]],4,0),"")</f>
        <v>116_2296</v>
      </c>
      <c r="Q249" s="1111" t="s">
        <v>238</v>
      </c>
      <c r="R249" s="1105" t="str">
        <f>IFERROR(VLOOKUP(Q249,Producao[[Granja Produção]:[Núcleo]],2,0),"")</f>
        <v>(N2)</v>
      </c>
      <c r="S249" s="1110">
        <f>I249*0.955</f>
        <v>58255</v>
      </c>
      <c r="T249" s="1112">
        <f>C249+(U249*7)-1</f>
        <v>46961</v>
      </c>
      <c r="U249" s="1113">
        <v>66</v>
      </c>
      <c r="V249" s="1114"/>
      <c r="W249" s="1115">
        <f>IFERROR(T249+V249," ")</f>
        <v>46961</v>
      </c>
      <c r="X249" s="1116" t="e">
        <f>VLOOKUP(Q249,Q316:Q481,1,0)</f>
        <v>#N/A</v>
      </c>
      <c r="Y249" s="1229" t="str">
        <f>G249&amp;D249</f>
        <v>Pluma 3 - PR102327</v>
      </c>
      <c r="Z249" s="818">
        <f>SUMIF($Y$114:$Y$314,Y249,$S$114:$S$1288)</f>
        <v>58255</v>
      </c>
      <c r="AA249" s="1117"/>
      <c r="AC249" s="1316" t="str">
        <f>Q249</f>
        <v>Vora 2 - PR</v>
      </c>
      <c r="AD249" s="1317">
        <f>C249</f>
        <v>46500</v>
      </c>
      <c r="AE249" s="1317">
        <f>N249</f>
        <v>46647</v>
      </c>
      <c r="AF249" s="1317">
        <f>T249</f>
        <v>46961</v>
      </c>
      <c r="AG249" s="1315" t="str">
        <f>M249</f>
        <v>AP95 - 344</v>
      </c>
      <c r="AH249" s="1315" t="str">
        <f>L249</f>
        <v>ROSS</v>
      </c>
      <c r="AJ249" s="818"/>
    </row>
    <row r="250" spans="1:36" s="824" customFormat="1">
      <c r="A250" s="1105" t="s">
        <v>17</v>
      </c>
      <c r="B250" s="781">
        <f>N206+K206</f>
        <v>46506</v>
      </c>
      <c r="C250" s="1106">
        <f t="shared" si="116"/>
        <v>46506</v>
      </c>
      <c r="D250" s="1127">
        <v>102427</v>
      </c>
      <c r="E250" s="1107"/>
      <c r="F250" s="1107" t="str">
        <f>IFERROR(VLOOKUP(G250,Recria[[Granja Recria]:[Emp+CC]],4,0),"")</f>
        <v>10_369</v>
      </c>
      <c r="G250" s="1108" t="s">
        <v>104</v>
      </c>
      <c r="H250" s="1109" t="str">
        <f>IFERROR(VLOOKUP(G250,Recria[[Granja Recria]:[Núcleo]],2,0),"")</f>
        <v>(N2)</v>
      </c>
      <c r="I250" s="1110">
        <v>66000</v>
      </c>
      <c r="J250" s="1105" t="s">
        <v>45</v>
      </c>
      <c r="K250" s="1105">
        <v>50</v>
      </c>
      <c r="L250" s="1105" t="str">
        <f>VLOOKUP(M250,Raca_Linhagem[],2,0)</f>
        <v>ROSS</v>
      </c>
      <c r="M250" s="1118" t="s">
        <v>26</v>
      </c>
      <c r="N250" s="1106">
        <f t="shared" si="100"/>
        <v>46653</v>
      </c>
      <c r="O250" s="1105"/>
      <c r="P250" s="1105" t="str">
        <f>IFERROR(VLOOKUP(Q250,Producao[[Granja Produção]:[Emp+CC]],4,0),"")</f>
        <v>116_2296</v>
      </c>
      <c r="Q250" s="1111" t="s">
        <v>238</v>
      </c>
      <c r="R250" s="1105" t="str">
        <f>IFERROR(VLOOKUP(Q250,Producao[[Granja Produção]:[Núcleo]],2,0),"")</f>
        <v>(N2)</v>
      </c>
      <c r="S250" s="1110">
        <v>23000</v>
      </c>
      <c r="T250" s="1112">
        <f t="shared" si="153"/>
        <v>46967</v>
      </c>
      <c r="U250" s="1113">
        <v>66</v>
      </c>
      <c r="V250" s="1114"/>
      <c r="W250" s="1115">
        <f t="shared" si="154"/>
        <v>46967</v>
      </c>
      <c r="X250" s="1116" t="e">
        <f>VLOOKUP(Q250,Q315:Q480,1,0)</f>
        <v>#N/A</v>
      </c>
      <c r="Y250" s="1229" t="str">
        <f t="shared" si="103"/>
        <v>Panorama 2 - PR102427</v>
      </c>
      <c r="Z250" s="818">
        <f>SUMIF($Y$114:$Y$314,Y250,$S$114:$S$1288)</f>
        <v>63000</v>
      </c>
      <c r="AA250" s="1117"/>
      <c r="AC250" s="1316" t="str">
        <f t="shared" si="173"/>
        <v>Vora 2 - PR</v>
      </c>
      <c r="AD250" s="1317">
        <f t="shared" si="174"/>
        <v>46506</v>
      </c>
      <c r="AE250" s="1317">
        <f t="shared" si="175"/>
        <v>46653</v>
      </c>
      <c r="AF250" s="1317">
        <f t="shared" si="176"/>
        <v>46967</v>
      </c>
      <c r="AG250" s="1315" t="str">
        <f t="shared" si="130"/>
        <v>AP95 - 344</v>
      </c>
      <c r="AH250" s="1315" t="str">
        <f t="shared" si="131"/>
        <v>ROSS</v>
      </c>
      <c r="AJ250" s="818"/>
    </row>
    <row r="251" spans="1:36" s="824" customFormat="1">
      <c r="A251" s="1105" t="s">
        <v>17</v>
      </c>
      <c r="B251" s="781">
        <f>N206+K206</f>
        <v>46506</v>
      </c>
      <c r="C251" s="1106">
        <f t="shared" si="116"/>
        <v>46506</v>
      </c>
      <c r="D251" s="1127">
        <v>102427</v>
      </c>
      <c r="E251" s="1107"/>
      <c r="F251" s="1107" t="str">
        <f>IFERROR(VLOOKUP(G251,Recria[[Granja Recria]:[Emp+CC]],4,0),"")</f>
        <v>10_369</v>
      </c>
      <c r="G251" s="1108" t="s">
        <v>104</v>
      </c>
      <c r="H251" s="1109" t="str">
        <f>IFERROR(VLOOKUP(G251,Recria[[Granja Recria]:[Núcleo]],2,0),"")</f>
        <v>(N2)</v>
      </c>
      <c r="I251" s="1110"/>
      <c r="J251" s="1105" t="s">
        <v>45</v>
      </c>
      <c r="K251" s="1105">
        <v>50</v>
      </c>
      <c r="L251" s="1105" t="str">
        <f>VLOOKUP(M251,Raca_Linhagem[],2,0)</f>
        <v>ROSS</v>
      </c>
      <c r="M251" s="1118" t="s">
        <v>26</v>
      </c>
      <c r="N251" s="1106">
        <f t="shared" ref="N251" si="186">C251+(22*7)-7</f>
        <v>46653</v>
      </c>
      <c r="O251" s="1105"/>
      <c r="P251" s="1105" t="str">
        <f>IFERROR(VLOOKUP(Q251,Producao[[Granja Produção]:[Emp+CC]],4,0),"")</f>
        <v>10_1460</v>
      </c>
      <c r="Q251" s="1111" t="s">
        <v>92</v>
      </c>
      <c r="R251" s="1105" t="str">
        <f>IFERROR(VLOOKUP(Q251,Producao[[Granja Produção]:[Núcleo]],2,0),"")</f>
        <v>(N3)</v>
      </c>
      <c r="S251" s="1110">
        <v>40000</v>
      </c>
      <c r="T251" s="1112">
        <f t="shared" ref="T251" si="187">C251+(U251*7)-1</f>
        <v>46967</v>
      </c>
      <c r="U251" s="1113">
        <v>66</v>
      </c>
      <c r="V251" s="1114"/>
      <c r="W251" s="1115">
        <f t="shared" ref="W251" si="188">IFERROR(T251+V251," ")</f>
        <v>46967</v>
      </c>
      <c r="X251" s="1116" t="e">
        <f>VLOOKUP(Q251,Q316:Q481,1,0)</f>
        <v>#N/A</v>
      </c>
      <c r="Y251" s="1229" t="str">
        <f t="shared" ref="Y251" si="189">G251&amp;D251</f>
        <v>Panorama 2 - PR102427</v>
      </c>
      <c r="Z251" s="818">
        <f>SUMIF($Y$114:$Y$314,Y251,$S$114:$S$1288)</f>
        <v>63000</v>
      </c>
      <c r="AA251" s="1117"/>
      <c r="AC251" s="1316" t="str">
        <f t="shared" si="173"/>
        <v>Iguaçu 2 - PR</v>
      </c>
      <c r="AD251" s="1317">
        <f t="shared" si="174"/>
        <v>46506</v>
      </c>
      <c r="AE251" s="1317">
        <f t="shared" si="175"/>
        <v>46653</v>
      </c>
      <c r="AF251" s="1317">
        <f t="shared" si="176"/>
        <v>46967</v>
      </c>
      <c r="AG251" s="1315" t="str">
        <f t="shared" si="130"/>
        <v>AP95 - 344</v>
      </c>
      <c r="AH251" s="1315" t="str">
        <f t="shared" si="131"/>
        <v>ROSS</v>
      </c>
      <c r="AJ251" s="818"/>
    </row>
    <row r="252" spans="1:36" s="824" customFormat="1">
      <c r="A252" s="1105" t="s">
        <v>17</v>
      </c>
      <c r="B252" s="781">
        <f>N195+K195</f>
        <v>46518</v>
      </c>
      <c r="C252" s="1106">
        <f t="shared" si="116"/>
        <v>46518</v>
      </c>
      <c r="D252" s="1127">
        <v>102127</v>
      </c>
      <c r="E252" s="1107"/>
      <c r="F252" s="1107" t="str">
        <f>IFERROR(VLOOKUP(G252,Recria[[Granja Recria]:[Emp+CC]],4,0),"")</f>
        <v>10_1938</v>
      </c>
      <c r="G252" s="1108" t="s">
        <v>75</v>
      </c>
      <c r="H252" s="1109" t="str">
        <f>IFERROR(VLOOKUP(G252,Recria[[Granja Recria]:[Núcleo]],2,0),"")</f>
        <v>(N1)</v>
      </c>
      <c r="I252" s="1110">
        <v>45000</v>
      </c>
      <c r="J252" s="1105" t="s">
        <v>60</v>
      </c>
      <c r="K252" s="1105">
        <v>25</v>
      </c>
      <c r="L252" s="1105" t="str">
        <f>VLOOKUP(M252,Raca_Linhagem[],2,0)</f>
        <v>ROSS</v>
      </c>
      <c r="M252" s="1118" t="s">
        <v>26</v>
      </c>
      <c r="N252" s="1106">
        <f>C252+(22*7)-7</f>
        <v>46665</v>
      </c>
      <c r="O252" s="1105"/>
      <c r="P252" s="1105" t="str">
        <f>IFERROR(VLOOKUP(Q252,Producao[[Granja Produção]:[Emp+CC]],4,0),"")</f>
        <v>25_53</v>
      </c>
      <c r="Q252" s="1111" t="s">
        <v>77</v>
      </c>
      <c r="R252" s="1105" t="str">
        <f>IFERROR(VLOOKUP(Q252,Producao[[Granja Produção]:[Núcleo]],2,0),"")</f>
        <v>(N1)</v>
      </c>
      <c r="S252" s="1110">
        <f>I252*0.955</f>
        <v>42975</v>
      </c>
      <c r="T252" s="1112">
        <f>C252+(U252*7)-1</f>
        <v>46979</v>
      </c>
      <c r="U252" s="1113">
        <v>66</v>
      </c>
      <c r="V252" s="1114"/>
      <c r="W252" s="1115">
        <f>IFERROR(T252+V252," ")</f>
        <v>46979</v>
      </c>
      <c r="X252" s="1116" t="e">
        <f>VLOOKUP(Q252,Q317:Q482,1,0)</f>
        <v>#N/A</v>
      </c>
      <c r="Y252" s="1229" t="str">
        <f>G252&amp;D252</f>
        <v>São Fco de Assis - PR102127</v>
      </c>
      <c r="Z252" s="818">
        <f>SUMIF($Y$114:$Y$314,Y252,$S$114:$S$1288)</f>
        <v>42975</v>
      </c>
      <c r="AA252" s="1117"/>
      <c r="AC252" s="1316" t="str">
        <f>Q252</f>
        <v>Mariott - PR</v>
      </c>
      <c r="AD252" s="1317">
        <f>C252</f>
        <v>46518</v>
      </c>
      <c r="AE252" s="1317">
        <f>N252</f>
        <v>46665</v>
      </c>
      <c r="AF252" s="1317">
        <f>T252</f>
        <v>46979</v>
      </c>
      <c r="AG252" s="1315" t="str">
        <f>M252</f>
        <v>AP95 - 344</v>
      </c>
      <c r="AH252" s="1315" t="str">
        <f>L252</f>
        <v>ROSS</v>
      </c>
      <c r="AJ252" s="818"/>
    </row>
    <row r="253" spans="1:36" s="824" customFormat="1">
      <c r="A253" s="1105" t="s">
        <v>17</v>
      </c>
      <c r="B253" s="781">
        <f>N211+K211</f>
        <v>46525</v>
      </c>
      <c r="C253" s="1106">
        <f t="shared" si="116"/>
        <v>46525</v>
      </c>
      <c r="D253" s="1127">
        <v>102527</v>
      </c>
      <c r="E253" s="1119">
        <v>131</v>
      </c>
      <c r="F253" s="1107" t="str">
        <f>IFERROR(VLOOKUP(G253,Recria[[Granja Recria]:[Emp+CC]],4,0),"")</f>
        <v>27_181</v>
      </c>
      <c r="G253" s="1108" t="s">
        <v>111</v>
      </c>
      <c r="H253" s="1109" t="str">
        <f>IFERROR(VLOOKUP(G253,Recria[[Granja Recria]:[Núcleo]],2,0),"")</f>
        <v>(N2)</v>
      </c>
      <c r="I253" s="1110">
        <v>43000</v>
      </c>
      <c r="J253" s="1105" t="s">
        <v>45</v>
      </c>
      <c r="K253" s="1105">
        <v>49</v>
      </c>
      <c r="L253" s="1118" t="str">
        <f>VLOOKUP(M253,Raca_Linhagem[],2,0)</f>
        <v>ROSS</v>
      </c>
      <c r="M253" s="1105" t="s">
        <v>31</v>
      </c>
      <c r="N253" s="1106">
        <f t="shared" si="100"/>
        <v>46672</v>
      </c>
      <c r="O253" s="1105"/>
      <c r="P253" s="1105" t="str">
        <f>IFERROR(VLOOKUP(Q253,Producao[[Granja Produção]:[Emp+CC]],4,0),"")</f>
        <v>10_1460</v>
      </c>
      <c r="Q253" s="1111" t="s">
        <v>92</v>
      </c>
      <c r="R253" s="1105" t="str">
        <f>IFERROR(VLOOKUP(Q253,Producao[[Granja Produção]:[Núcleo]],2,0),"")</f>
        <v>(N3)</v>
      </c>
      <c r="S253" s="1110">
        <v>17000</v>
      </c>
      <c r="T253" s="1112">
        <f t="shared" si="153"/>
        <v>46986</v>
      </c>
      <c r="U253" s="1113">
        <v>66</v>
      </c>
      <c r="V253" s="1114"/>
      <c r="W253" s="1115">
        <f t="shared" si="154"/>
        <v>46986</v>
      </c>
      <c r="X253" s="1116" t="e">
        <f>VLOOKUP(Q253,Q319:Q484,1,0)</f>
        <v>#N/A</v>
      </c>
      <c r="Y253" s="1229" t="str">
        <f t="shared" si="103"/>
        <v>Rio Chopim 2 - PR102527</v>
      </c>
      <c r="Z253" s="818">
        <f>SUMIF($Y$114:$Y$314,Y253,$S$114:$S$1288)</f>
        <v>41000</v>
      </c>
      <c r="AA253" s="1117"/>
      <c r="AC253" s="1316" t="str">
        <f t="shared" si="173"/>
        <v>Iguaçu 2 - PR</v>
      </c>
      <c r="AD253" s="1317">
        <f t="shared" si="174"/>
        <v>46525</v>
      </c>
      <c r="AE253" s="1317">
        <f t="shared" si="175"/>
        <v>46672</v>
      </c>
      <c r="AF253" s="1317">
        <f t="shared" si="176"/>
        <v>46986</v>
      </c>
      <c r="AG253" s="1315" t="str">
        <f t="shared" si="130"/>
        <v>AP95 - 344  JBS</v>
      </c>
      <c r="AH253" s="1315" t="str">
        <f t="shared" si="131"/>
        <v>ROSS</v>
      </c>
      <c r="AJ253" s="818"/>
    </row>
    <row r="254" spans="1:36" s="824" customFormat="1">
      <c r="A254" s="1105" t="s">
        <v>17</v>
      </c>
      <c r="B254" s="781">
        <f>N211+K211</f>
        <v>46525</v>
      </c>
      <c r="C254" s="1106">
        <f t="shared" si="116"/>
        <v>46525</v>
      </c>
      <c r="D254" s="1127">
        <v>102527</v>
      </c>
      <c r="E254" s="1119">
        <v>131</v>
      </c>
      <c r="F254" s="1107" t="str">
        <f>IFERROR(VLOOKUP(G254,Recria[[Granja Recria]:[Emp+CC]],4,0),"")</f>
        <v>27_181</v>
      </c>
      <c r="G254" s="1108" t="s">
        <v>111</v>
      </c>
      <c r="H254" s="1109" t="str">
        <f>IFERROR(VLOOKUP(G254,Recria[[Granja Recria]:[Núcleo]],2,0),"")</f>
        <v>(N2)</v>
      </c>
      <c r="I254" s="1110"/>
      <c r="J254" s="1105" t="s">
        <v>45</v>
      </c>
      <c r="K254" s="1105">
        <v>49</v>
      </c>
      <c r="L254" s="1118" t="str">
        <f>VLOOKUP(M254,Raca_Linhagem[],2,0)</f>
        <v>ROSS</v>
      </c>
      <c r="M254" s="1105" t="s">
        <v>31</v>
      </c>
      <c r="N254" s="1106">
        <f t="shared" ref="N254" si="190">C254+(22*7)-7</f>
        <v>46672</v>
      </c>
      <c r="O254" s="1105"/>
      <c r="P254" s="1105" t="str">
        <f>IFERROR(VLOOKUP(Q254,Producao[[Granja Produção]:[Emp+CC]],4,0),"")</f>
        <v>10_69</v>
      </c>
      <c r="Q254" s="1111" t="s">
        <v>118</v>
      </c>
      <c r="R254" s="1105" t="str">
        <f>IFERROR(VLOOKUP(Q254,Producao[[Granja Produção]:[Núcleo]],2,0),"")</f>
        <v>(N1)</v>
      </c>
      <c r="S254" s="1110">
        <v>24000</v>
      </c>
      <c r="T254" s="1112">
        <f t="shared" ref="T254" si="191">C254+(U254*7)-1</f>
        <v>46986</v>
      </c>
      <c r="U254" s="1113">
        <v>66</v>
      </c>
      <c r="V254" s="1114"/>
      <c r="W254" s="1115">
        <f t="shared" ref="W254" si="192">IFERROR(T254+V254," ")</f>
        <v>46986</v>
      </c>
      <c r="X254" s="1116" t="e">
        <f>VLOOKUP(Q254,Q320:Q485,1,0)</f>
        <v>#N/A</v>
      </c>
      <c r="Y254" s="1229" t="str">
        <f t="shared" ref="Y254" si="193">G254&amp;D254</f>
        <v>Rio Chopim 2 - PR102527</v>
      </c>
      <c r="Z254" s="818">
        <f>SUMIF($Y$114:$Y$314,Y254,$S$114:$S$1288)</f>
        <v>41000</v>
      </c>
      <c r="AA254" s="1117"/>
      <c r="AC254" s="1316" t="str">
        <f t="shared" si="173"/>
        <v>Flor da serra - PR</v>
      </c>
      <c r="AD254" s="1317">
        <f t="shared" si="174"/>
        <v>46525</v>
      </c>
      <c r="AE254" s="1317">
        <f t="shared" si="175"/>
        <v>46672</v>
      </c>
      <c r="AF254" s="1317">
        <f t="shared" si="176"/>
        <v>46986</v>
      </c>
      <c r="AG254" s="1315" t="str">
        <f t="shared" si="130"/>
        <v>AP95 - 344  JBS</v>
      </c>
      <c r="AH254" s="1315" t="str">
        <f t="shared" si="131"/>
        <v>ROSS</v>
      </c>
      <c r="AJ254" s="818"/>
    </row>
    <row r="255" spans="1:36">
      <c r="A255" s="718" t="s">
        <v>17</v>
      </c>
      <c r="B255" s="758">
        <f>N209+K209</f>
        <v>46526</v>
      </c>
      <c r="C255" s="759">
        <f t="shared" ref="C255:C314" si="194">B255</f>
        <v>46526</v>
      </c>
      <c r="D255" s="1055">
        <v>100827</v>
      </c>
      <c r="E255" s="760" t="s">
        <v>258</v>
      </c>
      <c r="F255" s="760" t="str">
        <f>IFERROR(VLOOKUP(G255,Recria[[Granja Recria]:[Emp+CC]],4,0),"")</f>
        <v/>
      </c>
      <c r="G255" s="764" t="s">
        <v>248</v>
      </c>
      <c r="H255" s="762" t="str">
        <f>IFERROR(VLOOKUP(G255,Recria[[Granja Recria]:[Núcleo]],2,0),"")</f>
        <v/>
      </c>
      <c r="I255" s="763">
        <v>84000</v>
      </c>
      <c r="J255" s="718" t="s">
        <v>45</v>
      </c>
      <c r="K255" s="718">
        <v>49</v>
      </c>
      <c r="L255" s="803" t="str">
        <f>VLOOKUP(M255,Raca_Linhagem[],2,0)</f>
        <v>COBB</v>
      </c>
      <c r="M255" s="803" t="s">
        <v>21</v>
      </c>
      <c r="N255" s="714">
        <f>C255+(22*7)-7</f>
        <v>46673</v>
      </c>
      <c r="O255" s="716"/>
      <c r="P255" s="716" t="str">
        <f>IFERROR(VLOOKUP(Q255,Producao[[Granja Produção]:[Emp+CC]],4,0),"")</f>
        <v>10_2388</v>
      </c>
      <c r="Q255" s="717" t="s">
        <v>259</v>
      </c>
      <c r="R255" s="718" t="str">
        <f>IFERROR(VLOOKUP(Q255,Producao[[Granja Produção]:[Núcleo]],2,0),"")</f>
        <v>(N3)</v>
      </c>
      <c r="S255" s="719">
        <f>I255*0.955</f>
        <v>80220</v>
      </c>
      <c r="T255" s="720">
        <f>C255+(U255*7)-1</f>
        <v>46987</v>
      </c>
      <c r="U255" s="721">
        <v>66</v>
      </c>
      <c r="V255" s="722"/>
      <c r="W255" s="723">
        <f>IFERROR(T255+V255," ")</f>
        <v>46987</v>
      </c>
      <c r="X255" s="802" t="e">
        <f>VLOOKUP(Q255,Q297:Q466,1,0)</f>
        <v>#N/A</v>
      </c>
      <c r="Y255" s="1229" t="str">
        <f>G255&amp;D255</f>
        <v>Uberaba - PR100827</v>
      </c>
      <c r="Z255" s="818">
        <f>SUMIF($Y$114:$Y$314,Y255,$S$114:$S$1288)</f>
        <v>80220</v>
      </c>
      <c r="AA255" s="818"/>
      <c r="AC255" s="1316" t="str">
        <f>Q255</f>
        <v>Uberaba Prod. 2 - PR</v>
      </c>
      <c r="AD255" s="1317">
        <f>C255</f>
        <v>46526</v>
      </c>
      <c r="AE255" s="1317">
        <f>N255</f>
        <v>46673</v>
      </c>
      <c r="AF255" s="1317">
        <f>T255</f>
        <v>46987</v>
      </c>
      <c r="AG255" s="1315" t="str">
        <f>M255</f>
        <v>500 SLOW - MALE</v>
      </c>
      <c r="AH255" s="1315" t="str">
        <f>L255</f>
        <v>COBB</v>
      </c>
      <c r="AJ255" s="818"/>
    </row>
    <row r="256" spans="1:36" s="824" customFormat="1">
      <c r="A256" s="1105" t="s">
        <v>17</v>
      </c>
      <c r="B256" s="781">
        <f>N212+K212</f>
        <v>46530</v>
      </c>
      <c r="C256" s="1106">
        <f t="shared" si="194"/>
        <v>46530</v>
      </c>
      <c r="D256" s="1127">
        <v>102627</v>
      </c>
      <c r="E256" s="1107"/>
      <c r="F256" s="1107" t="str">
        <f>IFERROR(VLOOKUP(G256,Recria[[Granja Recria]:[Emp+CC]],4,0),"")</f>
        <v>10_326</v>
      </c>
      <c r="G256" s="1108" t="s">
        <v>129</v>
      </c>
      <c r="H256" s="1109" t="str">
        <f>IFERROR(VLOOKUP(G256,Recria[[Granja Recria]:[Núcleo]],2,0),"")</f>
        <v>(N1)</v>
      </c>
      <c r="I256" s="1110">
        <v>38000</v>
      </c>
      <c r="J256" s="1105" t="s">
        <v>45</v>
      </c>
      <c r="K256" s="1105">
        <v>55</v>
      </c>
      <c r="L256" s="1105" t="str">
        <f>VLOOKUP(M256,Raca_Linhagem[],2,0)</f>
        <v>ROSS</v>
      </c>
      <c r="M256" s="1118" t="s">
        <v>26</v>
      </c>
      <c r="N256" s="1106">
        <f>C256+(22*7)-7</f>
        <v>46677</v>
      </c>
      <c r="O256" s="1105"/>
      <c r="P256" s="1105" t="str">
        <f>IFERROR(VLOOKUP(Q256,Producao[[Granja Produção]:[Emp+CC]],4,0),"")</f>
        <v>101_1079</v>
      </c>
      <c r="Q256" s="1111" t="s">
        <v>126</v>
      </c>
      <c r="R256" s="1105" t="str">
        <f>IFERROR(VLOOKUP(Q256,Producao[[Granja Produção]:[Núcleo]],2,0),"")</f>
        <v>(N1)</v>
      </c>
      <c r="S256" s="1110">
        <v>31000</v>
      </c>
      <c r="T256" s="1112">
        <f>C256+(U256*7)-1</f>
        <v>46991</v>
      </c>
      <c r="U256" s="1113">
        <v>66</v>
      </c>
      <c r="V256" s="1114"/>
      <c r="W256" s="1115">
        <f>IFERROR(T256+V256," ")</f>
        <v>46991</v>
      </c>
      <c r="X256" s="1116" t="e">
        <f>VLOOKUP(Q256,Q321:Q486,1,0)</f>
        <v>#N/A</v>
      </c>
      <c r="Y256" s="1229" t="str">
        <f>G256&amp;D256</f>
        <v>Santa Tereza 1 - PR102627</v>
      </c>
      <c r="Z256" s="818">
        <f>SUMIF($Y$114:$Y$314,Y256,$S$114:$S$1288)</f>
        <v>36000</v>
      </c>
      <c r="AA256" s="1117"/>
      <c r="AC256" s="1316" t="str">
        <f>Q256</f>
        <v>Ponte serrada 1 - SC</v>
      </c>
      <c r="AD256" s="1317">
        <f>C256</f>
        <v>46530</v>
      </c>
      <c r="AE256" s="1317">
        <f>N256</f>
        <v>46677</v>
      </c>
      <c r="AF256" s="1317">
        <f>T256</f>
        <v>46991</v>
      </c>
      <c r="AG256" s="1315" t="str">
        <f>M256</f>
        <v>AP95 - 344</v>
      </c>
      <c r="AH256" s="1315" t="str">
        <f>L256</f>
        <v>ROSS</v>
      </c>
      <c r="AJ256" s="818"/>
    </row>
    <row r="257" spans="1:36" s="824" customFormat="1">
      <c r="A257" s="1105" t="s">
        <v>17</v>
      </c>
      <c r="B257" s="781">
        <f>N212+K212</f>
        <v>46530</v>
      </c>
      <c r="C257" s="1106">
        <f t="shared" si="194"/>
        <v>46530</v>
      </c>
      <c r="D257" s="1127">
        <v>102627</v>
      </c>
      <c r="E257" s="1107"/>
      <c r="F257" s="1107" t="str">
        <f>IFERROR(VLOOKUP(G257,Recria[[Granja Recria]:[Emp+CC]],4,0),"")</f>
        <v>10_326</v>
      </c>
      <c r="G257" s="1108" t="s">
        <v>129</v>
      </c>
      <c r="H257" s="1109" t="str">
        <f>IFERROR(VLOOKUP(G257,Recria[[Granja Recria]:[Núcleo]],2,0),"")</f>
        <v>(N1)</v>
      </c>
      <c r="I257" s="1110"/>
      <c r="J257" s="1105" t="s">
        <v>45</v>
      </c>
      <c r="K257" s="1105">
        <v>55</v>
      </c>
      <c r="L257" s="1105" t="str">
        <f>VLOOKUP(M257,Raca_Linhagem[],2,0)</f>
        <v>ROSS</v>
      </c>
      <c r="M257" s="1118" t="s">
        <v>26</v>
      </c>
      <c r="N257" s="1106">
        <f t="shared" ref="N257" si="195">C257+(22*7)-7</f>
        <v>46677</v>
      </c>
      <c r="O257" s="1105"/>
      <c r="P257" s="1105" t="str">
        <f>IFERROR(VLOOKUP(Q257,Producao[[Granja Produção]:[Emp+CC]],4,0),"")</f>
        <v>13_1080</v>
      </c>
      <c r="Q257" s="1111" t="s">
        <v>117</v>
      </c>
      <c r="R257" s="1105" t="str">
        <f>IFERROR(VLOOKUP(Q257,Producao[[Granja Produção]:[Núcleo]],2,0),"")</f>
        <v>(N1)</v>
      </c>
      <c r="S257" s="1110">
        <v>5000</v>
      </c>
      <c r="T257" s="1112">
        <f t="shared" ref="T257" si="196">C257+(U257*7)-1</f>
        <v>46991</v>
      </c>
      <c r="U257" s="1113">
        <v>66</v>
      </c>
      <c r="V257" s="1114"/>
      <c r="W257" s="1115">
        <f t="shared" ref="W257" si="197">IFERROR(T257+V257," ")</f>
        <v>46991</v>
      </c>
      <c r="X257" s="1116" t="e">
        <f>VLOOKUP(Q257,Q322:Q487,1,0)</f>
        <v>#N/A</v>
      </c>
      <c r="Y257" s="1229" t="str">
        <f t="shared" ref="Y257" si="198">G257&amp;D257</f>
        <v>Santa Tereza 1 - PR102627</v>
      </c>
      <c r="Z257" s="818">
        <f>SUMIF($Y$114:$Y$314,Y257,$S$114:$S$1288)</f>
        <v>36000</v>
      </c>
      <c r="AA257" s="1117"/>
      <c r="AC257" s="1316" t="str">
        <f>Q257</f>
        <v>Ponte serrada 2 - SC</v>
      </c>
      <c r="AD257" s="1317">
        <f>C257</f>
        <v>46530</v>
      </c>
      <c r="AE257" s="1317">
        <f>N257</f>
        <v>46677</v>
      </c>
      <c r="AF257" s="1317">
        <f>T257</f>
        <v>46991</v>
      </c>
      <c r="AG257" s="1315" t="str">
        <f>M257</f>
        <v>AP95 - 344</v>
      </c>
      <c r="AH257" s="1315" t="str">
        <f>L257</f>
        <v>ROSS</v>
      </c>
      <c r="AJ257" s="818"/>
    </row>
    <row r="258" spans="1:36" s="824" customFormat="1">
      <c r="A258" s="1105" t="s">
        <v>17</v>
      </c>
      <c r="B258" s="781">
        <f>N200+K200</f>
        <v>46530</v>
      </c>
      <c r="C258" s="1106">
        <f t="shared" si="194"/>
        <v>46530</v>
      </c>
      <c r="D258" s="1127">
        <v>102727</v>
      </c>
      <c r="E258" s="1107"/>
      <c r="F258" s="1107" t="str">
        <f>IFERROR(VLOOKUP(G258,Recria[[Granja Recria]:[Emp+CC]],4,0),"")</f>
        <v>112_67</v>
      </c>
      <c r="G258" s="1108" t="s">
        <v>132</v>
      </c>
      <c r="H258" s="1109" t="str">
        <f>IFERROR(VLOOKUP(G258,Recria[[Granja Recria]:[Núcleo]],2,0),"")</f>
        <v>(N2)</v>
      </c>
      <c r="I258" s="1110">
        <v>72000</v>
      </c>
      <c r="J258" s="1105" t="s">
        <v>60</v>
      </c>
      <c r="K258" s="1105">
        <v>23</v>
      </c>
      <c r="L258" s="1118" t="str">
        <f>VLOOKUP(M258,Raca_Linhagem[],2,0)</f>
        <v>COBB</v>
      </c>
      <c r="M258" s="1105" t="s">
        <v>21</v>
      </c>
      <c r="N258" s="1106">
        <f t="shared" si="100"/>
        <v>46677</v>
      </c>
      <c r="O258" s="1105"/>
      <c r="P258" s="1105" t="str">
        <f>IFERROR(VLOOKUP(Q258,Producao[[Granja Produção]:[Emp+CC]],4,0),"")</f>
        <v>13_1080</v>
      </c>
      <c r="Q258" s="1111" t="s">
        <v>117</v>
      </c>
      <c r="R258" s="1105" t="str">
        <f>IFERROR(VLOOKUP(Q258,Producao[[Granja Produção]:[Núcleo]],2,0),"")</f>
        <v>(N1)</v>
      </c>
      <c r="S258" s="1110">
        <v>41000</v>
      </c>
      <c r="T258" s="1112">
        <f t="shared" si="153"/>
        <v>46991</v>
      </c>
      <c r="U258" s="1113">
        <v>66</v>
      </c>
      <c r="V258" s="1114"/>
      <c r="W258" s="1115">
        <f t="shared" si="154"/>
        <v>46991</v>
      </c>
      <c r="X258" s="1116" t="e">
        <f>VLOOKUP(Q258,Q322:Q487,1,0)</f>
        <v>#N/A</v>
      </c>
      <c r="Y258" s="1229" t="str">
        <f t="shared" si="103"/>
        <v>Pluma 2 - PR102727</v>
      </c>
      <c r="Z258" s="818">
        <f>SUMIF($Y$114:$Y$314,Y258,$S$114:$S$1288)</f>
        <v>69000</v>
      </c>
      <c r="AA258" s="1117"/>
      <c r="AC258" s="1316" t="str">
        <f t="shared" si="173"/>
        <v>Ponte serrada 2 - SC</v>
      </c>
      <c r="AD258" s="1317">
        <f t="shared" si="174"/>
        <v>46530</v>
      </c>
      <c r="AE258" s="1317">
        <f t="shared" si="175"/>
        <v>46677</v>
      </c>
      <c r="AF258" s="1317">
        <f t="shared" si="176"/>
        <v>46991</v>
      </c>
      <c r="AG258" s="1315" t="str">
        <f t="shared" si="130"/>
        <v>500 SLOW - MALE</v>
      </c>
      <c r="AH258" s="1315" t="str">
        <f t="shared" si="131"/>
        <v>COBB</v>
      </c>
      <c r="AJ258" s="818"/>
    </row>
    <row r="259" spans="1:36" s="824" customFormat="1">
      <c r="A259" s="1105" t="s">
        <v>17</v>
      </c>
      <c r="B259" s="781">
        <f>N200+K200</f>
        <v>46530</v>
      </c>
      <c r="C259" s="1106">
        <f t="shared" si="194"/>
        <v>46530</v>
      </c>
      <c r="D259" s="1127">
        <v>102727</v>
      </c>
      <c r="E259" s="1107"/>
      <c r="F259" s="1107" t="str">
        <f>IFERROR(VLOOKUP(G259,Recria[[Granja Recria]:[Emp+CC]],4,0),"")</f>
        <v>112_67</v>
      </c>
      <c r="G259" s="1108" t="s">
        <v>132</v>
      </c>
      <c r="H259" s="1109" t="str">
        <f>IFERROR(VLOOKUP(G259,Recria[[Granja Recria]:[Núcleo]],2,0),"")</f>
        <v>(N2)</v>
      </c>
      <c r="I259" s="1110"/>
      <c r="J259" s="1105" t="s">
        <v>60</v>
      </c>
      <c r="K259" s="1105">
        <v>23</v>
      </c>
      <c r="L259" s="1118" t="str">
        <f>VLOOKUP(M259,Raca_Linhagem[],2,0)</f>
        <v>COBB</v>
      </c>
      <c r="M259" s="1105" t="s">
        <v>21</v>
      </c>
      <c r="N259" s="674">
        <f t="shared" si="100"/>
        <v>46677</v>
      </c>
      <c r="O259" s="675"/>
      <c r="P259" s="675" t="str">
        <f>IFERROR(VLOOKUP(Q259,Producao[[Granja Produção]:[Emp+CC]],4,0),"")</f>
        <v>87_855</v>
      </c>
      <c r="Q259" s="676" t="s">
        <v>260</v>
      </c>
      <c r="R259" s="677" t="str">
        <f>IFERROR(VLOOKUP(Q259,Producao[[Granja Produção]:[Núcleo]],2,0),"")</f>
        <v>(N3)</v>
      </c>
      <c r="S259" s="702">
        <v>28000</v>
      </c>
      <c r="T259" s="679">
        <f t="shared" si="153"/>
        <v>46991</v>
      </c>
      <c r="U259" s="680">
        <v>66</v>
      </c>
      <c r="V259" s="682"/>
      <c r="W259" s="681">
        <f t="shared" si="154"/>
        <v>46991</v>
      </c>
      <c r="X259" s="1116" t="e">
        <f>VLOOKUP(Q259,Q323:Q488,1,0)</f>
        <v>#N/A</v>
      </c>
      <c r="Y259" s="1229" t="str">
        <f t="shared" ref="Y259" si="199">G259&amp;D259</f>
        <v>Pluma 2 - PR102727</v>
      </c>
      <c r="Z259" s="818">
        <f>SUMIF($Y$114:$Y$314,Y259,$S$114:$S$1288)</f>
        <v>69000</v>
      </c>
      <c r="AA259" s="1117"/>
      <c r="AC259" s="1316" t="str">
        <f t="shared" si="173"/>
        <v>Samambaia 3 - SP</v>
      </c>
      <c r="AD259" s="1317">
        <f t="shared" si="174"/>
        <v>46530</v>
      </c>
      <c r="AE259" s="1317">
        <f t="shared" si="175"/>
        <v>46677</v>
      </c>
      <c r="AF259" s="1317">
        <f t="shared" si="176"/>
        <v>46991</v>
      </c>
      <c r="AG259" s="1315" t="str">
        <f t="shared" si="130"/>
        <v>500 SLOW - MALE</v>
      </c>
      <c r="AH259" s="1315" t="str">
        <f t="shared" si="131"/>
        <v>COBB</v>
      </c>
      <c r="AJ259" s="818"/>
    </row>
    <row r="260" spans="1:36" s="824" customFormat="1">
      <c r="A260" s="1105" t="s">
        <v>17</v>
      </c>
      <c r="B260" s="781">
        <f>N204+K204</f>
        <v>46535</v>
      </c>
      <c r="C260" s="1106">
        <f t="shared" si="194"/>
        <v>46535</v>
      </c>
      <c r="D260" s="1127">
        <v>102827</v>
      </c>
      <c r="E260" s="1107"/>
      <c r="F260" s="1107" t="str">
        <f>IFERROR(VLOOKUP(G260,Recria[[Granja Recria]:[Emp+CC]],4,0),"")</f>
        <v>10_1250</v>
      </c>
      <c r="G260" s="1108" t="s">
        <v>101</v>
      </c>
      <c r="H260" s="1109" t="str">
        <f>IFERROR(VLOOKUP(G260,Recria[[Granja Recria]:[Núcleo]],2,0),"")</f>
        <v>(N2)</v>
      </c>
      <c r="I260" s="1110">
        <v>60000</v>
      </c>
      <c r="J260" s="1105" t="s">
        <v>60</v>
      </c>
      <c r="K260" s="1105">
        <v>28</v>
      </c>
      <c r="L260" s="1118" t="str">
        <f>VLOOKUP(M260,Raca_Linhagem[],2,0)</f>
        <v>ROSS</v>
      </c>
      <c r="M260" s="1118" t="s">
        <v>26</v>
      </c>
      <c r="N260" s="1106">
        <f t="shared" si="100"/>
        <v>46682</v>
      </c>
      <c r="O260" s="1105"/>
      <c r="P260" s="1105" t="str">
        <f>IFERROR(VLOOKUP(Q260,Producao[[Granja Produção]:[Emp+CC]],4,0),"")</f>
        <v>118_832</v>
      </c>
      <c r="Q260" s="1111" t="s">
        <v>87</v>
      </c>
      <c r="R260" s="1105" t="str">
        <f>IFERROR(VLOOKUP(Q260,Producao[[Granja Produção]:[Núcleo]],2,0),"")</f>
        <v>(N1)</v>
      </c>
      <c r="S260" s="1110">
        <f t="shared" si="167"/>
        <v>57300</v>
      </c>
      <c r="T260" s="1112">
        <f t="shared" si="153"/>
        <v>46996</v>
      </c>
      <c r="U260" s="1113">
        <v>66</v>
      </c>
      <c r="V260" s="1114"/>
      <c r="W260" s="1115">
        <f t="shared" si="154"/>
        <v>46996</v>
      </c>
      <c r="X260" s="1116" t="e">
        <f>VLOOKUP(Q260,Q324:Q489,1,0)</f>
        <v>#N/A</v>
      </c>
      <c r="Y260" s="1229" t="str">
        <f t="shared" si="103"/>
        <v>Iguaçu Recria - PR102827</v>
      </c>
      <c r="Z260" s="818">
        <f>SUMIF($Y$114:$Y$314,Y260,$S$114:$S$1288)</f>
        <v>57300</v>
      </c>
      <c r="AA260" s="1117"/>
      <c r="AC260" s="1316" t="str">
        <f t="shared" si="173"/>
        <v>Renascença 1 - PR</v>
      </c>
      <c r="AD260" s="1317">
        <f t="shared" si="174"/>
        <v>46535</v>
      </c>
      <c r="AE260" s="1317">
        <f t="shared" si="175"/>
        <v>46682</v>
      </c>
      <c r="AF260" s="1317">
        <f t="shared" si="176"/>
        <v>46996</v>
      </c>
      <c r="AG260" s="1315" t="str">
        <f t="shared" si="130"/>
        <v>AP95 - 344</v>
      </c>
      <c r="AH260" s="1315" t="str">
        <f t="shared" si="131"/>
        <v>ROSS</v>
      </c>
      <c r="AJ260" s="818"/>
    </row>
    <row r="261" spans="1:36" s="824" customFormat="1">
      <c r="A261" s="1105" t="s">
        <v>17</v>
      </c>
      <c r="B261" s="781">
        <f>N208+K208</f>
        <v>46546</v>
      </c>
      <c r="C261" s="1106">
        <f t="shared" si="194"/>
        <v>46546</v>
      </c>
      <c r="D261" s="1127">
        <v>102927</v>
      </c>
      <c r="E261" s="1107"/>
      <c r="F261" s="1107" t="str">
        <f>IFERROR(VLOOKUP(G261,Recria[[Granja Recria]:[Emp+CC]],4,0),"")</f>
        <v>10_140</v>
      </c>
      <c r="G261" s="1108" t="s">
        <v>107</v>
      </c>
      <c r="H261" s="1109" t="str">
        <f>IFERROR(VLOOKUP(G261,Recria[[Granja Recria]:[Núcleo]],2,0),"")</f>
        <v>(N1)</v>
      </c>
      <c r="I261" s="1110">
        <v>42000</v>
      </c>
      <c r="J261" s="1105" t="s">
        <v>60</v>
      </c>
      <c r="K261" s="1105">
        <v>20</v>
      </c>
      <c r="L261" s="1118" t="str">
        <f>VLOOKUP(M261,Raca_Linhagem[],2,0)</f>
        <v>ROSS</v>
      </c>
      <c r="M261" s="1118" t="s">
        <v>26</v>
      </c>
      <c r="N261" s="1106">
        <f t="shared" ref="N261:N314" si="200">C261+(22*7)-7</f>
        <v>46693</v>
      </c>
      <c r="O261" s="1105"/>
      <c r="P261" s="1105" t="str">
        <f>IFERROR(VLOOKUP(Q261,Producao[[Granja Produção]:[Emp+CC]],4,0),"")</f>
        <v>117_202</v>
      </c>
      <c r="Q261" s="1111" t="s">
        <v>113</v>
      </c>
      <c r="R261" s="1105" t="str">
        <f>IFERROR(VLOOKUP(Q261,Producao[[Granja Produção]:[Núcleo]],2,0),"")</f>
        <v>(N5)</v>
      </c>
      <c r="S261" s="1110">
        <f t="shared" si="167"/>
        <v>40110</v>
      </c>
      <c r="T261" s="1112">
        <f t="shared" si="153"/>
        <v>47007</v>
      </c>
      <c r="U261" s="1113">
        <v>66</v>
      </c>
      <c r="V261" s="1114"/>
      <c r="W261" s="1115">
        <f t="shared" si="154"/>
        <v>47007</v>
      </c>
      <c r="X261" s="1116" t="e">
        <f>VLOOKUP(Q261,Q323:Q488,1,0)</f>
        <v>#N/A</v>
      </c>
      <c r="Y261" s="1229" t="str">
        <f t="shared" si="103"/>
        <v>Viganó 1 - PR102927</v>
      </c>
      <c r="Z261" s="818">
        <f>SUMIF($Y$114:$Y$314,Y261,$S$114:$S$1288)</f>
        <v>40110</v>
      </c>
      <c r="AA261" s="1117"/>
      <c r="AC261" s="1316" t="str">
        <f t="shared" si="173"/>
        <v>Bom sucesso 4 - PR</v>
      </c>
      <c r="AD261" s="1317">
        <f t="shared" si="174"/>
        <v>46546</v>
      </c>
      <c r="AE261" s="1317">
        <f t="shared" si="175"/>
        <v>46693</v>
      </c>
      <c r="AF261" s="1317">
        <f t="shared" si="176"/>
        <v>47007</v>
      </c>
      <c r="AG261" s="1315" t="str">
        <f t="shared" si="130"/>
        <v>AP95 - 344</v>
      </c>
      <c r="AH261" s="1315" t="str">
        <f t="shared" si="131"/>
        <v>ROSS</v>
      </c>
      <c r="AJ261" s="818"/>
    </row>
    <row r="262" spans="1:36">
      <c r="A262" s="718" t="s">
        <v>17</v>
      </c>
      <c r="B262" s="758">
        <f>N218+K218</f>
        <v>46548</v>
      </c>
      <c r="C262" s="759">
        <f t="shared" si="194"/>
        <v>46548</v>
      </c>
      <c r="D262" s="1055">
        <v>102027</v>
      </c>
      <c r="E262" s="760"/>
      <c r="F262" s="760" t="str">
        <f>IFERROR(VLOOKUP(G262,Recria[[Granja Recria]:[Emp+CC]],4,0),"")</f>
        <v>135_2402</v>
      </c>
      <c r="G262" s="764" t="s">
        <v>252</v>
      </c>
      <c r="H262" s="762" t="str">
        <f>IFERROR(VLOOKUP(G262,Recria[[Granja Recria]:[Núcleo]],2,0),"")</f>
        <v>(N2)</v>
      </c>
      <c r="I262" s="763">
        <v>60000</v>
      </c>
      <c r="J262" s="718" t="s">
        <v>45</v>
      </c>
      <c r="K262" s="718">
        <v>50</v>
      </c>
      <c r="L262" s="803" t="str">
        <f>VLOOKUP(M262,Raca_Linhagem[],2,0)</f>
        <v>COBB</v>
      </c>
      <c r="M262" s="803" t="s">
        <v>21</v>
      </c>
      <c r="N262" s="714">
        <f t="shared" si="200"/>
        <v>46695</v>
      </c>
      <c r="O262" s="716"/>
      <c r="P262" s="716" t="str">
        <f>IFERROR(VLOOKUP(Q262,Producao[[Granja Produção]:[Emp+CC]],4,0),"")</f>
        <v>10</v>
      </c>
      <c r="Q262" s="717" t="s">
        <v>261</v>
      </c>
      <c r="R262" s="718" t="str">
        <f>IFERROR(VLOOKUP(Q262,Producao[[Granja Produção]:[Núcleo]],2,0),"")</f>
        <v>(N6)</v>
      </c>
      <c r="S262" s="719">
        <f t="shared" si="167"/>
        <v>57300</v>
      </c>
      <c r="T262" s="720">
        <f t="shared" ref="T262:T296" si="201">C262+(U262*7)-1</f>
        <v>47009</v>
      </c>
      <c r="U262" s="721">
        <v>66</v>
      </c>
      <c r="V262" s="722"/>
      <c r="W262" s="723">
        <f>IFERROR(T262+V262," ")</f>
        <v>47009</v>
      </c>
      <c r="X262" s="802" t="e">
        <f>VLOOKUP(Q262,Q314:Q479,1,0)</f>
        <v>#N/A</v>
      </c>
      <c r="Y262" s="1229" t="str">
        <f t="shared" ref="Y262:Y314" si="202">G262&amp;D262</f>
        <v>Cafezal Rec. 2 - PR102027</v>
      </c>
      <c r="Z262" s="818">
        <f>SUMIF($Y$114:$Y$314,Y262,$S$114:$S$1288)</f>
        <v>57300</v>
      </c>
      <c r="AA262" s="818"/>
      <c r="AC262" s="1316" t="str">
        <f t="shared" si="173"/>
        <v>Cafezal Prod. 4 - PR</v>
      </c>
      <c r="AD262" s="1317">
        <f t="shared" si="174"/>
        <v>46548</v>
      </c>
      <c r="AE262" s="1317">
        <f t="shared" si="175"/>
        <v>46695</v>
      </c>
      <c r="AF262" s="1317">
        <f t="shared" si="176"/>
        <v>47009</v>
      </c>
      <c r="AG262" s="1315" t="str">
        <f t="shared" si="130"/>
        <v>500 SLOW - MALE</v>
      </c>
      <c r="AH262" s="1315" t="str">
        <f t="shared" si="131"/>
        <v>COBB</v>
      </c>
      <c r="AJ262" s="818"/>
    </row>
    <row r="263" spans="1:36" s="824" customFormat="1">
      <c r="A263" s="1105" t="s">
        <v>17</v>
      </c>
      <c r="B263" s="781">
        <f>N220+K220</f>
        <v>46552</v>
      </c>
      <c r="C263" s="1106">
        <f t="shared" si="194"/>
        <v>46552</v>
      </c>
      <c r="D263" s="1127">
        <v>103027</v>
      </c>
      <c r="E263" s="1107"/>
      <c r="F263" s="1107" t="str">
        <f>IFERROR(VLOOKUP(G263,Recria[[Granja Recria]:[Emp+CC]],4,0),"")</f>
        <v>112_2399</v>
      </c>
      <c r="G263" s="1108" t="s">
        <v>216</v>
      </c>
      <c r="H263" s="1109" t="str">
        <f>IFERROR(VLOOKUP(G263,Recria[[Granja Recria]:[Núcleo]],2,0),"")</f>
        <v>(N5)</v>
      </c>
      <c r="I263" s="1110">
        <v>60000</v>
      </c>
      <c r="J263" s="1105" t="s">
        <v>20</v>
      </c>
      <c r="K263" s="1105">
        <v>20</v>
      </c>
      <c r="L263" s="1244" t="s">
        <v>177</v>
      </c>
      <c r="M263" s="1105" t="s">
        <v>21</v>
      </c>
      <c r="N263" s="1106">
        <f t="shared" si="200"/>
        <v>46699</v>
      </c>
      <c r="O263" s="1105"/>
      <c r="P263" s="1105" t="str">
        <f>IFERROR(VLOOKUP(Q263,Producao[[Granja Produção]:[Emp+CC]],4,0),"")</f>
        <v>10_397</v>
      </c>
      <c r="Q263" s="1111" t="s">
        <v>99</v>
      </c>
      <c r="R263" s="1105" t="str">
        <f>IFERROR(VLOOKUP(Q263,Producao[[Granja Produção]:[Núcleo]],2,0),"")</f>
        <v>(N1)</v>
      </c>
      <c r="S263" s="1110">
        <v>57000</v>
      </c>
      <c r="T263" s="1112">
        <f t="shared" si="201"/>
        <v>47013</v>
      </c>
      <c r="U263" s="1113">
        <v>66</v>
      </c>
      <c r="V263" s="1114"/>
      <c r="W263" s="1115">
        <f t="shared" si="154"/>
        <v>47013</v>
      </c>
      <c r="X263" s="1116" t="e">
        <f>VLOOKUP(Q263,Q326:Q491,1,0)</f>
        <v>#N/A</v>
      </c>
      <c r="Y263" s="1229" t="str">
        <f t="shared" si="202"/>
        <v>Pluma 5 - PR103027</v>
      </c>
      <c r="Z263" s="818">
        <f>SUMIF($Y$114:$Y$314,Y263,$S$114:$S$1288)</f>
        <v>57000</v>
      </c>
      <c r="AA263" s="1117"/>
      <c r="AC263" s="1316" t="str">
        <f t="shared" si="173"/>
        <v>Nona Tere - PR</v>
      </c>
      <c r="AD263" s="1317">
        <f t="shared" si="174"/>
        <v>46552</v>
      </c>
      <c r="AE263" s="1317">
        <f t="shared" si="175"/>
        <v>46699</v>
      </c>
      <c r="AF263" s="1317">
        <f t="shared" si="176"/>
        <v>47013</v>
      </c>
      <c r="AG263" s="1315" t="str">
        <f t="shared" si="130"/>
        <v>500 SLOW - MALE</v>
      </c>
      <c r="AH263" s="1315" t="str">
        <f t="shared" si="131"/>
        <v>JBS</v>
      </c>
      <c r="AJ263" s="818"/>
    </row>
    <row r="264" spans="1:36" s="824" customFormat="1">
      <c r="A264" s="1105" t="s">
        <v>17</v>
      </c>
      <c r="B264" s="781">
        <f>N210+K210</f>
        <v>46554</v>
      </c>
      <c r="C264" s="1106">
        <f t="shared" si="194"/>
        <v>46554</v>
      </c>
      <c r="D264" s="1128">
        <v>103327</v>
      </c>
      <c r="E264" s="1119">
        <v>132</v>
      </c>
      <c r="F264" s="1107" t="str">
        <f>IFERROR(VLOOKUP(G264,Recria[[Granja Recria]:[Emp+CC]],4,0),"")</f>
        <v>139_149</v>
      </c>
      <c r="G264" s="1108" t="s">
        <v>139</v>
      </c>
      <c r="H264" s="1109" t="str">
        <f>IFERROR(VLOOKUP(G264,Recria[[Granja Recria]:[Núcleo]],2,0),"")</f>
        <v>(N2)</v>
      </c>
      <c r="I264" s="1110">
        <v>60000</v>
      </c>
      <c r="J264" s="1105" t="s">
        <v>60</v>
      </c>
      <c r="K264" s="1105">
        <v>28</v>
      </c>
      <c r="L264" s="1118" t="str">
        <f>VLOOKUP(M264,Raca_Linhagem[],2,0)</f>
        <v>COBB</v>
      </c>
      <c r="M264" s="1120" t="s">
        <v>37</v>
      </c>
      <c r="N264" s="1106">
        <f t="shared" si="200"/>
        <v>46701</v>
      </c>
      <c r="O264" s="1105"/>
      <c r="P264" s="1105" t="str">
        <f>IFERROR(VLOOKUP(Q264,Producao[[Granja Produção]:[Emp+CC]],4,0),"")</f>
        <v>84_170</v>
      </c>
      <c r="Q264" s="1111" t="s">
        <v>116</v>
      </c>
      <c r="R264" s="1105" t="str">
        <f>IFERROR(VLOOKUP(Q264,Producao[[Granja Produção]:[Núcleo]],2,0),"")</f>
        <v>(N3)</v>
      </c>
      <c r="S264" s="1110">
        <v>57000</v>
      </c>
      <c r="T264" s="1112">
        <f t="shared" si="201"/>
        <v>47015</v>
      </c>
      <c r="U264" s="1113">
        <v>66</v>
      </c>
      <c r="V264" s="1114"/>
      <c r="W264" s="1115">
        <f t="shared" ref="W264:W298" si="203">IFERROR(T264+V264," ")</f>
        <v>47015</v>
      </c>
      <c r="X264" s="1116" t="e">
        <f>VLOOKUP(Q264,Q325:Q490,1,0)</f>
        <v>#N/A</v>
      </c>
      <c r="Y264" s="1229" t="str">
        <f t="shared" si="202"/>
        <v>Esperança 2 - PR103327</v>
      </c>
      <c r="Z264" s="818">
        <f>SUMIF($Y$114:$Y$314,Y264,$S$114:$S$1288)</f>
        <v>57000</v>
      </c>
      <c r="AA264" s="1117"/>
      <c r="AC264" s="1316" t="str">
        <f t="shared" si="173"/>
        <v>Faxinal 3 - SC</v>
      </c>
      <c r="AD264" s="1317">
        <f t="shared" si="174"/>
        <v>46554</v>
      </c>
      <c r="AE264" s="1317">
        <f t="shared" si="175"/>
        <v>46701</v>
      </c>
      <c r="AF264" s="1317">
        <f t="shared" si="176"/>
        <v>47015</v>
      </c>
      <c r="AG264" s="1315" t="str">
        <f t="shared" si="130"/>
        <v>500 SLOW - MALE JBS</v>
      </c>
      <c r="AH264" s="1315" t="str">
        <f t="shared" si="131"/>
        <v>COBB</v>
      </c>
      <c r="AJ264" s="818"/>
    </row>
    <row r="265" spans="1:36">
      <c r="A265" s="750" t="s">
        <v>17</v>
      </c>
      <c r="B265" s="751">
        <f>N222+K222</f>
        <v>46560</v>
      </c>
      <c r="C265" s="752">
        <f t="shared" si="194"/>
        <v>46560</v>
      </c>
      <c r="D265" s="1142">
        <v>107327</v>
      </c>
      <c r="E265" s="1433">
        <v>153552</v>
      </c>
      <c r="F265" s="657" t="str">
        <f>IFERROR(VLOOKUP(G265,Recria[[Granja Recria]:[Emp+CC]],4,0),"")</f>
        <v>10_130</v>
      </c>
      <c r="G265" s="725" t="s">
        <v>123</v>
      </c>
      <c r="H265" s="755" t="str">
        <f>IFERROR(VLOOKUP(G265,Recria[[Granja Recria]:[Núcleo]],2,0),"")</f>
        <v>(N1)</v>
      </c>
      <c r="I265" s="756">
        <v>42000</v>
      </c>
      <c r="J265" s="750" t="s">
        <v>45</v>
      </c>
      <c r="K265" s="750">
        <v>50</v>
      </c>
      <c r="L265" s="803" t="str">
        <f>VLOOKUP(M265,Raca_Linhagem[],2,0)</f>
        <v>COBB</v>
      </c>
      <c r="M265" s="1121" t="s">
        <v>21</v>
      </c>
      <c r="N265" s="1106">
        <f>C265+(22*7)-7</f>
        <v>46707</v>
      </c>
      <c r="O265" s="1105"/>
      <c r="P265" s="1105" t="str">
        <f>IFERROR(VLOOKUP(Q265,Producao[[Granja Produção]:[Emp+CC]],4,0),"")</f>
        <v>10_48</v>
      </c>
      <c r="Q265" s="1111" t="s">
        <v>105</v>
      </c>
      <c r="R265" s="1105" t="str">
        <f>IFERROR(VLOOKUP(Q265,Producao[[Granja Produção]:[Núcleo]],2,0),"")</f>
        <v>(N1)</v>
      </c>
      <c r="S265" s="1110">
        <f>I265*0.955</f>
        <v>40110</v>
      </c>
      <c r="T265" s="1112">
        <f>C265+(U265*7)-1</f>
        <v>47021</v>
      </c>
      <c r="U265" s="1113">
        <v>66</v>
      </c>
      <c r="V265" s="1114"/>
      <c r="W265" s="1115">
        <f>IFERROR(T265+V265," ")</f>
        <v>47021</v>
      </c>
      <c r="X265" s="802" t="e">
        <f>VLOOKUP(Q265,Q337:Q499,1,0)</f>
        <v>#N/A</v>
      </c>
      <c r="Y265" s="1229" t="str">
        <f>G265&amp;D265</f>
        <v>Corti - PR107327</v>
      </c>
      <c r="Z265" s="818">
        <f>SUMIF($Y$114:$Y$314,Y265,$S$114:$S$1288)</f>
        <v>40110</v>
      </c>
      <c r="AA265" s="818"/>
      <c r="AC265" s="1316" t="str">
        <f t="shared" si="173"/>
        <v>São Miguel - PR</v>
      </c>
      <c r="AD265" s="1317">
        <f t="shared" si="174"/>
        <v>46560</v>
      </c>
      <c r="AE265" s="1317">
        <f t="shared" si="175"/>
        <v>46707</v>
      </c>
      <c r="AF265" s="1317">
        <f t="shared" si="176"/>
        <v>47021</v>
      </c>
      <c r="AG265" s="1315" t="str">
        <f t="shared" si="130"/>
        <v>500 SLOW - MALE</v>
      </c>
      <c r="AH265" s="1315" t="str">
        <f t="shared" si="131"/>
        <v>COBB</v>
      </c>
      <c r="AJ265" s="818"/>
    </row>
    <row r="266" spans="1:36" s="824" customFormat="1">
      <c r="A266" s="1105" t="s">
        <v>17</v>
      </c>
      <c r="B266" s="781">
        <f>N216+K216</f>
        <v>46560</v>
      </c>
      <c r="C266" s="1106">
        <f t="shared" si="194"/>
        <v>46560</v>
      </c>
      <c r="D266" s="1127">
        <v>103127</v>
      </c>
      <c r="E266" s="1107"/>
      <c r="F266" s="1107" t="str">
        <f>IFERROR(VLOOKUP(G266,Recria[[Granja Recria]:[Emp+CC]],4,0),"")</f>
        <v>10_180</v>
      </c>
      <c r="G266" s="1108" t="s">
        <v>135</v>
      </c>
      <c r="H266" s="1109" t="str">
        <f>IFERROR(VLOOKUP(G266,Recria[[Granja Recria]:[Núcleo]],2,0),"")</f>
        <v>(N1)</v>
      </c>
      <c r="I266" s="1110">
        <v>46000</v>
      </c>
      <c r="J266" s="1105" t="s">
        <v>60</v>
      </c>
      <c r="K266" s="1105">
        <v>25</v>
      </c>
      <c r="L266" s="1105" t="str">
        <f>VLOOKUP(M266,Raca_Linhagem[],2,0)</f>
        <v>ROSS</v>
      </c>
      <c r="M266" s="1118" t="s">
        <v>26</v>
      </c>
      <c r="N266" s="1106">
        <f>C266+(22*7)-7</f>
        <v>46707</v>
      </c>
      <c r="O266" s="1105"/>
      <c r="P266" s="1105" t="str">
        <f>IFERROR(VLOOKUP(Q266,Producao[[Granja Produção]:[Emp+CC]],4,0),"")</f>
        <v>85_158</v>
      </c>
      <c r="Q266" s="1111" t="s">
        <v>109</v>
      </c>
      <c r="R266" s="1105" t="str">
        <f>IFERROR(VLOOKUP(Q266,Producao[[Granja Produção]:[Núcleo]],2,0),"")</f>
        <v>(N1)</v>
      </c>
      <c r="S266" s="1110">
        <v>20000</v>
      </c>
      <c r="T266" s="1112">
        <f>C266+(U266*7)-1</f>
        <v>47021</v>
      </c>
      <c r="U266" s="1113">
        <v>66</v>
      </c>
      <c r="V266" s="1114"/>
      <c r="W266" s="1115">
        <f>IFERROR(T266+V266," ")</f>
        <v>47021</v>
      </c>
      <c r="X266" s="1116" t="e">
        <f>VLOOKUP(Q266,Q318:Q483,1,0)</f>
        <v>#N/A</v>
      </c>
      <c r="Y266" s="1229" t="str">
        <f>G266&amp;D266</f>
        <v>Panorama 1 - PR103127</v>
      </c>
      <c r="Z266" s="818">
        <f>SUMIF($Y$114:$Y$314,Y266,$S$114:$S$1288)</f>
        <v>43000</v>
      </c>
      <c r="AA266" s="1117"/>
      <c r="AC266" s="1316" t="str">
        <f>Q266</f>
        <v>Tortato - SC</v>
      </c>
      <c r="AD266" s="1317">
        <f>C266</f>
        <v>46560</v>
      </c>
      <c r="AE266" s="1317">
        <f>N266</f>
        <v>46707</v>
      </c>
      <c r="AF266" s="1317">
        <f>T266</f>
        <v>47021</v>
      </c>
      <c r="AG266" s="1315" t="str">
        <f>M266</f>
        <v>AP95 - 344</v>
      </c>
      <c r="AH266" s="1315" t="str">
        <f>L266</f>
        <v>ROSS</v>
      </c>
      <c r="AJ266" s="818"/>
    </row>
    <row r="267" spans="1:36" s="824" customFormat="1">
      <c r="A267" s="1105" t="s">
        <v>17</v>
      </c>
      <c r="B267" s="781">
        <f>N216+K216</f>
        <v>46560</v>
      </c>
      <c r="C267" s="1106">
        <f t="shared" si="194"/>
        <v>46560</v>
      </c>
      <c r="D267" s="1127">
        <v>103127</v>
      </c>
      <c r="E267" s="1107"/>
      <c r="F267" s="1107" t="str">
        <f>IFERROR(VLOOKUP(G267,Recria[[Granja Recria]:[Emp+CC]],4,0),"")</f>
        <v>10_180</v>
      </c>
      <c r="G267" s="1108" t="s">
        <v>135</v>
      </c>
      <c r="H267" s="1109" t="str">
        <f>IFERROR(VLOOKUP(G267,Recria[[Granja Recria]:[Núcleo]],2,0),"")</f>
        <v>(N1)</v>
      </c>
      <c r="I267" s="1110"/>
      <c r="J267" s="1105" t="s">
        <v>60</v>
      </c>
      <c r="K267" s="1105">
        <v>25</v>
      </c>
      <c r="L267" s="1105" t="str">
        <f>VLOOKUP(M267,Raca_Linhagem[],2,0)</f>
        <v>ROSS</v>
      </c>
      <c r="M267" s="1118" t="s">
        <v>26</v>
      </c>
      <c r="N267" s="1106">
        <f t="shared" ref="N267" si="204">C267+(22*7)-7</f>
        <v>46707</v>
      </c>
      <c r="O267" s="1105"/>
      <c r="P267" s="1105" t="str">
        <f>IFERROR(VLOOKUP(Q267,Producao[[Granja Produção]:[Emp+CC]],4,0),"")</f>
        <v>13_1458</v>
      </c>
      <c r="Q267" s="1111" t="s">
        <v>108</v>
      </c>
      <c r="R267" s="1105" t="str">
        <f>IFERROR(VLOOKUP(Q267,Producao[[Granja Produção]:[Núcleo]],2,0),"")</f>
        <v>(N1)</v>
      </c>
      <c r="S267" s="1110">
        <v>23000</v>
      </c>
      <c r="T267" s="1112">
        <f t="shared" ref="T267" si="205">C267+(U267*7)-1</f>
        <v>47021</v>
      </c>
      <c r="U267" s="1113">
        <v>66</v>
      </c>
      <c r="V267" s="1114"/>
      <c r="W267" s="1115">
        <f t="shared" ref="W267" si="206">IFERROR(T267+V267," ")</f>
        <v>47021</v>
      </c>
      <c r="X267" s="1116" t="e">
        <f>VLOOKUP(Q267,Q319:Q484,1,0)</f>
        <v>#N/A</v>
      </c>
      <c r="Y267" s="1229" t="str">
        <f t="shared" ref="Y267" si="207">G267&amp;D267</f>
        <v>Panorama 1 - PR103127</v>
      </c>
      <c r="Z267" s="818">
        <f>SUMIF($Y$114:$Y$314,Y267,$S$114:$S$1288)</f>
        <v>43000</v>
      </c>
      <c r="AA267" s="1117"/>
      <c r="AC267" s="1316" t="str">
        <f>Q267</f>
        <v>Fiorin - SC</v>
      </c>
      <c r="AD267" s="1317">
        <f>C267</f>
        <v>46560</v>
      </c>
      <c r="AE267" s="1317">
        <f>N267</f>
        <v>46707</v>
      </c>
      <c r="AF267" s="1317">
        <f>T267</f>
        <v>47021</v>
      </c>
      <c r="AG267" s="1315" t="str">
        <f>M267</f>
        <v>AP95 - 344</v>
      </c>
      <c r="AH267" s="1315" t="str">
        <f>L267</f>
        <v>ROSS</v>
      </c>
      <c r="AJ267" s="818"/>
    </row>
    <row r="268" spans="1:36">
      <c r="A268" s="816" t="s">
        <v>17</v>
      </c>
      <c r="B268" s="1246">
        <f>N213+K213</f>
        <v>46560</v>
      </c>
      <c r="C268" s="1247">
        <f t="shared" si="194"/>
        <v>46560</v>
      </c>
      <c r="D268" s="1248">
        <v>103527</v>
      </c>
      <c r="E268" s="1249"/>
      <c r="F268" s="1250" t="str">
        <f>IFERROR(VLOOKUP(G268,Recria[[Granja Recria]:[Emp+CC]],4,0),"")</f>
        <v>10_267</v>
      </c>
      <c r="G268" s="1251" t="s">
        <v>115</v>
      </c>
      <c r="H268" s="1252" t="str">
        <f>IFERROR(VLOOKUP(G268,Recria[[Granja Recria]:[Núcleo]],2,0),"")</f>
        <v>(N1)</v>
      </c>
      <c r="I268" s="1288" t="s">
        <v>250</v>
      </c>
      <c r="J268" s="816" t="s">
        <v>60</v>
      </c>
      <c r="K268" s="816">
        <v>25</v>
      </c>
      <c r="L268" s="1253" t="str">
        <f>VLOOKUP(M268,Raca_Linhagem[],2,0)</f>
        <v>ROSS</v>
      </c>
      <c r="M268" s="1253" t="s">
        <v>26</v>
      </c>
      <c r="N268" s="1254">
        <f>C268+(22*7)-7</f>
        <v>46707</v>
      </c>
      <c r="O268" s="1255"/>
      <c r="P268" s="1255" t="str">
        <f>IFERROR(VLOOKUP(Q268,Producao[[Granja Produção]:[Emp+CC]],4,0),"")</f>
        <v/>
      </c>
      <c r="Q268" s="1256"/>
      <c r="R268" s="1257" t="str">
        <f>IFERROR(VLOOKUP(Q268,Producao[[Granja Produção]:[Núcleo]],2,0),"")</f>
        <v/>
      </c>
      <c r="S268" s="1258">
        <f>I268*0.955</f>
        <v>60165</v>
      </c>
      <c r="T268" s="881">
        <f>C268+(U268*7)-1</f>
        <v>47021</v>
      </c>
      <c r="U268" s="672">
        <v>66</v>
      </c>
      <c r="V268" s="880"/>
      <c r="W268" s="1259">
        <f>IFERROR(T268+V268," ")</f>
        <v>47021</v>
      </c>
      <c r="X268" s="802" t="e">
        <f>VLOOKUP(Q268,Q327:Q492,1,0)</f>
        <v>#N/A</v>
      </c>
      <c r="Y268" s="1229" t="str">
        <f>G268&amp;D268</f>
        <v>Três Palmeiras - PR103527</v>
      </c>
      <c r="Z268" s="818">
        <f>SUMIF($Y$114:$Y$314,Y268,$S$114:$S$1288)</f>
        <v>120330</v>
      </c>
      <c r="AA268" s="818"/>
      <c r="AC268" s="1316">
        <f>Q268</f>
        <v>0</v>
      </c>
      <c r="AD268" s="1317">
        <f>C268</f>
        <v>46560</v>
      </c>
      <c r="AE268" s="1317">
        <f>N268</f>
        <v>46707</v>
      </c>
      <c r="AF268" s="1317">
        <f>T268</f>
        <v>47021</v>
      </c>
      <c r="AG268" s="1315" t="str">
        <f>M268</f>
        <v>AP95 - 344</v>
      </c>
      <c r="AH268" s="1315" t="str">
        <f>L268</f>
        <v>ROSS</v>
      </c>
      <c r="AJ268" s="818"/>
    </row>
    <row r="269" spans="1:36">
      <c r="A269" s="816" t="s">
        <v>17</v>
      </c>
      <c r="B269" s="1246">
        <f>N214+K214</f>
        <v>46560</v>
      </c>
      <c r="C269" s="1247">
        <f t="shared" si="194"/>
        <v>46560</v>
      </c>
      <c r="D269" s="1248">
        <v>103527</v>
      </c>
      <c r="E269" s="1249"/>
      <c r="F269" s="1250" t="str">
        <f>IFERROR(VLOOKUP(G269,Recria[[Granja Recria]:[Emp+CC]],4,0),"")</f>
        <v>10_267</v>
      </c>
      <c r="G269" s="1251" t="s">
        <v>115</v>
      </c>
      <c r="H269" s="1252" t="str">
        <f>IFERROR(VLOOKUP(G269,Recria[[Granja Recria]:[Núcleo]],2,0),"")</f>
        <v>(N1)</v>
      </c>
      <c r="I269" s="1288" t="s">
        <v>250</v>
      </c>
      <c r="J269" s="816" t="s">
        <v>60</v>
      </c>
      <c r="K269" s="816">
        <v>27</v>
      </c>
      <c r="L269" s="1253" t="str">
        <f>VLOOKUP(M269,Raca_Linhagem[],2,0)</f>
        <v>ROSS</v>
      </c>
      <c r="M269" s="1253" t="s">
        <v>26</v>
      </c>
      <c r="N269" s="1254">
        <f>C269+(22*7)-7</f>
        <v>46707</v>
      </c>
      <c r="O269" s="1255"/>
      <c r="P269" s="1255" t="str">
        <f>IFERROR(VLOOKUP(Q269,Producao[[Granja Produção]:[Emp+CC]],4,0),"")</f>
        <v/>
      </c>
      <c r="Q269" s="1256"/>
      <c r="R269" s="1257" t="str">
        <f>IFERROR(VLOOKUP(Q269,Producao[[Granja Produção]:[Núcleo]],2,0),"")</f>
        <v/>
      </c>
      <c r="S269" s="1258">
        <f>I269*0.955</f>
        <v>60165</v>
      </c>
      <c r="T269" s="881">
        <f>C269+(U269*7)-1</f>
        <v>47021</v>
      </c>
      <c r="U269" s="672">
        <v>66</v>
      </c>
      <c r="V269" s="880"/>
      <c r="W269" s="1259">
        <f>IFERROR(T269+V269," ")</f>
        <v>47021</v>
      </c>
      <c r="X269" s="802" t="e">
        <f>VLOOKUP(Q269,Q327:Q493,1,0)</f>
        <v>#N/A</v>
      </c>
      <c r="Y269" s="1229" t="str">
        <f>G269&amp;D269</f>
        <v>Três Palmeiras - PR103527</v>
      </c>
      <c r="Z269" s="818">
        <f>SUMIF($Y$114:$Y$314,Y269,$S$114:$S$1288)</f>
        <v>120330</v>
      </c>
      <c r="AA269" s="818"/>
      <c r="AC269" s="1316">
        <f>Q269</f>
        <v>0</v>
      </c>
      <c r="AD269" s="1317">
        <f>C269</f>
        <v>46560</v>
      </c>
      <c r="AE269" s="1317">
        <f>N269</f>
        <v>46707</v>
      </c>
      <c r="AF269" s="1317">
        <f>T269</f>
        <v>47021</v>
      </c>
      <c r="AG269" s="1315" t="str">
        <f>M269</f>
        <v>AP95 - 344</v>
      </c>
      <c r="AH269" s="1315" t="str">
        <f>L269</f>
        <v>ROSS</v>
      </c>
      <c r="AJ269" s="818"/>
    </row>
    <row r="270" spans="1:36" s="824" customFormat="1">
      <c r="A270" s="1105" t="s">
        <v>17</v>
      </c>
      <c r="B270" s="781">
        <f>N215+K215</f>
        <v>46563</v>
      </c>
      <c r="C270" s="1106">
        <f t="shared" si="194"/>
        <v>46563</v>
      </c>
      <c r="D270" s="1127">
        <v>103627</v>
      </c>
      <c r="E270" s="1107"/>
      <c r="F270" s="1107" t="str">
        <f>IFERROR(VLOOKUP(G270,Recria[[Granja Recria]:[Emp+CC]],4,0),"")</f>
        <v>10_775</v>
      </c>
      <c r="G270" s="1108" t="s">
        <v>120</v>
      </c>
      <c r="H270" s="1109" t="str">
        <f>IFERROR(VLOOKUP(G270,Recria[[Granja Recria]:[Núcleo]],2,0),"")</f>
        <v>(N1)</v>
      </c>
      <c r="I270" s="1110">
        <v>50000</v>
      </c>
      <c r="J270" s="1105" t="s">
        <v>60</v>
      </c>
      <c r="K270" s="1105">
        <v>25</v>
      </c>
      <c r="L270" s="1118" t="str">
        <f>VLOOKUP(M270,Raca_Linhagem[],2,0)</f>
        <v>COBB</v>
      </c>
      <c r="M270" s="1121" t="s">
        <v>21</v>
      </c>
      <c r="N270" s="1106">
        <f>C270+(22*7)-7</f>
        <v>46710</v>
      </c>
      <c r="O270" s="1105"/>
      <c r="P270" s="1105" t="str">
        <f>IFERROR(VLOOKUP(Q270,Producao[[Granja Produção]:[Emp+CC]],4,0),"")</f>
        <v>10_858</v>
      </c>
      <c r="Q270" s="1111" t="s">
        <v>121</v>
      </c>
      <c r="R270" s="1105" t="str">
        <f>IFERROR(VLOOKUP(Q270,Producao[[Granja Produção]:[Núcleo]],2,0),"")</f>
        <v>(N3)</v>
      </c>
      <c r="S270" s="1110">
        <f>I270*0.955</f>
        <v>47750</v>
      </c>
      <c r="T270" s="1112">
        <f>C270+(U270*7)-1</f>
        <v>47024</v>
      </c>
      <c r="U270" s="1113">
        <v>66</v>
      </c>
      <c r="V270" s="1114"/>
      <c r="W270" s="1115">
        <f>IFERROR(T270+V270," ")</f>
        <v>47024</v>
      </c>
      <c r="X270" s="1116" t="e">
        <f>VLOOKUP(Q270,Q327:Q494,1,0)</f>
        <v>#N/A</v>
      </c>
      <c r="Y270" s="1229" t="str">
        <f>G270&amp;D270</f>
        <v>Salto Caxias Rec. 1 - PR103627</v>
      </c>
      <c r="Z270" s="818">
        <f>SUMIF($Y$114:$Y$314,Y270,$S$114:$S$1288)</f>
        <v>47750</v>
      </c>
      <c r="AA270" s="1117"/>
      <c r="AC270" s="1316" t="str">
        <f t="shared" si="173"/>
        <v>Salto Caxias Prod. 2 - PR</v>
      </c>
      <c r="AD270" s="1317">
        <f t="shared" si="174"/>
        <v>46563</v>
      </c>
      <c r="AE270" s="1317">
        <f t="shared" si="175"/>
        <v>46710</v>
      </c>
      <c r="AF270" s="1317">
        <f t="shared" si="176"/>
        <v>47024</v>
      </c>
      <c r="AG270" s="1315" t="str">
        <f t="shared" ref="AG270:AG314" si="208">M270</f>
        <v>500 SLOW - MALE</v>
      </c>
      <c r="AH270" s="1315" t="str">
        <f t="shared" ref="AH270:AH314" si="209">L270</f>
        <v>COBB</v>
      </c>
      <c r="AJ270" s="818"/>
    </row>
    <row r="271" spans="1:36">
      <c r="A271" s="1105" t="s">
        <v>17</v>
      </c>
      <c r="B271" s="781">
        <f>N217+K217</f>
        <v>46572</v>
      </c>
      <c r="C271" s="1106">
        <f t="shared" si="194"/>
        <v>46572</v>
      </c>
      <c r="D271" s="1127">
        <v>103927</v>
      </c>
      <c r="E271" s="1107"/>
      <c r="F271" s="1107" t="str">
        <f>IFERROR(VLOOKUP(G271,Recria[[Granja Recria]:[Emp+CC]],4,0),"")</f>
        <v>10_2384</v>
      </c>
      <c r="G271" s="1108" t="s">
        <v>239</v>
      </c>
      <c r="H271" s="1109" t="str">
        <f>IFERROR(VLOOKUP(G271,Recria[[Granja Recria]:[Núcleo]],2,0),"")</f>
        <v>(N1)</v>
      </c>
      <c r="I271" s="1110">
        <v>60000</v>
      </c>
      <c r="J271" s="1105" t="s">
        <v>60</v>
      </c>
      <c r="K271" s="1105">
        <v>27</v>
      </c>
      <c r="L271" s="803" t="str">
        <f>VLOOKUP(M271,Raca_Linhagem[],2,0)</f>
        <v>COBB</v>
      </c>
      <c r="M271" s="803" t="s">
        <v>21</v>
      </c>
      <c r="N271" s="714">
        <f>C271+(22*7)-7</f>
        <v>46719</v>
      </c>
      <c r="O271" s="716"/>
      <c r="P271" s="716" t="str">
        <f>IFERROR(VLOOKUP(Q271,Producao[[Granja Produção]:[Emp+CC]],4,0),"")</f>
        <v>10_2385</v>
      </c>
      <c r="Q271" s="717" t="s">
        <v>240</v>
      </c>
      <c r="R271" s="718" t="str">
        <f>IFERROR(VLOOKUP(Q271,Producao[[Granja Produção]:[Núcleo]],2,0),"")</f>
        <v>(N2)</v>
      </c>
      <c r="S271" s="719">
        <f>I271*0.955</f>
        <v>57300</v>
      </c>
      <c r="T271" s="720">
        <f>C271+(U271*7)-1</f>
        <v>47033</v>
      </c>
      <c r="U271" s="721">
        <v>66</v>
      </c>
      <c r="V271" s="722"/>
      <c r="W271" s="723">
        <f>IFERROR(T271+V271," ")</f>
        <v>47033</v>
      </c>
      <c r="X271" s="802" t="e">
        <f>VLOOKUP(Q271,Q329:Q496,1,0)</f>
        <v>#N/A</v>
      </c>
      <c r="Y271" s="1229" t="str">
        <f>G271&amp;D271</f>
        <v>N. Sª. Ap. Rec. 1- PR103927</v>
      </c>
      <c r="Z271" s="818">
        <f>SUMIF($Y$114:$Y$314,Y271,$S$114:$S$1288)</f>
        <v>57300</v>
      </c>
      <c r="AA271" s="818"/>
      <c r="AC271" s="1316" t="str">
        <f t="shared" si="173"/>
        <v>N. Sª. Ap. Prod. 1 - PR</v>
      </c>
      <c r="AD271" s="1317">
        <f t="shared" si="174"/>
        <v>46572</v>
      </c>
      <c r="AE271" s="1317">
        <f t="shared" si="175"/>
        <v>46719</v>
      </c>
      <c r="AF271" s="1317">
        <f t="shared" si="176"/>
        <v>47033</v>
      </c>
      <c r="AG271" s="1315" t="str">
        <f t="shared" si="208"/>
        <v>500 SLOW - MALE</v>
      </c>
      <c r="AH271" s="1315" t="str">
        <f t="shared" si="209"/>
        <v>COBB</v>
      </c>
      <c r="AJ271" s="818"/>
    </row>
    <row r="272" spans="1:36" s="824" customFormat="1">
      <c r="A272" s="1105" t="s">
        <v>17</v>
      </c>
      <c r="B272" s="781">
        <f>N219+K219</f>
        <v>46579</v>
      </c>
      <c r="C272" s="1106">
        <f t="shared" si="194"/>
        <v>46579</v>
      </c>
      <c r="D272" s="1127">
        <v>103427</v>
      </c>
      <c r="E272" s="1107"/>
      <c r="F272" s="1107" t="str">
        <f>IFERROR(VLOOKUP(G272,Recria[[Granja Recria]:[Emp+CC]],4,0),"")</f>
        <v>112_2401</v>
      </c>
      <c r="G272" s="1108" t="s">
        <v>241</v>
      </c>
      <c r="H272" s="1109" t="str">
        <f>IFERROR(VLOOKUP(G272,Recria[[Granja Recria]:[Núcleo]],2,0),"")</f>
        <v>(N6)</v>
      </c>
      <c r="I272" s="1110">
        <v>84000</v>
      </c>
      <c r="J272" s="1105" t="s">
        <v>60</v>
      </c>
      <c r="K272" s="1105">
        <v>26</v>
      </c>
      <c r="L272" s="1105" t="str">
        <f>VLOOKUP(M272,Raca_Linhagem[],2,0)</f>
        <v>COBB</v>
      </c>
      <c r="M272" s="1105" t="s">
        <v>21</v>
      </c>
      <c r="N272" s="1106">
        <f t="shared" si="200"/>
        <v>46726</v>
      </c>
      <c r="O272" s="1105"/>
      <c r="P272" s="1105" t="str">
        <f>IFERROR(VLOOKUP(Q272,Producao[[Granja Produção]:[Emp+CC]],4,0),"")</f>
        <v>116_2297</v>
      </c>
      <c r="Q272" s="1111" t="s">
        <v>133</v>
      </c>
      <c r="R272" s="1105" t="str">
        <f>IFERROR(VLOOKUP(Q272,Producao[[Granja Produção]:[Núcleo]],2,0),"")</f>
        <v>(N1)</v>
      </c>
      <c r="S272" s="1110">
        <v>80000</v>
      </c>
      <c r="T272" s="1112">
        <f t="shared" si="201"/>
        <v>47040</v>
      </c>
      <c r="U272" s="1113">
        <v>66</v>
      </c>
      <c r="V272" s="1114"/>
      <c r="W272" s="1115">
        <f t="shared" si="203"/>
        <v>47040</v>
      </c>
      <c r="X272" s="1116" t="e">
        <f>VLOOKUP(Q272,Q301:Q477,1,0)</f>
        <v>#N/A</v>
      </c>
      <c r="Y272" s="1229" t="str">
        <f t="shared" si="202"/>
        <v>Pluma 6 - PR103427</v>
      </c>
      <c r="Z272" s="818">
        <f>SUMIF($Y$114:$Y$314,Y272,$S$114:$S$1288)</f>
        <v>80000</v>
      </c>
      <c r="AA272" s="1117"/>
      <c r="AC272" s="1316" t="str">
        <f t="shared" si="173"/>
        <v>Vora 1 - PR</v>
      </c>
      <c r="AD272" s="1317">
        <f t="shared" si="174"/>
        <v>46579</v>
      </c>
      <c r="AE272" s="1317">
        <f t="shared" si="175"/>
        <v>46726</v>
      </c>
      <c r="AF272" s="1317">
        <f t="shared" si="176"/>
        <v>47040</v>
      </c>
      <c r="AG272" s="1315" t="str">
        <f t="shared" si="208"/>
        <v>500 SLOW - MALE</v>
      </c>
      <c r="AH272" s="1315" t="str">
        <f t="shared" si="209"/>
        <v>COBB</v>
      </c>
      <c r="AJ272" s="818"/>
    </row>
    <row r="273" spans="1:36" s="824" customFormat="1">
      <c r="A273" s="1105" t="s">
        <v>17</v>
      </c>
      <c r="B273" s="781">
        <f>N226+K226</f>
        <v>46579</v>
      </c>
      <c r="C273" s="1106">
        <f t="shared" si="194"/>
        <v>46579</v>
      </c>
      <c r="D273" s="1127">
        <v>103827</v>
      </c>
      <c r="E273" s="1107"/>
      <c r="F273" s="1107" t="str">
        <f>IFERROR(VLOOKUP(G273,Recria[[Granja Recria]:[Emp+CC]],4,0),"")</f>
        <v>10_327</v>
      </c>
      <c r="G273" s="1108" t="s">
        <v>157</v>
      </c>
      <c r="H273" s="1109" t="str">
        <f>IFERROR(VLOOKUP(G273,Recria[[Granja Recria]:[Núcleo]],2,0),"")</f>
        <v>(N2)</v>
      </c>
      <c r="I273" s="1110">
        <v>38000</v>
      </c>
      <c r="J273" s="1105" t="s">
        <v>60</v>
      </c>
      <c r="K273" s="1105">
        <v>25</v>
      </c>
      <c r="L273" s="1105" t="str">
        <f>VLOOKUP(M273,Raca_Linhagem[],2,0)</f>
        <v>ROSS</v>
      </c>
      <c r="M273" s="1118" t="s">
        <v>26</v>
      </c>
      <c r="N273" s="1106">
        <f t="shared" si="200"/>
        <v>46726</v>
      </c>
      <c r="O273" s="1105"/>
      <c r="P273" s="1105" t="str">
        <f>IFERROR(VLOOKUP(Q273,Producao[[Granja Produção]:[Emp+CC]],4,0),"")</f>
        <v>26_167</v>
      </c>
      <c r="Q273" s="1111" t="s">
        <v>136</v>
      </c>
      <c r="R273" s="1105" t="str">
        <f>IFERROR(VLOOKUP(Q273,Producao[[Granja Produção]:[Núcleo]],2,0),"")</f>
        <v>(N2)</v>
      </c>
      <c r="S273" s="1110">
        <f t="shared" si="167"/>
        <v>36290</v>
      </c>
      <c r="T273" s="1112">
        <f t="shared" si="201"/>
        <v>47040</v>
      </c>
      <c r="U273" s="1113">
        <v>66</v>
      </c>
      <c r="V273" s="1114"/>
      <c r="W273" s="1115">
        <f t="shared" si="203"/>
        <v>47040</v>
      </c>
      <c r="X273" s="1116" t="e">
        <f>VLOOKUP(Q273,Q330:Q497,1,0)</f>
        <v>#N/A</v>
      </c>
      <c r="Y273" s="1229" t="str">
        <f t="shared" si="202"/>
        <v>Santa Tereza 2 - PR103827</v>
      </c>
      <c r="Z273" s="818">
        <f>SUMIF($Y$114:$Y$314,Y273,$S$114:$S$1288)</f>
        <v>36290</v>
      </c>
      <c r="AA273" s="1117"/>
      <c r="AC273" s="1316" t="str">
        <f t="shared" si="173"/>
        <v>Salto 2 - PR</v>
      </c>
      <c r="AD273" s="1317">
        <f t="shared" si="174"/>
        <v>46579</v>
      </c>
      <c r="AE273" s="1317">
        <f t="shared" si="175"/>
        <v>46726</v>
      </c>
      <c r="AF273" s="1317">
        <f t="shared" si="176"/>
        <v>47040</v>
      </c>
      <c r="AG273" s="1315" t="str">
        <f t="shared" si="208"/>
        <v>AP95 - 344</v>
      </c>
      <c r="AH273" s="1315" t="str">
        <f t="shared" si="209"/>
        <v>ROSS</v>
      </c>
      <c r="AJ273" s="818"/>
    </row>
    <row r="274" spans="1:36" s="824" customFormat="1">
      <c r="A274" s="1105" t="s">
        <v>17</v>
      </c>
      <c r="B274" s="781">
        <f>N227+K227</f>
        <v>46586</v>
      </c>
      <c r="C274" s="1106">
        <f t="shared" si="194"/>
        <v>46586</v>
      </c>
      <c r="D274" s="1127">
        <v>104027</v>
      </c>
      <c r="E274" s="1107"/>
      <c r="F274" s="1107" t="str">
        <f>IFERROR(VLOOKUP(G274,Recria[[Granja Recria]:[Emp+CC]],4,0),"")</f>
        <v>117_1531</v>
      </c>
      <c r="G274" s="1108" t="s">
        <v>160</v>
      </c>
      <c r="H274" s="1109" t="str">
        <f>IFERROR(VLOOKUP(G274,Recria[[Granja Recria]:[Núcleo]],2,0),"")</f>
        <v>(N7)</v>
      </c>
      <c r="I274" s="1110">
        <v>84000</v>
      </c>
      <c r="J274" s="1105" t="s">
        <v>45</v>
      </c>
      <c r="K274" s="1105">
        <v>49</v>
      </c>
      <c r="L274" s="1118" t="str">
        <f>VLOOKUP(M274,Raca_Linhagem[],2,0)</f>
        <v>ROSS</v>
      </c>
      <c r="M274" s="1118" t="s">
        <v>26</v>
      </c>
      <c r="N274" s="1106">
        <f t="shared" si="200"/>
        <v>46733</v>
      </c>
      <c r="O274" s="1105"/>
      <c r="P274" s="1105" t="str">
        <f>IFERROR(VLOOKUP(Q274,Producao[[Granja Produção]:[Emp+CC]],4,0),"")</f>
        <v>117_157</v>
      </c>
      <c r="Q274" s="1111" t="s">
        <v>124</v>
      </c>
      <c r="R274" s="1105" t="str">
        <f>IFERROR(VLOOKUP(Q274,Producao[[Granja Produção]:[Núcleo]],2,0),"")</f>
        <v>(N3)</v>
      </c>
      <c r="S274" s="1110">
        <v>40000</v>
      </c>
      <c r="T274" s="1112">
        <f t="shared" si="201"/>
        <v>47047</v>
      </c>
      <c r="U274" s="1113">
        <v>66</v>
      </c>
      <c r="V274" s="1114"/>
      <c r="W274" s="1115">
        <f t="shared" si="203"/>
        <v>47047</v>
      </c>
      <c r="X274" s="1116" t="e">
        <f>VLOOKUP(Q274,Q331:Q498,1,0)</f>
        <v>#N/A</v>
      </c>
      <c r="Y274" s="1229" t="str">
        <f t="shared" si="202"/>
        <v>Bom S. Rec. 2 - PR104027</v>
      </c>
      <c r="Z274" s="818">
        <f>SUMIF($Y$114:$Y$314,Y274,$S$114:$S$1288)</f>
        <v>80000</v>
      </c>
      <c r="AA274" s="1117"/>
      <c r="AC274" s="1316" t="str">
        <f t="shared" si="173"/>
        <v>Bom sucesso 3 - PR</v>
      </c>
      <c r="AD274" s="1317">
        <f t="shared" si="174"/>
        <v>46586</v>
      </c>
      <c r="AE274" s="1317">
        <f t="shared" si="175"/>
        <v>46733</v>
      </c>
      <c r="AF274" s="1317">
        <f t="shared" si="176"/>
        <v>47047</v>
      </c>
      <c r="AG274" s="1315" t="str">
        <f t="shared" si="208"/>
        <v>AP95 - 344</v>
      </c>
      <c r="AH274" s="1315" t="str">
        <f t="shared" si="209"/>
        <v>ROSS</v>
      </c>
      <c r="AJ274" s="818"/>
    </row>
    <row r="275" spans="1:36" s="824" customFormat="1">
      <c r="A275" s="1105" t="s">
        <v>17</v>
      </c>
      <c r="B275" s="781">
        <f>N228+K228</f>
        <v>46586</v>
      </c>
      <c r="C275" s="1106">
        <f t="shared" si="194"/>
        <v>46586</v>
      </c>
      <c r="D275" s="1127">
        <v>104027</v>
      </c>
      <c r="E275" s="1107"/>
      <c r="F275" s="1107" t="str">
        <f>IFERROR(VLOOKUP(G275,Recria[[Granja Recria]:[Emp+CC]],4,0),"")</f>
        <v>117_1531</v>
      </c>
      <c r="G275" s="1108" t="s">
        <v>160</v>
      </c>
      <c r="H275" s="1109" t="str">
        <f>IFERROR(VLOOKUP(G275,Recria[[Granja Recria]:[Núcleo]],2,0),"")</f>
        <v>(N7)</v>
      </c>
      <c r="I275" s="1110"/>
      <c r="J275" s="1105" t="s">
        <v>45</v>
      </c>
      <c r="K275" s="1105">
        <v>49</v>
      </c>
      <c r="L275" s="1118" t="str">
        <f>VLOOKUP(M275,Raca_Linhagem[],2,0)</f>
        <v>ROSS</v>
      </c>
      <c r="M275" s="1118" t="s">
        <v>26</v>
      </c>
      <c r="N275" s="1106">
        <f t="shared" ref="N275" si="210">C275+(22*7)-7</f>
        <v>46733</v>
      </c>
      <c r="O275" s="1105"/>
      <c r="P275" s="1105" t="str">
        <f>IFERROR(VLOOKUP(Q275,Producao[[Granja Produção]:[Emp+CC]],4,0),"")</f>
        <v>117_219</v>
      </c>
      <c r="Q275" s="1111" t="s">
        <v>130</v>
      </c>
      <c r="R275" s="1105" t="str">
        <f>IFERROR(VLOOKUP(Q275,Producao[[Granja Produção]:[Núcleo]],2,0),"")</f>
        <v>(N6)</v>
      </c>
      <c r="S275" s="1110">
        <v>40000</v>
      </c>
      <c r="T275" s="1112">
        <f t="shared" ref="T275" si="211">C275+(U275*7)-1</f>
        <v>47047</v>
      </c>
      <c r="U275" s="1113">
        <v>66</v>
      </c>
      <c r="V275" s="1114"/>
      <c r="W275" s="1115">
        <f t="shared" ref="W275" si="212">IFERROR(T275+V275," ")</f>
        <v>47047</v>
      </c>
      <c r="X275" s="1116" t="e">
        <f>VLOOKUP(Q275,Q332:Q499,1,0)</f>
        <v>#N/A</v>
      </c>
      <c r="Y275" s="1229" t="str">
        <f t="shared" ref="Y275" si="213">G275&amp;D275</f>
        <v>Bom S. Rec. 2 - PR104027</v>
      </c>
      <c r="Z275" s="818">
        <f>SUMIF($Y$114:$Y$314,Y275,$S$114:$S$1288)</f>
        <v>80000</v>
      </c>
      <c r="AA275" s="1117"/>
      <c r="AC275" s="1316" t="str">
        <f t="shared" si="173"/>
        <v>Bom sucesso 5 - PR</v>
      </c>
      <c r="AD275" s="1317">
        <f t="shared" si="174"/>
        <v>46586</v>
      </c>
      <c r="AE275" s="1317">
        <f t="shared" si="175"/>
        <v>46733</v>
      </c>
      <c r="AF275" s="1317">
        <f t="shared" si="176"/>
        <v>47047</v>
      </c>
      <c r="AG275" s="1315" t="str">
        <f t="shared" si="208"/>
        <v>AP95 - 344</v>
      </c>
      <c r="AH275" s="1315" t="str">
        <f t="shared" si="209"/>
        <v>ROSS</v>
      </c>
      <c r="AJ275" s="818"/>
    </row>
    <row r="276" spans="1:36" s="824" customFormat="1">
      <c r="A276" s="1105" t="s">
        <v>17</v>
      </c>
      <c r="B276" s="781">
        <f>N224+K224</f>
        <v>46597</v>
      </c>
      <c r="C276" s="1106">
        <f t="shared" si="194"/>
        <v>46597</v>
      </c>
      <c r="D276" s="1127">
        <v>104127</v>
      </c>
      <c r="E276" s="1107"/>
      <c r="F276" s="1107" t="str">
        <f>IFERROR(VLOOKUP(G276,Recria[[Granja Recria]:[Emp+CC]],4,0),"")</f>
        <v>27_165</v>
      </c>
      <c r="G276" s="1108" t="s">
        <v>151</v>
      </c>
      <c r="H276" s="1109" t="str">
        <f>IFERROR(VLOOKUP(G276,Recria[[Granja Recria]:[Núcleo]],2,0),"")</f>
        <v>(N1)</v>
      </c>
      <c r="I276" s="1110">
        <v>42000</v>
      </c>
      <c r="J276" s="1105" t="s">
        <v>60</v>
      </c>
      <c r="K276" s="1105">
        <v>25</v>
      </c>
      <c r="L276" s="1122" t="str">
        <f>VLOOKUP(M276,Raca_Linhagem[],2,0)</f>
        <v>ROSS</v>
      </c>
      <c r="M276" s="1118" t="s">
        <v>26</v>
      </c>
      <c r="N276" s="1106">
        <f t="shared" si="200"/>
        <v>46744</v>
      </c>
      <c r="O276" s="1105"/>
      <c r="P276" s="1105" t="str">
        <f>IFERROR(VLOOKUP(Q276,Producao[[Granja Produção]:[Emp+CC]],4,0),"")</f>
        <v>17_107</v>
      </c>
      <c r="Q276" s="1111" t="s">
        <v>152</v>
      </c>
      <c r="R276" s="1105" t="str">
        <f>IFERROR(VLOOKUP(Q276,Producao[[Granja Produção]:[Núcleo]],2,0),"")</f>
        <v>(N4)</v>
      </c>
      <c r="S276" s="1110">
        <f t="shared" si="167"/>
        <v>40110</v>
      </c>
      <c r="T276" s="1112">
        <f t="shared" si="201"/>
        <v>47058</v>
      </c>
      <c r="U276" s="1113">
        <v>66</v>
      </c>
      <c r="V276" s="1114"/>
      <c r="W276" s="1115">
        <f t="shared" si="203"/>
        <v>47058</v>
      </c>
      <c r="X276" s="1116" t="e">
        <f>VLOOKUP(Q276,Q332:Q499,1,0)</f>
        <v>#N/A</v>
      </c>
      <c r="Y276" s="1229" t="str">
        <f t="shared" si="202"/>
        <v>Rio Chopim 1 - PR104127</v>
      </c>
      <c r="Z276" s="818">
        <f>SUMIF($Y$114:$Y$314,Y276,$S$114:$S$1288)</f>
        <v>40110</v>
      </c>
      <c r="AA276" s="1117"/>
      <c r="AC276" s="1316" t="str">
        <f t="shared" si="173"/>
        <v>Bela Vista 4 - PR</v>
      </c>
      <c r="AD276" s="1317">
        <f t="shared" si="174"/>
        <v>46597</v>
      </c>
      <c r="AE276" s="1317">
        <f t="shared" si="175"/>
        <v>46744</v>
      </c>
      <c r="AF276" s="1317">
        <f t="shared" si="176"/>
        <v>47058</v>
      </c>
      <c r="AG276" s="1315" t="str">
        <f t="shared" si="208"/>
        <v>AP95 - 344</v>
      </c>
      <c r="AH276" s="1315" t="str">
        <f t="shared" si="209"/>
        <v>ROSS</v>
      </c>
      <c r="AJ276" s="818"/>
    </row>
    <row r="277" spans="1:36" s="824" customFormat="1">
      <c r="A277" s="1105" t="s">
        <v>17</v>
      </c>
      <c r="B277" s="781">
        <f>N225+K225</f>
        <v>46597</v>
      </c>
      <c r="C277" s="1106">
        <f t="shared" si="194"/>
        <v>46597</v>
      </c>
      <c r="D277" s="1127">
        <v>104227</v>
      </c>
      <c r="E277" s="1119">
        <v>134</v>
      </c>
      <c r="F277" s="1107" t="str">
        <f>IFERROR(VLOOKUP(G277,Recria[[Granja Recria]:[Emp+CC]],4,0),"")</f>
        <v>10_1405</v>
      </c>
      <c r="G277" s="1108" t="s">
        <v>148</v>
      </c>
      <c r="H277" s="1109" t="str">
        <f>IFERROR(VLOOKUP(G277,Recria[[Granja Recria]:[Núcleo]],2,0),"")</f>
        <v>(N1)</v>
      </c>
      <c r="I277" s="1110">
        <v>61000</v>
      </c>
      <c r="J277" s="1105" t="s">
        <v>60</v>
      </c>
      <c r="K277" s="1105">
        <v>25</v>
      </c>
      <c r="L277" s="1118" t="str">
        <f>VLOOKUP(M277,Raca_Linhagem[],2,0)</f>
        <v>ROSS</v>
      </c>
      <c r="M277" s="1105" t="s">
        <v>31</v>
      </c>
      <c r="N277" s="1106">
        <f t="shared" si="200"/>
        <v>46744</v>
      </c>
      <c r="O277" s="1105"/>
      <c r="P277" s="1105" t="str">
        <f>IFERROR(VLOOKUP(Q277,Producao[[Granja Produção]:[Emp+CC]],4,0),"")</f>
        <v>123_1537</v>
      </c>
      <c r="Q277" s="1111" t="s">
        <v>140</v>
      </c>
      <c r="R277" s="1105" t="str">
        <f>IFERROR(VLOOKUP(Q277,Producao[[Granja Produção]:[Núcleo]],2,0),"")</f>
        <v>(N2)</v>
      </c>
      <c r="S277" s="1110">
        <f t="shared" si="167"/>
        <v>58255</v>
      </c>
      <c r="T277" s="1112">
        <f t="shared" si="201"/>
        <v>47058</v>
      </c>
      <c r="U277" s="1113">
        <v>66</v>
      </c>
      <c r="V277" s="1114"/>
      <c r="W277" s="1115">
        <f t="shared" si="203"/>
        <v>47058</v>
      </c>
      <c r="X277" s="1116" t="e">
        <f>VLOOKUP(Q277,Q333:Q500,1,0)</f>
        <v>#N/A</v>
      </c>
      <c r="Y277" s="1229" t="str">
        <f t="shared" si="202"/>
        <v>Rio Chopim 3 - PR104227</v>
      </c>
      <c r="Z277" s="818">
        <f>SUMIF($Y$114:$Y$314,Y277,$S$114:$S$1288)</f>
        <v>58255</v>
      </c>
      <c r="AA277" s="1117"/>
      <c r="AC277" s="1316" t="str">
        <f t="shared" si="173"/>
        <v>Fronteira 2 - PR</v>
      </c>
      <c r="AD277" s="1317">
        <f t="shared" si="174"/>
        <v>46597</v>
      </c>
      <c r="AE277" s="1317">
        <f t="shared" si="175"/>
        <v>46744</v>
      </c>
      <c r="AF277" s="1317">
        <f t="shared" si="176"/>
        <v>47058</v>
      </c>
      <c r="AG277" s="1315" t="str">
        <f t="shared" si="208"/>
        <v>AP95 - 344  JBS</v>
      </c>
      <c r="AH277" s="1315" t="str">
        <f t="shared" si="209"/>
        <v>ROSS</v>
      </c>
      <c r="AJ277" s="818"/>
    </row>
    <row r="278" spans="1:36" s="824" customFormat="1">
      <c r="A278" s="1105" t="s">
        <v>17</v>
      </c>
      <c r="B278" s="781">
        <f>N229+K229</f>
        <v>46601</v>
      </c>
      <c r="C278" s="1106">
        <f t="shared" si="194"/>
        <v>46601</v>
      </c>
      <c r="D278" s="1127">
        <v>104327</v>
      </c>
      <c r="E278" s="1107"/>
      <c r="F278" s="1107" t="str">
        <f>IFERROR(VLOOKUP(G278,Recria[[Granja Recria]:[Emp+CC]],4,0),"")</f>
        <v>10_116</v>
      </c>
      <c r="G278" s="1108" t="s">
        <v>144</v>
      </c>
      <c r="H278" s="1109" t="str">
        <f>IFERROR(VLOOKUP(G278,Recria[[Granja Recria]:[Núcleo]],2,0),"")</f>
        <v>(N1)</v>
      </c>
      <c r="I278" s="1110">
        <v>60000</v>
      </c>
      <c r="J278" s="1105" t="s">
        <v>45</v>
      </c>
      <c r="K278" s="1105">
        <v>49</v>
      </c>
      <c r="L278" s="1120" t="str">
        <f>VLOOKUP(M278,Raca_Linhagem[],2,0)</f>
        <v>COBB</v>
      </c>
      <c r="M278" s="1105" t="s">
        <v>21</v>
      </c>
      <c r="N278" s="674">
        <f>C278+(22*7)-7</f>
        <v>46748</v>
      </c>
      <c r="O278" s="675"/>
      <c r="P278" s="675" t="str">
        <f>IFERROR(VLOOKUP(Q278,Producao[[Granja Produção]:[Emp+CC]],4,0),"")</f>
        <v>87_854</v>
      </c>
      <c r="Q278" s="676" t="s">
        <v>165</v>
      </c>
      <c r="R278" s="677" t="str">
        <f>IFERROR(VLOOKUP(Q278,Producao[[Granja Produção]:[Núcleo]],2,0),"")</f>
        <v>(N2)</v>
      </c>
      <c r="S278" s="702">
        <v>22000</v>
      </c>
      <c r="T278" s="679">
        <f>C278+(U278*7)-1</f>
        <v>47062</v>
      </c>
      <c r="U278" s="680">
        <v>66</v>
      </c>
      <c r="V278" s="682"/>
      <c r="W278" s="681">
        <f>IFERROR(T278+V278," ")</f>
        <v>47062</v>
      </c>
      <c r="X278" s="1116" t="e">
        <f>VLOOKUP(Q278,Q334:Q501,1,0)</f>
        <v>#N/A</v>
      </c>
      <c r="Y278" s="1229" t="str">
        <f t="shared" si="202"/>
        <v>Santa Izabel - PR104327</v>
      </c>
      <c r="Z278" s="818">
        <f>SUMIF($Y$114:$Y$314,Y278,$S$114:$S$1288)</f>
        <v>57000</v>
      </c>
      <c r="AA278" s="1117"/>
      <c r="AC278" s="1316" t="str">
        <f t="shared" si="173"/>
        <v>Samambaia 2 - SP</v>
      </c>
      <c r="AD278" s="1317">
        <f t="shared" si="174"/>
        <v>46601</v>
      </c>
      <c r="AE278" s="1317">
        <f t="shared" si="175"/>
        <v>46748</v>
      </c>
      <c r="AF278" s="1317">
        <f t="shared" si="176"/>
        <v>47062</v>
      </c>
      <c r="AG278" s="1315" t="str">
        <f t="shared" si="208"/>
        <v>500 SLOW - MALE</v>
      </c>
      <c r="AH278" s="1315" t="str">
        <f t="shared" si="209"/>
        <v>COBB</v>
      </c>
      <c r="AJ278" s="818"/>
    </row>
    <row r="279" spans="1:36" s="824" customFormat="1">
      <c r="A279" s="1105" t="s">
        <v>17</v>
      </c>
      <c r="B279" s="781">
        <f>N229+K229</f>
        <v>46601</v>
      </c>
      <c r="C279" s="1106">
        <f t="shared" si="194"/>
        <v>46601</v>
      </c>
      <c r="D279" s="1127">
        <v>104327</v>
      </c>
      <c r="E279" s="1107"/>
      <c r="F279" s="1107" t="str">
        <f>IFERROR(VLOOKUP(G279,Recria[[Granja Recria]:[Emp+CC]],4,0),"")</f>
        <v>10_116</v>
      </c>
      <c r="G279" s="1108" t="s">
        <v>144</v>
      </c>
      <c r="H279" s="1109" t="str">
        <f>IFERROR(VLOOKUP(G279,Recria[[Granja Recria]:[Núcleo]],2,0),"")</f>
        <v>(N1)</v>
      </c>
      <c r="I279" s="1110"/>
      <c r="J279" s="1105" t="s">
        <v>45</v>
      </c>
      <c r="K279" s="1105">
        <v>49</v>
      </c>
      <c r="L279" s="1120" t="str">
        <f>VLOOKUP(M279,Raca_Linhagem[],2,0)</f>
        <v>COBB</v>
      </c>
      <c r="M279" s="1105" t="s">
        <v>21</v>
      </c>
      <c r="N279" s="1106">
        <f t="shared" ref="N279" si="214">C279+(22*7)-7</f>
        <v>46748</v>
      </c>
      <c r="O279" s="1105"/>
      <c r="P279" s="1105" t="str">
        <f>IFERROR(VLOOKUP(Q279,Producao[[Granja Produção]:[Emp+CC]],4,0),"")</f>
        <v>10_856</v>
      </c>
      <c r="Q279" s="1111" t="s">
        <v>142</v>
      </c>
      <c r="R279" s="1105" t="str">
        <f>IFERROR(VLOOKUP(Q279,Producao[[Granja Produção]:[Núcleo]],2,0),"")</f>
        <v>(N1)</v>
      </c>
      <c r="S279" s="1110">
        <v>35000</v>
      </c>
      <c r="T279" s="1112">
        <f t="shared" ref="T279" si="215">C279+(U279*7)-1</f>
        <v>47062</v>
      </c>
      <c r="U279" s="1113">
        <v>66</v>
      </c>
      <c r="V279" s="1114"/>
      <c r="W279" s="1115">
        <f t="shared" ref="W279" si="216">IFERROR(T279+V279," ")</f>
        <v>47062</v>
      </c>
      <c r="X279" s="1116" t="e">
        <f>VLOOKUP(Q279,Q335:Q502,1,0)</f>
        <v>#N/A</v>
      </c>
      <c r="Y279" s="1229" t="str">
        <f t="shared" ref="Y279" si="217">G279&amp;D279</f>
        <v>Santa Izabel - PR104327</v>
      </c>
      <c r="Z279" s="818">
        <f>SUMIF($Y$114:$Y$314,Y279,$S$114:$S$1288)</f>
        <v>57000</v>
      </c>
      <c r="AA279" s="1117"/>
      <c r="AC279" s="1316" t="str">
        <f t="shared" si="173"/>
        <v>JS - PR</v>
      </c>
      <c r="AD279" s="1317">
        <f t="shared" si="174"/>
        <v>46601</v>
      </c>
      <c r="AE279" s="1317">
        <f t="shared" si="175"/>
        <v>46748</v>
      </c>
      <c r="AF279" s="1317">
        <f t="shared" si="176"/>
        <v>47062</v>
      </c>
      <c r="AG279" s="1315" t="str">
        <f t="shared" si="208"/>
        <v>500 SLOW - MALE</v>
      </c>
      <c r="AH279" s="1315" t="str">
        <f t="shared" si="209"/>
        <v>COBB</v>
      </c>
      <c r="AJ279" s="818"/>
    </row>
    <row r="280" spans="1:36" s="820" customFormat="1">
      <c r="A280" s="766" t="s">
        <v>17</v>
      </c>
      <c r="B280" s="767">
        <f>N231+K231</f>
        <v>46609</v>
      </c>
      <c r="C280" s="768">
        <f t="shared" si="194"/>
        <v>46609</v>
      </c>
      <c r="D280" s="1079">
        <v>104427</v>
      </c>
      <c r="E280" s="769"/>
      <c r="F280" s="769" t="str">
        <f>IFERROR(VLOOKUP(G280,Recria[[Granja Recria]:[Emp+CC]],4,0),"")</f>
        <v>10_1182</v>
      </c>
      <c r="G280" s="770" t="s">
        <v>154</v>
      </c>
      <c r="H280" s="771" t="str">
        <f>IFERROR(VLOOKUP(G280,Recria[[Granja Recria]:[Núcleo]],2,0),"")</f>
        <v>(N2)</v>
      </c>
      <c r="I280" s="772">
        <v>60000</v>
      </c>
      <c r="J280" s="766" t="s">
        <v>45</v>
      </c>
      <c r="K280" s="766">
        <v>50</v>
      </c>
      <c r="L280" s="813" t="str">
        <f>VLOOKUP(M280,Raca_Linhagem[],2,0)</f>
        <v>COBB</v>
      </c>
      <c r="M280" s="813" t="s">
        <v>21</v>
      </c>
      <c r="N280" s="773">
        <f t="shared" si="200"/>
        <v>46756</v>
      </c>
      <c r="O280" s="774"/>
      <c r="P280" s="774" t="str">
        <f>IFERROR(VLOOKUP(Q280,Producao[[Granja Produção]:[Emp+CC]],4,0),"")</f>
        <v>10_55</v>
      </c>
      <c r="Q280" s="775" t="s">
        <v>155</v>
      </c>
      <c r="R280" s="766" t="str">
        <f>IFERROR(VLOOKUP(Q280,Producao[[Granja Produção]:[Núcleo]],2,0),"")</f>
        <v>(N1)</v>
      </c>
      <c r="S280" s="776">
        <f t="shared" si="167"/>
        <v>57300</v>
      </c>
      <c r="T280" s="777">
        <f t="shared" si="201"/>
        <v>47070</v>
      </c>
      <c r="U280" s="778">
        <v>66</v>
      </c>
      <c r="V280" s="779"/>
      <c r="W280" s="780">
        <f t="shared" si="203"/>
        <v>47070</v>
      </c>
      <c r="X280" s="811" t="e">
        <f>VLOOKUP(Q280,Q335:Q502,1,0)</f>
        <v>#N/A</v>
      </c>
      <c r="Y280" s="1229" t="str">
        <f t="shared" si="202"/>
        <v>N. S. Carmo 2 - PR104427</v>
      </c>
      <c r="Z280" s="818">
        <f>SUMIF($Y$114:$Y$314,Y280,$S$114:$S$1288)</f>
        <v>57300</v>
      </c>
      <c r="AA280" s="821"/>
      <c r="AC280" s="1316" t="str">
        <f t="shared" si="173"/>
        <v>Celso Hoffelder - PR</v>
      </c>
      <c r="AD280" s="1317">
        <f t="shared" si="174"/>
        <v>46609</v>
      </c>
      <c r="AE280" s="1317">
        <f t="shared" si="175"/>
        <v>46756</v>
      </c>
      <c r="AF280" s="1317">
        <f t="shared" si="176"/>
        <v>47070</v>
      </c>
      <c r="AG280" s="1315" t="str">
        <f t="shared" si="208"/>
        <v>500 SLOW - MALE</v>
      </c>
      <c r="AH280" s="1315" t="str">
        <f t="shared" si="209"/>
        <v>COBB</v>
      </c>
      <c r="AJ280" s="818"/>
    </row>
    <row r="281" spans="1:36" s="820" customFormat="1">
      <c r="A281" s="766" t="s">
        <v>17</v>
      </c>
      <c r="B281" s="767">
        <f>N232+K232</f>
        <v>46623</v>
      </c>
      <c r="C281" s="768">
        <f t="shared" si="194"/>
        <v>46623</v>
      </c>
      <c r="D281" s="1079">
        <v>104527</v>
      </c>
      <c r="E281" s="769"/>
      <c r="F281" s="769" t="str">
        <f>IFERROR(VLOOKUP(G281,Recria[[Granja Recria]:[Emp+CC]],4,0),"")</f>
        <v>124_47</v>
      </c>
      <c r="G281" s="770" t="s">
        <v>52</v>
      </c>
      <c r="H281" s="771" t="str">
        <f>IFERROR(VLOOKUP(G281,Recria[[Granja Recria]:[Núcleo]],2,0),"")</f>
        <v>(N1)</v>
      </c>
      <c r="I281" s="772">
        <v>30000</v>
      </c>
      <c r="J281" s="766" t="s">
        <v>45</v>
      </c>
      <c r="K281" s="766">
        <v>49</v>
      </c>
      <c r="L281" s="812" t="str">
        <f>VLOOKUP(M281,Raca_Linhagem[],2,0)</f>
        <v>ROSS</v>
      </c>
      <c r="M281" s="812" t="s">
        <v>26</v>
      </c>
      <c r="N281" s="773">
        <f t="shared" si="200"/>
        <v>46770</v>
      </c>
      <c r="O281" s="774"/>
      <c r="P281" s="774" t="str">
        <f>IFERROR(VLOOKUP(Q281,Producao[[Granja Produção]:[Emp+CC]],4,0),"")</f>
        <v>10_367</v>
      </c>
      <c r="Q281" s="775" t="s">
        <v>146</v>
      </c>
      <c r="R281" s="766" t="str">
        <f>IFERROR(VLOOKUP(Q281,Producao[[Granja Produção]:[Núcleo]],2,0),"")</f>
        <v>(N1)</v>
      </c>
      <c r="S281" s="776">
        <f t="shared" si="167"/>
        <v>28650</v>
      </c>
      <c r="T281" s="777">
        <f t="shared" si="201"/>
        <v>47084</v>
      </c>
      <c r="U281" s="778">
        <v>66</v>
      </c>
      <c r="V281" s="779"/>
      <c r="W281" s="780">
        <f t="shared" si="203"/>
        <v>47084</v>
      </c>
      <c r="X281" s="811" t="e">
        <f>VLOOKUP(Q281,Q337:Q504,1,0)</f>
        <v>#N/A</v>
      </c>
      <c r="Y281" s="1229" t="str">
        <f t="shared" si="202"/>
        <v>Quedas - PR104527</v>
      </c>
      <c r="Z281" s="818">
        <f>SUMIF($Y$114:$Y$314,Y281,$S$114:$S$1288)</f>
        <v>28650</v>
      </c>
      <c r="AA281" s="821"/>
      <c r="AC281" s="1316" t="str">
        <f t="shared" si="173"/>
        <v>Ilha Bella 1 - PR</v>
      </c>
      <c r="AD281" s="1317">
        <f t="shared" si="174"/>
        <v>46623</v>
      </c>
      <c r="AE281" s="1317">
        <f t="shared" si="175"/>
        <v>46770</v>
      </c>
      <c r="AF281" s="1317">
        <f t="shared" si="176"/>
        <v>47084</v>
      </c>
      <c r="AG281" s="1315" t="str">
        <f t="shared" si="208"/>
        <v>AP95 - 344</v>
      </c>
      <c r="AH281" s="1315" t="str">
        <f t="shared" si="209"/>
        <v>ROSS</v>
      </c>
      <c r="AJ281" s="818"/>
    </row>
    <row r="282" spans="1:36" s="820" customFormat="1">
      <c r="A282" s="766" t="s">
        <v>17</v>
      </c>
      <c r="B282" s="767">
        <f>N233+K233</f>
        <v>46616</v>
      </c>
      <c r="C282" s="768">
        <f t="shared" si="194"/>
        <v>46616</v>
      </c>
      <c r="D282" s="1079">
        <v>104627</v>
      </c>
      <c r="E282" s="769"/>
      <c r="F282" s="769" t="str">
        <f>IFERROR(VLOOKUP(G282,Recria[[Granja Recria]:[Emp+CC]],4,0),"")</f>
        <v>10_203</v>
      </c>
      <c r="G282" s="770" t="s">
        <v>25</v>
      </c>
      <c r="H282" s="771" t="str">
        <f>IFERROR(VLOOKUP(G282,Recria[[Granja Recria]:[Núcleo]],2,0),"")</f>
        <v>(N1)</v>
      </c>
      <c r="I282" s="772">
        <v>60000</v>
      </c>
      <c r="J282" s="766" t="s">
        <v>45</v>
      </c>
      <c r="K282" s="766">
        <v>49</v>
      </c>
      <c r="L282" s="812" t="str">
        <f>VLOOKUP(M282,Raca_Linhagem[],2,0)</f>
        <v>ROSS</v>
      </c>
      <c r="M282" s="812" t="s">
        <v>26</v>
      </c>
      <c r="N282" s="773">
        <f t="shared" si="200"/>
        <v>46763</v>
      </c>
      <c r="O282" s="774"/>
      <c r="P282" s="774" t="str">
        <f>IFERROR(VLOOKUP(Q282,Producao[[Granja Produção]:[Emp+CC]],4,0),"")</f>
        <v>10_367</v>
      </c>
      <c r="Q282" s="775" t="s">
        <v>146</v>
      </c>
      <c r="R282" s="766" t="str">
        <f>IFERROR(VLOOKUP(Q282,Producao[[Granja Produção]:[Núcleo]],2,0),"")</f>
        <v>(N1)</v>
      </c>
      <c r="S282" s="776">
        <f t="shared" si="167"/>
        <v>57300</v>
      </c>
      <c r="T282" s="777">
        <f t="shared" si="201"/>
        <v>47077</v>
      </c>
      <c r="U282" s="778">
        <v>66</v>
      </c>
      <c r="V282" s="779"/>
      <c r="W282" s="780">
        <f t="shared" si="203"/>
        <v>47077</v>
      </c>
      <c r="X282" s="811" t="e">
        <f>VLOOKUP(Q282,Q336:Q503,1,0)</f>
        <v>#N/A</v>
      </c>
      <c r="Y282" s="1229" t="str">
        <f t="shared" si="202"/>
        <v>Picolli Rec. - PR104627</v>
      </c>
      <c r="Z282" s="818">
        <f>SUMIF($Y$114:$Y$314,Y282,$S$114:$S$1288)</f>
        <v>57300</v>
      </c>
      <c r="AA282" s="821"/>
      <c r="AC282" s="1316" t="str">
        <f t="shared" si="173"/>
        <v>Ilha Bella 1 - PR</v>
      </c>
      <c r="AD282" s="1317">
        <f t="shared" si="174"/>
        <v>46616</v>
      </c>
      <c r="AE282" s="1317">
        <f t="shared" si="175"/>
        <v>46763</v>
      </c>
      <c r="AF282" s="1317">
        <f t="shared" si="176"/>
        <v>47077</v>
      </c>
      <c r="AG282" s="1315" t="str">
        <f t="shared" si="208"/>
        <v>AP95 - 344</v>
      </c>
      <c r="AH282" s="1315" t="str">
        <f t="shared" si="209"/>
        <v>ROSS</v>
      </c>
      <c r="AJ282" s="818"/>
    </row>
    <row r="283" spans="1:36" s="820" customFormat="1">
      <c r="A283" s="766" t="s">
        <v>17</v>
      </c>
      <c r="B283" s="781">
        <f>N236+K236</f>
        <v>46630</v>
      </c>
      <c r="C283" s="768">
        <f t="shared" si="194"/>
        <v>46630</v>
      </c>
      <c r="D283" s="1079">
        <v>104727</v>
      </c>
      <c r="E283" s="769"/>
      <c r="F283" s="769" t="str">
        <f>IFERROR(VLOOKUP(G283,Recria[[Granja Recria]:[Emp+CC]],4,0),"")</f>
        <v>10_1295</v>
      </c>
      <c r="G283" s="770" t="s">
        <v>19</v>
      </c>
      <c r="H283" s="771" t="str">
        <f>IFERROR(VLOOKUP(G283,Recria[[Granja Recria]:[Núcleo]],2,0),"")</f>
        <v>(N3)</v>
      </c>
      <c r="I283" s="772">
        <v>84000</v>
      </c>
      <c r="J283" s="766" t="s">
        <v>45</v>
      </c>
      <c r="K283" s="766">
        <v>50</v>
      </c>
      <c r="L283" s="812" t="str">
        <f>VLOOKUP(M283,Raca_Linhagem[],2,0)</f>
        <v>COBB</v>
      </c>
      <c r="M283" s="816" t="s">
        <v>21</v>
      </c>
      <c r="N283" s="773">
        <f t="shared" si="200"/>
        <v>46777</v>
      </c>
      <c r="O283" s="774"/>
      <c r="P283" s="774" t="str">
        <f>IFERROR(VLOOKUP(Q283,Producao[[Granja Produção]:[Emp+CC]],4,0),"")</f>
        <v/>
      </c>
      <c r="Q283" s="775"/>
      <c r="R283" s="766" t="str">
        <f>IFERROR(VLOOKUP(Q283,Producao[[Granja Produção]:[Núcleo]],2,0),"")</f>
        <v/>
      </c>
      <c r="S283" s="776">
        <f t="shared" si="167"/>
        <v>80220</v>
      </c>
      <c r="T283" s="777">
        <f t="shared" si="201"/>
        <v>47091</v>
      </c>
      <c r="U283" s="778">
        <v>66</v>
      </c>
      <c r="V283" s="779"/>
      <c r="W283" s="780">
        <f t="shared" si="203"/>
        <v>47091</v>
      </c>
      <c r="X283" s="811" t="e">
        <f>VLOOKUP(Q283,Q338:Q505,1,0)</f>
        <v>#N/A</v>
      </c>
      <c r="Y283" s="1229" t="str">
        <f t="shared" si="202"/>
        <v>Esperança 3 - PR104727</v>
      </c>
      <c r="Z283" s="818">
        <f>SUMIF($Y$114:$Y$314,Y283,$S$114:$S$1288)</f>
        <v>80220</v>
      </c>
      <c r="AA283" s="821"/>
      <c r="AC283" s="1316">
        <f t="shared" si="173"/>
        <v>0</v>
      </c>
      <c r="AD283" s="1317">
        <f t="shared" si="174"/>
        <v>46630</v>
      </c>
      <c r="AE283" s="1317">
        <f t="shared" si="175"/>
        <v>46777</v>
      </c>
      <c r="AF283" s="1317">
        <f t="shared" si="176"/>
        <v>47091</v>
      </c>
      <c r="AG283" s="1315" t="str">
        <f t="shared" si="208"/>
        <v>500 SLOW - MALE</v>
      </c>
      <c r="AH283" s="1315" t="str">
        <f t="shared" si="209"/>
        <v>COBB</v>
      </c>
      <c r="AJ283" s="818"/>
    </row>
    <row r="284" spans="1:36" s="820" customFormat="1">
      <c r="A284" s="766" t="s">
        <v>17</v>
      </c>
      <c r="B284" s="781">
        <f>N239+K239</f>
        <v>46642</v>
      </c>
      <c r="C284" s="768">
        <f t="shared" si="194"/>
        <v>46642</v>
      </c>
      <c r="D284" s="1079">
        <v>105227</v>
      </c>
      <c r="E284" s="769"/>
      <c r="F284" s="769" t="str">
        <f>IFERROR(VLOOKUP(G284,Recria[[Granja Recria]:[Emp+CC]],4,0),"")</f>
        <v>112_29</v>
      </c>
      <c r="G284" s="770" t="s">
        <v>68</v>
      </c>
      <c r="H284" s="771" t="str">
        <f>IFERROR(VLOOKUP(G284,Recria[[Granja Recria]:[Núcleo]],2,0),"")</f>
        <v>(N1)</v>
      </c>
      <c r="I284" s="772">
        <v>107000</v>
      </c>
      <c r="J284" s="766" t="s">
        <v>45</v>
      </c>
      <c r="K284" s="766">
        <v>55</v>
      </c>
      <c r="L284" s="813" t="str">
        <f>VLOOKUP(M284,Raca_Linhagem[],2,0)</f>
        <v>ROSS</v>
      </c>
      <c r="M284" s="812" t="s">
        <v>26</v>
      </c>
      <c r="N284" s="773">
        <f>C284+(22*7)-7</f>
        <v>46789</v>
      </c>
      <c r="O284" s="774"/>
      <c r="P284" s="774" t="str">
        <f>IFERROR(VLOOKUP(Q284,Producao[[Granja Produção]:[Emp+CC]],4,0),"")</f>
        <v/>
      </c>
      <c r="Q284" s="775"/>
      <c r="R284" s="766" t="str">
        <f>IFERROR(VLOOKUP(Q284,Producao[[Granja Produção]:[Núcleo]],2,0),"")</f>
        <v/>
      </c>
      <c r="S284" s="776">
        <f>I284*0.955</f>
        <v>102185</v>
      </c>
      <c r="T284" s="777">
        <f>C284+(U284*7)-1</f>
        <v>47103</v>
      </c>
      <c r="U284" s="778">
        <v>66</v>
      </c>
      <c r="V284" s="779"/>
      <c r="W284" s="780">
        <f>IFERROR(T284+V284," ")</f>
        <v>47103</v>
      </c>
      <c r="X284" s="811" t="e">
        <f>VLOOKUP(Q284,Q343:Q510,1,0)</f>
        <v>#N/A</v>
      </c>
      <c r="Y284" s="1229" t="str">
        <f>G284&amp;D284</f>
        <v>Pluma 1 - PR105227</v>
      </c>
      <c r="Z284" s="818">
        <f>SUMIF($Y$114:$Y$314,Y284,$S$114:$S$1288)</f>
        <v>102185</v>
      </c>
      <c r="AA284" s="821"/>
      <c r="AC284" s="1316">
        <f>Q284</f>
        <v>0</v>
      </c>
      <c r="AD284" s="1317">
        <f>C284</f>
        <v>46642</v>
      </c>
      <c r="AE284" s="1317">
        <f>N284</f>
        <v>46789</v>
      </c>
      <c r="AF284" s="1317">
        <f>T284</f>
        <v>47103</v>
      </c>
      <c r="AG284" s="1315" t="str">
        <f>M284</f>
        <v>AP95 - 344</v>
      </c>
      <c r="AH284" s="1315" t="str">
        <f>L284</f>
        <v>ROSS</v>
      </c>
      <c r="AJ284" s="818"/>
    </row>
    <row r="285" spans="1:36" s="820" customFormat="1">
      <c r="A285" s="766" t="s">
        <v>17</v>
      </c>
      <c r="B285" s="767">
        <f>N242+K242</f>
        <v>46651</v>
      </c>
      <c r="C285" s="768">
        <f t="shared" si="194"/>
        <v>46651</v>
      </c>
      <c r="D285" s="1079">
        <v>104927</v>
      </c>
      <c r="E285" s="769"/>
      <c r="F285" s="769" t="str">
        <f>IFERROR(VLOOKUP(G285,Recria[[Granja Recria]:[Emp+CC]],4,0),"")</f>
        <v>128_1367</v>
      </c>
      <c r="G285" s="770" t="s">
        <v>36</v>
      </c>
      <c r="H285" s="771" t="str">
        <f>IFERROR(VLOOKUP(G285,Recria[[Granja Recria]:[Núcleo]],2,0),"")</f>
        <v>(N1)</v>
      </c>
      <c r="I285" s="772">
        <v>60000</v>
      </c>
      <c r="J285" s="766" t="s">
        <v>45</v>
      </c>
      <c r="K285" s="766">
        <v>49</v>
      </c>
      <c r="L285" s="813" t="str">
        <f>VLOOKUP(M285,Raca_Linhagem[],2,0)</f>
        <v>ROSS</v>
      </c>
      <c r="M285" s="812" t="s">
        <v>26</v>
      </c>
      <c r="N285" s="773">
        <f t="shared" si="200"/>
        <v>46798</v>
      </c>
      <c r="O285" s="774"/>
      <c r="P285" s="774" t="str">
        <f>IFERROR(VLOOKUP(Q285,Producao[[Granja Produção]:[Emp+CC]],4,0),"")</f>
        <v/>
      </c>
      <c r="Q285" s="775"/>
      <c r="R285" s="766" t="str">
        <f>IFERROR(VLOOKUP(Q285,Producao[[Granja Produção]:[Núcleo]],2,0),"")</f>
        <v/>
      </c>
      <c r="S285" s="776">
        <f t="shared" si="167"/>
        <v>57300</v>
      </c>
      <c r="T285" s="777">
        <f t="shared" si="201"/>
        <v>47112</v>
      </c>
      <c r="U285" s="778">
        <v>66</v>
      </c>
      <c r="V285" s="779"/>
      <c r="W285" s="780">
        <f t="shared" si="203"/>
        <v>47112</v>
      </c>
      <c r="X285" s="811" t="e">
        <f>VLOOKUP(Q285,Q342:Q509,1,0)</f>
        <v>#N/A</v>
      </c>
      <c r="Y285" s="1229" t="str">
        <f t="shared" si="202"/>
        <v>Alto da Serra - PR104927</v>
      </c>
      <c r="Z285" s="818">
        <f>SUMIF($Y$114:$Y$314,Y285,$S$114:$S$1288)</f>
        <v>57300</v>
      </c>
      <c r="AA285" s="821"/>
      <c r="AC285" s="1316">
        <f t="shared" si="173"/>
        <v>0</v>
      </c>
      <c r="AD285" s="1317">
        <f t="shared" si="174"/>
        <v>46651</v>
      </c>
      <c r="AE285" s="1317">
        <f t="shared" si="175"/>
        <v>46798</v>
      </c>
      <c r="AF285" s="1317">
        <f t="shared" si="176"/>
        <v>47112</v>
      </c>
      <c r="AG285" s="1315" t="str">
        <f t="shared" si="208"/>
        <v>AP95 - 344</v>
      </c>
      <c r="AH285" s="1315" t="str">
        <f t="shared" si="209"/>
        <v>ROSS</v>
      </c>
      <c r="AJ285" s="818"/>
    </row>
    <row r="286" spans="1:36" s="820" customFormat="1">
      <c r="A286" s="766" t="s">
        <v>17</v>
      </c>
      <c r="B286" s="781">
        <f>N234+K234</f>
        <v>46651</v>
      </c>
      <c r="C286" s="768">
        <f t="shared" si="194"/>
        <v>46651</v>
      </c>
      <c r="D286" s="1079">
        <v>105027</v>
      </c>
      <c r="E286" s="1098">
        <v>136</v>
      </c>
      <c r="F286" s="769" t="str">
        <f>IFERROR(VLOOKUP(G286,Recria[[Granja Recria]:[Emp+CC]],4,0),"")</f>
        <v>117_139</v>
      </c>
      <c r="G286" s="770" t="s">
        <v>30</v>
      </c>
      <c r="H286" s="771" t="str">
        <f>IFERROR(VLOOKUP(G286,Recria[[Granja Recria]:[Núcleo]],2,0),"")</f>
        <v>(N4)</v>
      </c>
      <c r="I286" s="772">
        <v>42000</v>
      </c>
      <c r="J286" s="766" t="s">
        <v>60</v>
      </c>
      <c r="K286" s="766">
        <v>25</v>
      </c>
      <c r="L286" s="814" t="str">
        <f>VLOOKUP(M286,Raca_Linhagem[],2,0)</f>
        <v>COBB</v>
      </c>
      <c r="M286" s="814" t="s">
        <v>37</v>
      </c>
      <c r="N286" s="773">
        <f t="shared" si="200"/>
        <v>46798</v>
      </c>
      <c r="O286" s="774"/>
      <c r="P286" s="774" t="str">
        <f>IFERROR(VLOOKUP(Q286,Producao[[Granja Produção]:[Emp+CC]],4,0),"")</f>
        <v/>
      </c>
      <c r="Q286" s="775"/>
      <c r="R286" s="766" t="str">
        <f>IFERROR(VLOOKUP(Q286,Producao[[Granja Produção]:[Núcleo]],2,0),"")</f>
        <v/>
      </c>
      <c r="S286" s="776">
        <f t="shared" si="167"/>
        <v>40110</v>
      </c>
      <c r="T286" s="777">
        <f t="shared" si="201"/>
        <v>47112</v>
      </c>
      <c r="U286" s="778">
        <v>66</v>
      </c>
      <c r="V286" s="779"/>
      <c r="W286" s="780">
        <f t="shared" si="203"/>
        <v>47112</v>
      </c>
      <c r="X286" s="811" t="e">
        <f>VLOOKUP(Q286,Q339:Q506,1,0)</f>
        <v>#N/A</v>
      </c>
      <c r="Y286" s="1229" t="str">
        <f t="shared" si="202"/>
        <v>Bom S. Rec. 1 - PR105027</v>
      </c>
      <c r="Z286" s="818">
        <f>SUMIF($Y$114:$Y$314,Y286,$S$114:$S$1288)</f>
        <v>40110</v>
      </c>
      <c r="AA286" s="821"/>
      <c r="AC286" s="1316">
        <f t="shared" si="173"/>
        <v>0</v>
      </c>
      <c r="AD286" s="1317">
        <f t="shared" si="174"/>
        <v>46651</v>
      </c>
      <c r="AE286" s="1317">
        <f t="shared" si="175"/>
        <v>46798</v>
      </c>
      <c r="AF286" s="1317">
        <f t="shared" si="176"/>
        <v>47112</v>
      </c>
      <c r="AG286" s="1315" t="str">
        <f t="shared" si="208"/>
        <v>500 SLOW - MALE JBS</v>
      </c>
      <c r="AH286" s="1315" t="str">
        <f t="shared" si="209"/>
        <v>COBB</v>
      </c>
      <c r="AJ286" s="818"/>
    </row>
    <row r="287" spans="1:36">
      <c r="A287" s="718" t="s">
        <v>17</v>
      </c>
      <c r="B287" s="1103">
        <f>N235+K235</f>
        <v>46702</v>
      </c>
      <c r="C287" s="759">
        <f t="shared" si="194"/>
        <v>46702</v>
      </c>
      <c r="D287" s="1055">
        <v>103727</v>
      </c>
      <c r="E287" s="760"/>
      <c r="F287" s="760" t="str">
        <f>IFERROR(VLOOKUP(G287,Recria[[Granja Recria]:[Emp+CC]],4,0),"")</f>
        <v>135_2389</v>
      </c>
      <c r="G287" s="764" t="s">
        <v>246</v>
      </c>
      <c r="H287" s="762" t="str">
        <f>IFERROR(VLOOKUP(G287,Recria[[Granja Recria]:[Núcleo]],2,0),"")</f>
        <v>(N1)</v>
      </c>
      <c r="I287" s="763">
        <v>60000</v>
      </c>
      <c r="J287" s="718" t="s">
        <v>60</v>
      </c>
      <c r="K287" s="718">
        <v>23</v>
      </c>
      <c r="L287" s="803" t="str">
        <f>VLOOKUP(M287,Raca_Linhagem[],2,0)</f>
        <v>COBB</v>
      </c>
      <c r="M287" s="803" t="s">
        <v>21</v>
      </c>
      <c r="N287" s="714">
        <f>C287+(22*7)-7</f>
        <v>46849</v>
      </c>
      <c r="O287" s="716"/>
      <c r="P287" s="716" t="str">
        <f>IFERROR(VLOOKUP(Q287,Producao[[Granja Produção]:[Emp+CC]],4,0),"")</f>
        <v/>
      </c>
      <c r="Q287" s="717"/>
      <c r="R287" s="718" t="str">
        <f>IFERROR(VLOOKUP(Q287,Producao[[Granja Produção]:[Núcleo]],2,0),"")</f>
        <v/>
      </c>
      <c r="S287" s="719">
        <f>I287*0.955</f>
        <v>57300</v>
      </c>
      <c r="T287" s="720">
        <f>C287+(U287*7)-1</f>
        <v>47163</v>
      </c>
      <c r="U287" s="721">
        <v>66</v>
      </c>
      <c r="V287" s="722"/>
      <c r="W287" s="723">
        <f>IFERROR(T287+V287," ")</f>
        <v>47163</v>
      </c>
      <c r="X287" s="802" t="e">
        <f>VLOOKUP(Q287,Q328:Q495,1,0)</f>
        <v>#N/A</v>
      </c>
      <c r="Y287" s="1229" t="str">
        <f>G287&amp;D287</f>
        <v>Cafezal Rec. 1 - PR103727</v>
      </c>
      <c r="Z287" s="818">
        <f>SUMIF($Y$114:$Y$314,Y287,$S$114:$S$1288)</f>
        <v>57300</v>
      </c>
      <c r="AA287" s="818"/>
      <c r="AC287" s="1316">
        <f>Q287</f>
        <v>0</v>
      </c>
      <c r="AD287" s="1317">
        <f>C287</f>
        <v>46702</v>
      </c>
      <c r="AE287" s="1317">
        <f>N287</f>
        <v>46849</v>
      </c>
      <c r="AF287" s="1317">
        <f>T287</f>
        <v>47163</v>
      </c>
      <c r="AG287" s="1315" t="str">
        <f>M287</f>
        <v>500 SLOW - MALE</v>
      </c>
      <c r="AH287" s="1315" t="str">
        <f>L287</f>
        <v>COBB</v>
      </c>
      <c r="AJ287" s="818"/>
    </row>
    <row r="288" spans="1:36" s="820" customFormat="1">
      <c r="A288" s="766" t="s">
        <v>17</v>
      </c>
      <c r="B288" s="781">
        <f>N237+K237</f>
        <v>46655</v>
      </c>
      <c r="C288" s="768">
        <f t="shared" si="194"/>
        <v>46655</v>
      </c>
      <c r="D288" s="1079">
        <v>105127</v>
      </c>
      <c r="E288" s="769"/>
      <c r="F288" s="769" t="str">
        <f>IFERROR(VLOOKUP(G288,Recria[[Granja Recria]:[Emp+CC]],4,0),"")</f>
        <v>10_857</v>
      </c>
      <c r="G288" s="770" t="s">
        <v>47</v>
      </c>
      <c r="H288" s="771" t="str">
        <f>IFERROR(VLOOKUP(G288,Recria[[Granja Recria]:[Núcleo]],2,0),"")</f>
        <v>(N2)</v>
      </c>
      <c r="I288" s="772">
        <v>60000</v>
      </c>
      <c r="J288" s="766" t="s">
        <v>60</v>
      </c>
      <c r="K288" s="766">
        <v>25</v>
      </c>
      <c r="L288" s="812" t="str">
        <f>VLOOKUP(M288,Raca_Linhagem[],2,0)</f>
        <v>COBB</v>
      </c>
      <c r="M288" s="813" t="s">
        <v>21</v>
      </c>
      <c r="N288" s="773">
        <f t="shared" si="200"/>
        <v>46802</v>
      </c>
      <c r="O288" s="774"/>
      <c r="P288" s="774" t="str">
        <f>IFERROR(VLOOKUP(Q288,Producao[[Granja Produção]:[Emp+CC]],4,0),"")</f>
        <v/>
      </c>
      <c r="Q288" s="775"/>
      <c r="R288" s="766" t="str">
        <f>IFERROR(VLOOKUP(Q288,Producao[[Granja Produção]:[Núcleo]],2,0),"")</f>
        <v/>
      </c>
      <c r="S288" s="776">
        <f t="shared" si="167"/>
        <v>57300</v>
      </c>
      <c r="T288" s="777">
        <f t="shared" si="201"/>
        <v>47116</v>
      </c>
      <c r="U288" s="778">
        <v>66</v>
      </c>
      <c r="V288" s="779"/>
      <c r="W288" s="780">
        <f t="shared" si="203"/>
        <v>47116</v>
      </c>
      <c r="X288" s="811" t="e">
        <f>VLOOKUP(Q288,Q341:Q508,1,0)</f>
        <v>#N/A</v>
      </c>
      <c r="Y288" s="1229" t="str">
        <f t="shared" si="202"/>
        <v>Viganó 2 - PR105127</v>
      </c>
      <c r="Z288" s="818">
        <f>SUMIF($Y$114:$Y$314,Y288,$S$114:$S$1288)</f>
        <v>57300</v>
      </c>
      <c r="AA288" s="821"/>
      <c r="AC288" s="1316">
        <f t="shared" si="173"/>
        <v>0</v>
      </c>
      <c r="AD288" s="1317">
        <f t="shared" si="174"/>
        <v>46655</v>
      </c>
      <c r="AE288" s="1317">
        <f t="shared" si="175"/>
        <v>46802</v>
      </c>
      <c r="AF288" s="1317">
        <f t="shared" si="176"/>
        <v>47116</v>
      </c>
      <c r="AG288" s="1315" t="str">
        <f t="shared" si="208"/>
        <v>500 SLOW - MALE</v>
      </c>
      <c r="AH288" s="1315" t="str">
        <f t="shared" si="209"/>
        <v>COBB</v>
      </c>
      <c r="AJ288" s="818"/>
    </row>
    <row r="289" spans="1:36" s="820" customFormat="1">
      <c r="A289" s="766" t="s">
        <v>17</v>
      </c>
      <c r="B289" s="767">
        <f>N238+K238</f>
        <v>46665</v>
      </c>
      <c r="C289" s="768">
        <f t="shared" si="194"/>
        <v>46665</v>
      </c>
      <c r="D289" s="1079">
        <v>106027</v>
      </c>
      <c r="E289" s="769"/>
      <c r="F289" s="769" t="str">
        <f>IFERROR(VLOOKUP(G289,Recria[[Granja Recria]:[Emp+CC]],4,0),"")</f>
        <v>139_49</v>
      </c>
      <c r="G289" s="770" t="s">
        <v>59</v>
      </c>
      <c r="H289" s="771" t="str">
        <f>IFERROR(VLOOKUP(G289,Recria[[Granja Recria]:[Núcleo]],2,0),"")</f>
        <v>(N1)</v>
      </c>
      <c r="I289" s="772">
        <v>60000</v>
      </c>
      <c r="J289" s="766" t="s">
        <v>60</v>
      </c>
      <c r="K289" s="766">
        <v>25</v>
      </c>
      <c r="L289" s="1244" t="s">
        <v>177</v>
      </c>
      <c r="M289" s="812" t="s">
        <v>26</v>
      </c>
      <c r="N289" s="773">
        <f t="shared" si="200"/>
        <v>46812</v>
      </c>
      <c r="O289" s="774"/>
      <c r="P289" s="774" t="str">
        <f>IFERROR(VLOOKUP(Q289,Producao[[Granja Produção]:[Emp+CC]],4,0),"")</f>
        <v/>
      </c>
      <c r="Q289" s="775"/>
      <c r="R289" s="766" t="str">
        <f>IFERROR(VLOOKUP(Q289,Producao[[Granja Produção]:[Núcleo]],2,0),"")</f>
        <v/>
      </c>
      <c r="S289" s="776">
        <f t="shared" si="167"/>
        <v>57300</v>
      </c>
      <c r="T289" s="777">
        <f t="shared" si="201"/>
        <v>47126</v>
      </c>
      <c r="U289" s="778">
        <v>66</v>
      </c>
      <c r="V289" s="779"/>
      <c r="W289" s="780">
        <f>IFERROR(T289+V289," ")</f>
        <v>47126</v>
      </c>
      <c r="X289" s="811" t="e">
        <f>VLOOKUP(Q289,Q344:Q511,1,0)</f>
        <v>#N/A</v>
      </c>
      <c r="Y289" s="1229" t="str">
        <f t="shared" si="202"/>
        <v>Esperança 1  - PR106027</v>
      </c>
      <c r="Z289" s="818">
        <f>SUMIF($Y$114:$Y$314,Y289,$S$114:$S$1288)</f>
        <v>57300</v>
      </c>
      <c r="AA289" s="821"/>
      <c r="AC289" s="1316">
        <f t="shared" si="173"/>
        <v>0</v>
      </c>
      <c r="AD289" s="1317">
        <f t="shared" si="174"/>
        <v>46665</v>
      </c>
      <c r="AE289" s="1317">
        <f t="shared" si="175"/>
        <v>46812</v>
      </c>
      <c r="AF289" s="1317">
        <f t="shared" si="176"/>
        <v>47126</v>
      </c>
      <c r="AG289" s="1315" t="str">
        <f t="shared" si="208"/>
        <v>AP95 - 344</v>
      </c>
      <c r="AH289" s="1315" t="str">
        <f t="shared" si="209"/>
        <v>JBS</v>
      </c>
      <c r="AJ289" s="818"/>
    </row>
    <row r="290" spans="1:36" s="820" customFormat="1">
      <c r="A290" s="766" t="s">
        <v>17</v>
      </c>
      <c r="B290" s="781">
        <f>N246+K246</f>
        <v>46669</v>
      </c>
      <c r="C290" s="768">
        <f t="shared" si="194"/>
        <v>46669</v>
      </c>
      <c r="D290" s="1079">
        <v>105327</v>
      </c>
      <c r="E290" s="769"/>
      <c r="F290" s="769" t="str">
        <f>IFERROR(VLOOKUP(G290,Recria[[Granja Recria]:[Emp+CC]],4,0),"")</f>
        <v>10_169</v>
      </c>
      <c r="G290" s="770" t="s">
        <v>95</v>
      </c>
      <c r="H290" s="771" t="str">
        <f>IFERROR(VLOOKUP(G290,Recria[[Granja Recria]:[Núcleo]],2,0),"")</f>
        <v>(N1)</v>
      </c>
      <c r="I290" s="772">
        <v>42000</v>
      </c>
      <c r="J290" s="766" t="s">
        <v>45</v>
      </c>
      <c r="K290" s="766">
        <v>49</v>
      </c>
      <c r="L290" s="812" t="str">
        <f>VLOOKUP(M290,Raca_Linhagem[],2,0)</f>
        <v>COBB</v>
      </c>
      <c r="M290" s="813" t="s">
        <v>21</v>
      </c>
      <c r="N290" s="773">
        <f t="shared" si="200"/>
        <v>46816</v>
      </c>
      <c r="O290" s="774"/>
      <c r="P290" s="774" t="str">
        <f>IFERROR(VLOOKUP(Q290,Producao[[Granja Produção]:[Emp+CC]],4,0),"")</f>
        <v/>
      </c>
      <c r="Q290" s="775"/>
      <c r="R290" s="766" t="str">
        <f>IFERROR(VLOOKUP(Q290,Producao[[Granja Produção]:[Núcleo]],2,0),"")</f>
        <v/>
      </c>
      <c r="S290" s="776">
        <f t="shared" si="167"/>
        <v>40110</v>
      </c>
      <c r="T290" s="777">
        <f t="shared" si="201"/>
        <v>47130</v>
      </c>
      <c r="U290" s="778">
        <v>66</v>
      </c>
      <c r="V290" s="779"/>
      <c r="W290" s="780">
        <f t="shared" si="203"/>
        <v>47130</v>
      </c>
      <c r="X290" s="811" t="e">
        <f>VLOOKUP(Q290,Q346:Q513,1,0)</f>
        <v>#N/A</v>
      </c>
      <c r="Y290" s="1229" t="str">
        <f t="shared" si="202"/>
        <v>N. S. Carmo 1 - PR105327</v>
      </c>
      <c r="Z290" s="818">
        <f>SUMIF($Y$114:$Y$314,Y290,$S$114:$S$1288)</f>
        <v>40110</v>
      </c>
      <c r="AA290" s="821"/>
      <c r="AC290" s="1316">
        <f t="shared" si="173"/>
        <v>0</v>
      </c>
      <c r="AD290" s="1317">
        <f t="shared" si="174"/>
        <v>46669</v>
      </c>
      <c r="AE290" s="1317">
        <f t="shared" si="175"/>
        <v>46816</v>
      </c>
      <c r="AF290" s="1317">
        <f t="shared" si="176"/>
        <v>47130</v>
      </c>
      <c r="AG290" s="1315" t="str">
        <f t="shared" si="208"/>
        <v>500 SLOW - MALE</v>
      </c>
      <c r="AH290" s="1315" t="str">
        <f t="shared" si="209"/>
        <v>COBB</v>
      </c>
      <c r="AJ290" s="818"/>
    </row>
    <row r="291" spans="1:36" s="820" customFormat="1">
      <c r="A291" s="766" t="s">
        <v>17</v>
      </c>
      <c r="B291" s="767">
        <f>N241+K241</f>
        <v>46684</v>
      </c>
      <c r="C291" s="768">
        <f t="shared" si="194"/>
        <v>46684</v>
      </c>
      <c r="D291" s="1079">
        <v>105427</v>
      </c>
      <c r="E291" s="769"/>
      <c r="F291" s="769" t="str">
        <f>IFERROR(VLOOKUP(G291,Recria[[Granja Recria]:[Emp+CC]],4,0),"")</f>
        <v>10_1940</v>
      </c>
      <c r="G291" s="770" t="s">
        <v>187</v>
      </c>
      <c r="H291" s="771" t="str">
        <f>IFERROR(VLOOKUP(G291,Recria[[Granja Recria]:[Núcleo]],2,0),"")</f>
        <v>(N1)</v>
      </c>
      <c r="I291" s="772">
        <v>60000</v>
      </c>
      <c r="J291" s="766" t="s">
        <v>60</v>
      </c>
      <c r="K291" s="766">
        <v>25</v>
      </c>
      <c r="L291" s="813" t="str">
        <f>VLOOKUP(M291,Raca_Linhagem[],2,0)</f>
        <v>ROSS</v>
      </c>
      <c r="M291" s="812" t="s">
        <v>26</v>
      </c>
      <c r="N291" s="773">
        <f t="shared" si="200"/>
        <v>46831</v>
      </c>
      <c r="O291" s="774"/>
      <c r="P291" s="774" t="str">
        <f>IFERROR(VLOOKUP(Q291,Producao[[Granja Produção]:[Emp+CC]],4,0),"")</f>
        <v/>
      </c>
      <c r="Q291" s="775"/>
      <c r="R291" s="766" t="str">
        <f>IFERROR(VLOOKUP(Q291,Producao[[Granja Produção]:[Núcleo]],2,0),"")</f>
        <v/>
      </c>
      <c r="S291" s="776">
        <f t="shared" si="167"/>
        <v>57300</v>
      </c>
      <c r="T291" s="777">
        <f t="shared" si="201"/>
        <v>47145</v>
      </c>
      <c r="U291" s="778">
        <v>66</v>
      </c>
      <c r="V291" s="779"/>
      <c r="W291" s="780">
        <f t="shared" si="203"/>
        <v>47145</v>
      </c>
      <c r="X291" s="811" t="e">
        <f>VLOOKUP(Q291,Q347:Q514,1,0)</f>
        <v>#N/A</v>
      </c>
      <c r="Y291" s="1229" t="str">
        <f t="shared" si="202"/>
        <v>Aliança - PR105427</v>
      </c>
      <c r="Z291" s="818">
        <f>SUMIF($Y$114:$Y$314,Y291,$S$114:$S$1288)</f>
        <v>57300</v>
      </c>
      <c r="AA291" s="821"/>
      <c r="AC291" s="1316">
        <f t="shared" si="173"/>
        <v>0</v>
      </c>
      <c r="AD291" s="1317">
        <f t="shared" si="174"/>
        <v>46684</v>
      </c>
      <c r="AE291" s="1317">
        <f t="shared" si="175"/>
        <v>46831</v>
      </c>
      <c r="AF291" s="1317">
        <f t="shared" si="176"/>
        <v>47145</v>
      </c>
      <c r="AG291" s="1315" t="str">
        <f t="shared" si="208"/>
        <v>AP95 - 344</v>
      </c>
      <c r="AH291" s="1315" t="str">
        <f t="shared" si="209"/>
        <v>ROSS</v>
      </c>
      <c r="AJ291" s="818"/>
    </row>
    <row r="292" spans="1:36" s="820" customFormat="1">
      <c r="A292" s="766" t="s">
        <v>17</v>
      </c>
      <c r="B292" s="767">
        <f>N243+K243</f>
        <v>46673</v>
      </c>
      <c r="C292" s="768">
        <f t="shared" si="194"/>
        <v>46673</v>
      </c>
      <c r="D292" s="1079">
        <v>105527</v>
      </c>
      <c r="E292" s="769"/>
      <c r="F292" s="769" t="str">
        <f>IFERROR(VLOOKUP(G292,Recria[[Granja Recria]:[Emp+CC]],4,0),"")</f>
        <v>10_328</v>
      </c>
      <c r="G292" s="770" t="s">
        <v>44</v>
      </c>
      <c r="H292" s="771" t="str">
        <f>IFERROR(VLOOKUP(G292,Recria[[Granja Recria]:[Núcleo]],2,0),"")</f>
        <v>(N3)</v>
      </c>
      <c r="I292" s="772">
        <v>38000</v>
      </c>
      <c r="J292" s="766" t="s">
        <v>60</v>
      </c>
      <c r="K292" s="766">
        <v>25</v>
      </c>
      <c r="L292" s="812" t="str">
        <f>VLOOKUP(M292,Raca_Linhagem[],2,0)</f>
        <v>COBB</v>
      </c>
      <c r="M292" s="813" t="s">
        <v>21</v>
      </c>
      <c r="N292" s="773">
        <f t="shared" si="200"/>
        <v>46820</v>
      </c>
      <c r="O292" s="774"/>
      <c r="P292" s="774" t="str">
        <f>IFERROR(VLOOKUP(Q292,Producao[[Granja Produção]:[Emp+CC]],4,0),"")</f>
        <v/>
      </c>
      <c r="Q292" s="775"/>
      <c r="R292" s="766" t="str">
        <f>IFERROR(VLOOKUP(Q292,Producao[[Granja Produção]:[Núcleo]],2,0),"")</f>
        <v/>
      </c>
      <c r="S292" s="776">
        <f t="shared" si="167"/>
        <v>36290</v>
      </c>
      <c r="T292" s="777">
        <f t="shared" si="201"/>
        <v>47134</v>
      </c>
      <c r="U292" s="778">
        <v>66</v>
      </c>
      <c r="V292" s="779"/>
      <c r="W292" s="780">
        <f t="shared" si="203"/>
        <v>47134</v>
      </c>
      <c r="X292" s="811" t="e">
        <f>VLOOKUP(Q292,Q348:Q515,1,0)</f>
        <v>#N/A</v>
      </c>
      <c r="Y292" s="1229" t="str">
        <f t="shared" si="202"/>
        <v>Santa Tereza 3 - PR105527</v>
      </c>
      <c r="Z292" s="818">
        <f>SUMIF($Y$114:$Y$314,Y292,$S$114:$S$1288)</f>
        <v>36290</v>
      </c>
      <c r="AA292" s="821"/>
      <c r="AC292" s="1316">
        <f t="shared" si="173"/>
        <v>0</v>
      </c>
      <c r="AD292" s="1317">
        <f t="shared" si="174"/>
        <v>46673</v>
      </c>
      <c r="AE292" s="1317">
        <f t="shared" si="175"/>
        <v>46820</v>
      </c>
      <c r="AF292" s="1317">
        <f t="shared" si="176"/>
        <v>47134</v>
      </c>
      <c r="AG292" s="1315" t="str">
        <f t="shared" si="208"/>
        <v>500 SLOW - MALE</v>
      </c>
      <c r="AH292" s="1315" t="str">
        <f t="shared" si="209"/>
        <v>COBB</v>
      </c>
      <c r="AJ292" s="818"/>
    </row>
    <row r="293" spans="1:36" s="820" customFormat="1">
      <c r="A293" s="766" t="s">
        <v>17</v>
      </c>
      <c r="B293" s="781">
        <f>N248+K248</f>
        <v>46676</v>
      </c>
      <c r="C293" s="768">
        <f t="shared" si="194"/>
        <v>46676</v>
      </c>
      <c r="D293" s="1079">
        <v>105627</v>
      </c>
      <c r="E293" s="769"/>
      <c r="F293" s="769" t="str">
        <f>IFERROR(VLOOKUP(G293,Recria[[Granja Recria]:[Emp+CC]],4,0),"")</f>
        <v>112_1939</v>
      </c>
      <c r="G293" s="770" t="s">
        <v>83</v>
      </c>
      <c r="H293" s="771" t="str">
        <f>IFERROR(VLOOKUP(G293,Recria[[Granja Recria]:[Núcleo]],2,0),"")</f>
        <v>(N4)</v>
      </c>
      <c r="I293" s="772">
        <v>84000</v>
      </c>
      <c r="J293" s="766" t="s">
        <v>45</v>
      </c>
      <c r="K293" s="766">
        <v>55</v>
      </c>
      <c r="L293" s="813" t="str">
        <f>VLOOKUP(M293,Raca_Linhagem[],2,0)</f>
        <v>ROSS</v>
      </c>
      <c r="M293" s="812" t="s">
        <v>26</v>
      </c>
      <c r="N293" s="773">
        <f t="shared" si="200"/>
        <v>46823</v>
      </c>
      <c r="O293" s="774"/>
      <c r="P293" s="774" t="str">
        <f>IFERROR(VLOOKUP(Q293,Producao[[Granja Produção]:[Emp+CC]],4,0),"")</f>
        <v/>
      </c>
      <c r="Q293" s="775"/>
      <c r="R293" s="766" t="str">
        <f>IFERROR(VLOOKUP(Q293,Producao[[Granja Produção]:[Núcleo]],2,0),"")</f>
        <v/>
      </c>
      <c r="S293" s="776">
        <f t="shared" si="167"/>
        <v>80220</v>
      </c>
      <c r="T293" s="777">
        <f t="shared" si="201"/>
        <v>47137</v>
      </c>
      <c r="U293" s="778">
        <v>66</v>
      </c>
      <c r="V293" s="779"/>
      <c r="W293" s="780">
        <f t="shared" si="203"/>
        <v>47137</v>
      </c>
      <c r="X293" s="811" t="e">
        <f>VLOOKUP(Q293,Q354:Q521,1,0)</f>
        <v>#N/A</v>
      </c>
      <c r="Y293" s="1229" t="str">
        <f t="shared" si="202"/>
        <v>Pluma 4 - PR105627</v>
      </c>
      <c r="Z293" s="818">
        <f>SUMIF($Y$114:$Y$314,Y293,$S$114:$S$1288)</f>
        <v>80220</v>
      </c>
      <c r="AA293" s="821"/>
      <c r="AC293" s="1316">
        <f t="shared" si="173"/>
        <v>0</v>
      </c>
      <c r="AD293" s="1317">
        <f t="shared" si="174"/>
        <v>46676</v>
      </c>
      <c r="AE293" s="1317">
        <f t="shared" si="175"/>
        <v>46823</v>
      </c>
      <c r="AF293" s="1317">
        <f t="shared" si="176"/>
        <v>47137</v>
      </c>
      <c r="AG293" s="1315" t="str">
        <f t="shared" si="208"/>
        <v>AP95 - 344</v>
      </c>
      <c r="AH293" s="1315" t="str">
        <f t="shared" si="209"/>
        <v>ROSS</v>
      </c>
      <c r="AJ293" s="818"/>
    </row>
    <row r="294" spans="1:36" s="820" customFormat="1">
      <c r="A294" s="766" t="s">
        <v>17</v>
      </c>
      <c r="B294" s="767">
        <f>N252+K252</f>
        <v>46690</v>
      </c>
      <c r="C294" s="768">
        <f t="shared" si="194"/>
        <v>46690</v>
      </c>
      <c r="D294" s="1079">
        <v>105727</v>
      </c>
      <c r="E294" s="769"/>
      <c r="F294" s="769" t="str">
        <f>IFERROR(VLOOKUP(G294,Recria[[Granja Recria]:[Emp+CC]],4,0),"")</f>
        <v>10_1938</v>
      </c>
      <c r="G294" s="770" t="s">
        <v>75</v>
      </c>
      <c r="H294" s="771" t="str">
        <f>IFERROR(VLOOKUP(G294,Recria[[Granja Recria]:[Núcleo]],2,0),"")</f>
        <v>(N1)</v>
      </c>
      <c r="I294" s="772">
        <v>45000</v>
      </c>
      <c r="J294" s="766" t="s">
        <v>45</v>
      </c>
      <c r="K294" s="766">
        <v>49</v>
      </c>
      <c r="L294" s="813" t="str">
        <f>VLOOKUP(M294,Raca_Linhagem[],2,0)</f>
        <v>ROSS</v>
      </c>
      <c r="M294" s="812" t="s">
        <v>26</v>
      </c>
      <c r="N294" s="773">
        <f t="shared" si="200"/>
        <v>46837</v>
      </c>
      <c r="O294" s="774"/>
      <c r="P294" s="774" t="str">
        <f>IFERROR(VLOOKUP(Q294,Producao[[Granja Produção]:[Emp+CC]],4,0),"")</f>
        <v/>
      </c>
      <c r="Q294" s="775"/>
      <c r="R294" s="766" t="str">
        <f>IFERROR(VLOOKUP(Q294,Producao[[Granja Produção]:[Núcleo]],2,0),"")</f>
        <v/>
      </c>
      <c r="S294" s="776">
        <f t="shared" si="167"/>
        <v>42975</v>
      </c>
      <c r="T294" s="777">
        <f t="shared" si="201"/>
        <v>47151</v>
      </c>
      <c r="U294" s="778">
        <v>66</v>
      </c>
      <c r="V294" s="779"/>
      <c r="W294" s="780">
        <f t="shared" si="203"/>
        <v>47151</v>
      </c>
      <c r="X294" s="811" t="e">
        <f>VLOOKUP(Q294,Q351:Q518,1,0)</f>
        <v>#N/A</v>
      </c>
      <c r="Y294" s="1229" t="str">
        <f t="shared" si="202"/>
        <v>São Fco de Assis - PR105727</v>
      </c>
      <c r="Z294" s="818">
        <f>SUMIF($Y$114:$Y$314,Y294,$S$114:$S$1288)</f>
        <v>42975</v>
      </c>
      <c r="AA294" s="821"/>
      <c r="AC294" s="1316">
        <f t="shared" si="173"/>
        <v>0</v>
      </c>
      <c r="AD294" s="1317">
        <f t="shared" si="174"/>
        <v>46690</v>
      </c>
      <c r="AE294" s="1317">
        <f t="shared" si="175"/>
        <v>46837</v>
      </c>
      <c r="AF294" s="1317">
        <f t="shared" si="176"/>
        <v>47151</v>
      </c>
      <c r="AG294" s="1315" t="str">
        <f t="shared" si="208"/>
        <v>AP95 - 344</v>
      </c>
      <c r="AH294" s="1315" t="str">
        <f t="shared" si="209"/>
        <v>ROSS</v>
      </c>
      <c r="AJ294" s="818"/>
    </row>
    <row r="295" spans="1:36" s="820" customFormat="1">
      <c r="A295" s="766" t="s">
        <v>17</v>
      </c>
      <c r="B295" s="767">
        <f>N249+K249</f>
        <v>46672</v>
      </c>
      <c r="C295" s="768">
        <f t="shared" si="194"/>
        <v>46672</v>
      </c>
      <c r="D295" s="1079">
        <v>105827</v>
      </c>
      <c r="E295" s="1098">
        <v>138</v>
      </c>
      <c r="F295" s="769" t="str">
        <f>IFERROR(VLOOKUP(G295,Recria[[Granja Recria]:[Emp+CC]],4,0),"")</f>
        <v>112_16</v>
      </c>
      <c r="G295" s="770" t="s">
        <v>79</v>
      </c>
      <c r="H295" s="771" t="str">
        <f>IFERROR(VLOOKUP(G295,Recria[[Granja Recria]:[Núcleo]],2,0),"")</f>
        <v>(N3)</v>
      </c>
      <c r="I295" s="772">
        <v>61000</v>
      </c>
      <c r="J295" s="766" t="s">
        <v>45</v>
      </c>
      <c r="K295" s="766">
        <v>49</v>
      </c>
      <c r="L295" s="814" t="str">
        <f>VLOOKUP(M295,Raca_Linhagem[],2,0)</f>
        <v>ROSS</v>
      </c>
      <c r="M295" s="815" t="s">
        <v>31</v>
      </c>
      <c r="N295" s="773">
        <f t="shared" si="200"/>
        <v>46819</v>
      </c>
      <c r="O295" s="774"/>
      <c r="P295" s="774" t="str">
        <f>IFERROR(VLOOKUP(Q295,Producao[[Granja Produção]:[Emp+CC]],4,0),"")</f>
        <v/>
      </c>
      <c r="Q295" s="775"/>
      <c r="R295" s="766" t="str">
        <f>IFERROR(VLOOKUP(Q295,Producao[[Granja Produção]:[Núcleo]],2,0),"")</f>
        <v/>
      </c>
      <c r="S295" s="776">
        <f t="shared" si="167"/>
        <v>58255</v>
      </c>
      <c r="T295" s="777">
        <f t="shared" si="201"/>
        <v>47133</v>
      </c>
      <c r="U295" s="778">
        <v>66</v>
      </c>
      <c r="V295" s="779"/>
      <c r="W295" s="780">
        <f t="shared" si="203"/>
        <v>47133</v>
      </c>
      <c r="X295" s="811" t="e">
        <f>VLOOKUP(Q295,Q349:Q516,1,0)</f>
        <v>#N/A</v>
      </c>
      <c r="Y295" s="1229" t="str">
        <f t="shared" si="202"/>
        <v>Pluma 3 - PR105827</v>
      </c>
      <c r="Z295" s="818">
        <f>SUMIF($Y$114:$Y$314,Y295,$S$114:$S$1288)</f>
        <v>58255</v>
      </c>
      <c r="AA295" s="821"/>
      <c r="AC295" s="1316">
        <f t="shared" si="173"/>
        <v>0</v>
      </c>
      <c r="AD295" s="1317">
        <f t="shared" si="174"/>
        <v>46672</v>
      </c>
      <c r="AE295" s="1317">
        <f t="shared" si="175"/>
        <v>46819</v>
      </c>
      <c r="AF295" s="1317">
        <f t="shared" si="176"/>
        <v>47133</v>
      </c>
      <c r="AG295" s="1315" t="str">
        <f t="shared" si="208"/>
        <v>AP95 - 344  JBS</v>
      </c>
      <c r="AH295" s="1315" t="str">
        <f t="shared" si="209"/>
        <v>ROSS</v>
      </c>
      <c r="AJ295" s="818"/>
    </row>
    <row r="296" spans="1:36" s="820" customFormat="1">
      <c r="A296" s="766" t="s">
        <v>17</v>
      </c>
      <c r="B296" s="767">
        <f>N245+K245</f>
        <v>46686</v>
      </c>
      <c r="C296" s="768">
        <f t="shared" si="194"/>
        <v>46686</v>
      </c>
      <c r="D296" s="1079">
        <v>105927</v>
      </c>
      <c r="E296" s="769"/>
      <c r="F296" s="769" t="str">
        <f>IFERROR(VLOOKUP(G296,Recria[[Granja Recria]:[Emp+CC]],4,0),"")</f>
        <v>10_776</v>
      </c>
      <c r="G296" s="770" t="s">
        <v>89</v>
      </c>
      <c r="H296" s="771" t="str">
        <f>IFERROR(VLOOKUP(G296,Recria[[Granja Recria]:[Núcleo]],2,0),"")</f>
        <v>(N3)</v>
      </c>
      <c r="I296" s="772">
        <v>74000</v>
      </c>
      <c r="J296" s="766" t="s">
        <v>60</v>
      </c>
      <c r="K296" s="766">
        <v>25</v>
      </c>
      <c r="L296" s="812" t="str">
        <f>VLOOKUP(M296,Raca_Linhagem[],2,0)</f>
        <v>COBB</v>
      </c>
      <c r="M296" s="803" t="s">
        <v>21</v>
      </c>
      <c r="N296" s="773">
        <f t="shared" si="200"/>
        <v>46833</v>
      </c>
      <c r="O296" s="774"/>
      <c r="P296" s="774" t="str">
        <f>IFERROR(VLOOKUP(Q296,Producao[[Granja Produção]:[Emp+CC]],4,0),"")</f>
        <v/>
      </c>
      <c r="Q296" s="775"/>
      <c r="R296" s="766" t="str">
        <f>IFERROR(VLOOKUP(Q296,Producao[[Granja Produção]:[Núcleo]],2,0),"")</f>
        <v/>
      </c>
      <c r="S296" s="776">
        <f t="shared" si="167"/>
        <v>70670</v>
      </c>
      <c r="T296" s="777">
        <f t="shared" si="201"/>
        <v>47147</v>
      </c>
      <c r="U296" s="778">
        <v>66</v>
      </c>
      <c r="V296" s="779"/>
      <c r="W296" s="780">
        <f t="shared" si="203"/>
        <v>47147</v>
      </c>
      <c r="X296" s="811" t="e">
        <f>VLOOKUP(Q296,Q350:Q517,1,0)</f>
        <v>#N/A</v>
      </c>
      <c r="Y296" s="1229" t="str">
        <f t="shared" si="202"/>
        <v>Panorama 3 - PR105927</v>
      </c>
      <c r="Z296" s="818">
        <f>SUMIF($Y$114:$Y$314,Y296,$S$114:$S$1288)</f>
        <v>70670</v>
      </c>
      <c r="AA296" s="821"/>
      <c r="AC296" s="1316">
        <f t="shared" si="173"/>
        <v>0</v>
      </c>
      <c r="AD296" s="1317">
        <f t="shared" si="174"/>
        <v>46686</v>
      </c>
      <c r="AE296" s="1317">
        <f t="shared" si="175"/>
        <v>46833</v>
      </c>
      <c r="AF296" s="1317">
        <f t="shared" si="176"/>
        <v>47147</v>
      </c>
      <c r="AG296" s="1315" t="str">
        <f t="shared" si="208"/>
        <v>500 SLOW - MALE</v>
      </c>
      <c r="AH296" s="1315" t="str">
        <f t="shared" si="209"/>
        <v>COBB</v>
      </c>
      <c r="AJ296" s="818"/>
    </row>
    <row r="297" spans="1:36" s="820" customFormat="1">
      <c r="A297" s="766" t="s">
        <v>17</v>
      </c>
      <c r="B297" s="767">
        <f>N258+K258</f>
        <v>46700</v>
      </c>
      <c r="C297" s="768">
        <f t="shared" si="194"/>
        <v>46700</v>
      </c>
      <c r="D297" s="1079">
        <v>106227</v>
      </c>
      <c r="E297" s="769"/>
      <c r="F297" s="769" t="str">
        <f>IFERROR(VLOOKUP(G297,Recria[[Granja Recria]:[Emp+CC]],4,0),"")</f>
        <v>112_67</v>
      </c>
      <c r="G297" s="770" t="s">
        <v>132</v>
      </c>
      <c r="H297" s="771" t="str">
        <f>IFERROR(VLOOKUP(G297,Recria[[Granja Recria]:[Núcleo]],2,0),"")</f>
        <v>(N2)</v>
      </c>
      <c r="I297" s="772">
        <v>72000</v>
      </c>
      <c r="J297" s="766" t="s">
        <v>45</v>
      </c>
      <c r="K297" s="766">
        <v>49</v>
      </c>
      <c r="L297" s="812" t="str">
        <f>VLOOKUP(M297,Raca_Linhagem[],2,0)</f>
        <v>ROSS</v>
      </c>
      <c r="M297" s="812" t="s">
        <v>26</v>
      </c>
      <c r="N297" s="773">
        <f t="shared" si="200"/>
        <v>46847</v>
      </c>
      <c r="O297" s="774"/>
      <c r="P297" s="774" t="str">
        <f>IFERROR(VLOOKUP(Q297,Producao[[Granja Produção]:[Emp+CC]],4,0),"")</f>
        <v/>
      </c>
      <c r="Q297" s="775"/>
      <c r="R297" s="766" t="str">
        <f>IFERROR(VLOOKUP(Q297,Producao[[Granja Produção]:[Núcleo]],2,0),"")</f>
        <v/>
      </c>
      <c r="S297" s="776">
        <f t="shared" si="167"/>
        <v>68760</v>
      </c>
      <c r="T297" s="777">
        <f t="shared" ref="T297:T314" si="218">C297+(U297*7)-1</f>
        <v>47161</v>
      </c>
      <c r="U297" s="778">
        <v>66</v>
      </c>
      <c r="V297" s="779"/>
      <c r="W297" s="780">
        <f t="shared" si="203"/>
        <v>47161</v>
      </c>
      <c r="X297" s="811" t="e">
        <f>VLOOKUP(Q297,Q356:Q523,1,0)</f>
        <v>#N/A</v>
      </c>
      <c r="Y297" s="1229" t="str">
        <f t="shared" si="202"/>
        <v>Pluma 2 - PR106227</v>
      </c>
      <c r="Z297" s="818">
        <f>SUMIF($Y$114:$Y$314,Y297,$S$114:$S$1288)</f>
        <v>68760</v>
      </c>
      <c r="AA297" s="821"/>
      <c r="AC297" s="1316">
        <f t="shared" si="173"/>
        <v>0</v>
      </c>
      <c r="AD297" s="1317">
        <f t="shared" si="174"/>
        <v>46700</v>
      </c>
      <c r="AE297" s="1317">
        <f t="shared" si="175"/>
        <v>46847</v>
      </c>
      <c r="AF297" s="1317">
        <f t="shared" si="176"/>
        <v>47161</v>
      </c>
      <c r="AG297" s="1315" t="str">
        <f t="shared" si="208"/>
        <v>AP95 - 344</v>
      </c>
      <c r="AH297" s="1315" t="str">
        <f t="shared" si="209"/>
        <v>ROSS</v>
      </c>
      <c r="AJ297" s="818"/>
    </row>
    <row r="298" spans="1:36" s="820" customFormat="1">
      <c r="A298" s="766" t="s">
        <v>17</v>
      </c>
      <c r="B298" s="767">
        <f>N260+K260</f>
        <v>46710</v>
      </c>
      <c r="C298" s="768">
        <f t="shared" si="194"/>
        <v>46710</v>
      </c>
      <c r="D298" s="1079">
        <v>106327</v>
      </c>
      <c r="E298" s="1098">
        <v>139</v>
      </c>
      <c r="F298" s="769" t="str">
        <f>IFERROR(VLOOKUP(G298,Recria[[Granja Recria]:[Emp+CC]],4,0),"")</f>
        <v>10_1250</v>
      </c>
      <c r="G298" s="770" t="s">
        <v>101</v>
      </c>
      <c r="H298" s="771" t="str">
        <f>IFERROR(VLOOKUP(G298,Recria[[Granja Recria]:[Núcleo]],2,0),"")</f>
        <v>(N2)</v>
      </c>
      <c r="I298" s="772">
        <v>60000</v>
      </c>
      <c r="J298" s="766" t="s">
        <v>45</v>
      </c>
      <c r="K298" s="766">
        <v>49</v>
      </c>
      <c r="L298" s="812" t="str">
        <f>VLOOKUP(M298,Raca_Linhagem[],2,0)</f>
        <v>COBB</v>
      </c>
      <c r="M298" s="814" t="s">
        <v>37</v>
      </c>
      <c r="N298" s="773">
        <f t="shared" si="200"/>
        <v>46857</v>
      </c>
      <c r="O298" s="774"/>
      <c r="P298" s="774" t="str">
        <f>IFERROR(VLOOKUP(Q298,Producao[[Granja Produção]:[Emp+CC]],4,0),"")</f>
        <v/>
      </c>
      <c r="Q298" s="775"/>
      <c r="R298" s="766" t="str">
        <f>IFERROR(VLOOKUP(Q298,Producao[[Granja Produção]:[Núcleo]],2,0),"")</f>
        <v/>
      </c>
      <c r="S298" s="776">
        <f t="shared" si="167"/>
        <v>57300</v>
      </c>
      <c r="T298" s="777">
        <f t="shared" si="218"/>
        <v>47171</v>
      </c>
      <c r="U298" s="778">
        <v>66</v>
      </c>
      <c r="V298" s="779"/>
      <c r="W298" s="780">
        <f t="shared" si="203"/>
        <v>47171</v>
      </c>
      <c r="X298" s="811" t="e">
        <f>VLOOKUP(Q298,Q358:Q525,1,0)</f>
        <v>#N/A</v>
      </c>
      <c r="Y298" s="1229" t="str">
        <f t="shared" si="202"/>
        <v>Iguaçu Recria - PR106327</v>
      </c>
      <c r="Z298" s="818">
        <f>SUMIF($Y$114:$Y$314,Y298,$S$114:$S$1288)</f>
        <v>57300</v>
      </c>
      <c r="AA298" s="821"/>
      <c r="AC298" s="1316">
        <f t="shared" si="173"/>
        <v>0</v>
      </c>
      <c r="AD298" s="1317">
        <f t="shared" si="174"/>
        <v>46710</v>
      </c>
      <c r="AE298" s="1317">
        <f t="shared" si="175"/>
        <v>46857</v>
      </c>
      <c r="AF298" s="1317">
        <f t="shared" si="176"/>
        <v>47171</v>
      </c>
      <c r="AG298" s="1315" t="str">
        <f t="shared" si="208"/>
        <v>500 SLOW - MALE JBS</v>
      </c>
      <c r="AH298" s="1315" t="str">
        <f t="shared" si="209"/>
        <v>COBB</v>
      </c>
      <c r="AJ298" s="818"/>
    </row>
    <row r="299" spans="1:36" s="820" customFormat="1">
      <c r="A299" s="766" t="s">
        <v>17</v>
      </c>
      <c r="B299" s="767">
        <f>N250+K250</f>
        <v>46703</v>
      </c>
      <c r="C299" s="768">
        <f t="shared" si="194"/>
        <v>46703</v>
      </c>
      <c r="D299" s="1079">
        <v>106427</v>
      </c>
      <c r="E299" s="769"/>
      <c r="F299" s="769" t="str">
        <f>IFERROR(VLOOKUP(G299,Recria[[Granja Recria]:[Emp+CC]],4,0),"")</f>
        <v>10_369</v>
      </c>
      <c r="G299" s="770" t="s">
        <v>104</v>
      </c>
      <c r="H299" s="771" t="str">
        <f>IFERROR(VLOOKUP(G299,Recria[[Granja Recria]:[Núcleo]],2,0),"")</f>
        <v>(N2)</v>
      </c>
      <c r="I299" s="772">
        <v>66000</v>
      </c>
      <c r="J299" s="766" t="s">
        <v>60</v>
      </c>
      <c r="K299" s="766">
        <v>25</v>
      </c>
      <c r="L299" s="813" t="str">
        <f>VLOOKUP(M299,Raca_Linhagem[],2,0)</f>
        <v>ROSS</v>
      </c>
      <c r="M299" s="812" t="s">
        <v>26</v>
      </c>
      <c r="N299" s="773">
        <f t="shared" si="200"/>
        <v>46850</v>
      </c>
      <c r="O299" s="774"/>
      <c r="P299" s="774" t="str">
        <f>IFERROR(VLOOKUP(Q299,Producao[[Granja Produção]:[Emp+CC]],4,0),"")</f>
        <v/>
      </c>
      <c r="Q299" s="775"/>
      <c r="R299" s="766" t="str">
        <f>IFERROR(VLOOKUP(Q299,Producao[[Granja Produção]:[Núcleo]],2,0),"")</f>
        <v/>
      </c>
      <c r="S299" s="776">
        <f t="shared" si="167"/>
        <v>63030</v>
      </c>
      <c r="T299" s="777">
        <f t="shared" si="218"/>
        <v>47164</v>
      </c>
      <c r="U299" s="778">
        <v>66</v>
      </c>
      <c r="V299" s="779"/>
      <c r="W299" s="780">
        <f t="shared" ref="W299:W314" si="219">IFERROR(T299+V299," ")</f>
        <v>47164</v>
      </c>
      <c r="X299" s="811" t="e">
        <f>VLOOKUP(Q299,Q353:Q520,1,0)</f>
        <v>#N/A</v>
      </c>
      <c r="Y299" s="1229" t="str">
        <f t="shared" si="202"/>
        <v>Panorama 2 - PR106427</v>
      </c>
      <c r="Z299" s="818">
        <f>SUMIF($Y$114:$Y$314,Y299,$S$114:$S$1288)</f>
        <v>63030</v>
      </c>
      <c r="AA299" s="821"/>
      <c r="AC299" s="1316">
        <f t="shared" si="173"/>
        <v>0</v>
      </c>
      <c r="AD299" s="1317">
        <f t="shared" si="174"/>
        <v>46703</v>
      </c>
      <c r="AE299" s="1317">
        <f t="shared" si="175"/>
        <v>46850</v>
      </c>
      <c r="AF299" s="1317">
        <f t="shared" si="176"/>
        <v>47164</v>
      </c>
      <c r="AG299" s="1315" t="str">
        <f t="shared" si="208"/>
        <v>AP95 - 344</v>
      </c>
      <c r="AH299" s="1315" t="str">
        <f t="shared" si="209"/>
        <v>ROSS</v>
      </c>
      <c r="AJ299" s="818"/>
    </row>
    <row r="300" spans="1:36" s="820" customFormat="1">
      <c r="A300" s="766" t="s">
        <v>17</v>
      </c>
      <c r="B300" s="767">
        <f>N261+K261</f>
        <v>46713</v>
      </c>
      <c r="C300" s="768">
        <f t="shared" si="194"/>
        <v>46713</v>
      </c>
      <c r="D300" s="1079">
        <v>106627</v>
      </c>
      <c r="E300" s="769"/>
      <c r="F300" s="769" t="str">
        <f>IFERROR(VLOOKUP(G300,Recria[[Granja Recria]:[Emp+CC]],4,0),"")</f>
        <v>10_140</v>
      </c>
      <c r="G300" s="770" t="s">
        <v>107</v>
      </c>
      <c r="H300" s="771" t="str">
        <f>IFERROR(VLOOKUP(G300,Recria[[Granja Recria]:[Núcleo]],2,0),"")</f>
        <v>(N1)</v>
      </c>
      <c r="I300" s="772">
        <v>42000</v>
      </c>
      <c r="J300" s="766" t="s">
        <v>45</v>
      </c>
      <c r="K300" s="766">
        <v>49</v>
      </c>
      <c r="L300" s="812" t="str">
        <f>VLOOKUP(M300,Raca_Linhagem[],2,0)</f>
        <v>ROSS</v>
      </c>
      <c r="M300" s="812" t="s">
        <v>26</v>
      </c>
      <c r="N300" s="773">
        <f t="shared" si="200"/>
        <v>46860</v>
      </c>
      <c r="O300" s="774"/>
      <c r="P300" s="774" t="str">
        <f>IFERROR(VLOOKUP(Q300,Producao[[Granja Produção]:[Emp+CC]],4,0),"")</f>
        <v/>
      </c>
      <c r="Q300" s="775"/>
      <c r="R300" s="766" t="str">
        <f>IFERROR(VLOOKUP(Q300,Producao[[Granja Produção]:[Núcleo]],2,0),"")</f>
        <v/>
      </c>
      <c r="S300" s="776">
        <f t="shared" si="167"/>
        <v>40110</v>
      </c>
      <c r="T300" s="777">
        <f t="shared" si="218"/>
        <v>47174</v>
      </c>
      <c r="U300" s="778">
        <v>66</v>
      </c>
      <c r="V300" s="779"/>
      <c r="W300" s="780">
        <f t="shared" si="219"/>
        <v>47174</v>
      </c>
      <c r="X300" s="811" t="e">
        <f>VLOOKUP(Q300,Q355:Q522,1,0)</f>
        <v>#N/A</v>
      </c>
      <c r="Y300" s="1229" t="str">
        <f t="shared" si="202"/>
        <v>Viganó 1 - PR106627</v>
      </c>
      <c r="Z300" s="818">
        <f>SUMIF($Y$114:$Y$314,Y300,$S$114:$S$1288)</f>
        <v>40110</v>
      </c>
      <c r="AA300" s="821"/>
      <c r="AC300" s="1316">
        <f t="shared" si="173"/>
        <v>0</v>
      </c>
      <c r="AD300" s="1317">
        <f t="shared" si="174"/>
        <v>46713</v>
      </c>
      <c r="AE300" s="1317">
        <f t="shared" si="175"/>
        <v>46860</v>
      </c>
      <c r="AF300" s="1317">
        <f t="shared" si="176"/>
        <v>47174</v>
      </c>
      <c r="AG300" s="1315" t="str">
        <f t="shared" si="208"/>
        <v>AP95 - 344</v>
      </c>
      <c r="AH300" s="1315" t="str">
        <f t="shared" si="209"/>
        <v>ROSS</v>
      </c>
      <c r="AJ300" s="818"/>
    </row>
    <row r="301" spans="1:36" s="820" customFormat="1">
      <c r="A301" s="766" t="s">
        <v>17</v>
      </c>
      <c r="B301" s="767">
        <f>N263+K263</f>
        <v>46719</v>
      </c>
      <c r="C301" s="768">
        <f t="shared" si="194"/>
        <v>46719</v>
      </c>
      <c r="D301" s="1079">
        <v>107427</v>
      </c>
      <c r="E301" s="1098">
        <v>141</v>
      </c>
      <c r="F301" s="769" t="str">
        <f>IFERROR(VLOOKUP(G301,Recria[[Granja Recria]:[Emp+CC]],4,0),"")</f>
        <v>112_2399</v>
      </c>
      <c r="G301" s="770" t="s">
        <v>216</v>
      </c>
      <c r="H301" s="771" t="str">
        <f>IFERROR(VLOOKUP(G301,Recria[[Granja Recria]:[Núcleo]],2,0),"")</f>
        <v>(N5)</v>
      </c>
      <c r="I301" s="772">
        <v>60000</v>
      </c>
      <c r="J301" s="766" t="s">
        <v>45</v>
      </c>
      <c r="K301" s="766">
        <v>55</v>
      </c>
      <c r="L301" s="815" t="str">
        <f>VLOOKUP(M301,Raca_Linhagem[],2,0)</f>
        <v>ROSS</v>
      </c>
      <c r="M301" s="812" t="s">
        <v>26</v>
      </c>
      <c r="N301" s="773">
        <f>C301+(22*7)-7</f>
        <v>46866</v>
      </c>
      <c r="O301" s="774"/>
      <c r="P301" s="774" t="str">
        <f>IFERROR(VLOOKUP(Q301,Producao[[Granja Produção]:[Emp+CC]],4,0),"")</f>
        <v/>
      </c>
      <c r="Q301" s="775"/>
      <c r="R301" s="766" t="str">
        <f>IFERROR(VLOOKUP(Q301,Producao[[Granja Produção]:[Núcleo]],2,0),"")</f>
        <v/>
      </c>
      <c r="S301" s="776">
        <f>I301*0.955</f>
        <v>57300</v>
      </c>
      <c r="T301" s="777">
        <f>C301+(U301*7)-1</f>
        <v>47180</v>
      </c>
      <c r="U301" s="778">
        <v>66</v>
      </c>
      <c r="V301" s="779"/>
      <c r="W301" s="780">
        <f>IFERROR(T301+V301," ")</f>
        <v>47180</v>
      </c>
      <c r="X301" s="811" t="e">
        <f>VLOOKUP(Q301,Q366:Q533,1,0)</f>
        <v>#N/A</v>
      </c>
      <c r="Y301" s="1229" t="str">
        <f>G301&amp;D301</f>
        <v>Pluma 5 - PR107427</v>
      </c>
      <c r="Z301" s="818">
        <f>SUMIF($Y$114:$Y$314,Y301,$S$114:$S$1288)</f>
        <v>57300</v>
      </c>
      <c r="AA301" s="821"/>
      <c r="AC301" s="1316">
        <f>Q301</f>
        <v>0</v>
      </c>
      <c r="AD301" s="1317">
        <f>C301</f>
        <v>46719</v>
      </c>
      <c r="AE301" s="1317">
        <f>N301</f>
        <v>46866</v>
      </c>
      <c r="AF301" s="1317">
        <f>T301</f>
        <v>47180</v>
      </c>
      <c r="AG301" s="1315" t="str">
        <f>M301</f>
        <v>AP95 - 344</v>
      </c>
      <c r="AH301" s="1315" t="str">
        <f>L301</f>
        <v>ROSS</v>
      </c>
      <c r="AJ301" s="818"/>
    </row>
    <row r="302" spans="1:36" s="820" customFormat="1">
      <c r="A302" s="766" t="s">
        <v>17</v>
      </c>
      <c r="B302" s="781">
        <f>N253+K253</f>
        <v>46721</v>
      </c>
      <c r="C302" s="768">
        <f t="shared" si="194"/>
        <v>46721</v>
      </c>
      <c r="D302" s="1079">
        <v>106727</v>
      </c>
      <c r="E302" s="1098">
        <v>140</v>
      </c>
      <c r="F302" s="769" t="str">
        <f>IFERROR(VLOOKUP(G302,Recria[[Granja Recria]:[Emp+CC]],4,0),"")</f>
        <v>27_181</v>
      </c>
      <c r="G302" s="770" t="s">
        <v>111</v>
      </c>
      <c r="H302" s="771" t="str">
        <f>IFERROR(VLOOKUP(G302,Recria[[Granja Recria]:[Núcleo]],2,0),"")</f>
        <v>(N2)</v>
      </c>
      <c r="I302" s="772">
        <v>43000</v>
      </c>
      <c r="J302" s="766" t="s">
        <v>60</v>
      </c>
      <c r="K302" s="766">
        <v>25</v>
      </c>
      <c r="L302" s="812" t="str">
        <f>VLOOKUP(M302,Raca_Linhagem[],2,0)</f>
        <v>ROSS</v>
      </c>
      <c r="M302" s="815" t="s">
        <v>31</v>
      </c>
      <c r="N302" s="773">
        <f t="shared" si="200"/>
        <v>46868</v>
      </c>
      <c r="O302" s="774"/>
      <c r="P302" s="774" t="str">
        <f>IFERROR(VLOOKUP(Q302,Producao[[Granja Produção]:[Emp+CC]],4,0),"")</f>
        <v/>
      </c>
      <c r="Q302" s="775"/>
      <c r="R302" s="766" t="str">
        <f>IFERROR(VLOOKUP(Q302,Producao[[Granja Produção]:[Núcleo]],2,0),"")</f>
        <v/>
      </c>
      <c r="S302" s="776">
        <f t="shared" si="167"/>
        <v>41065</v>
      </c>
      <c r="T302" s="777">
        <f t="shared" si="218"/>
        <v>47182</v>
      </c>
      <c r="U302" s="778">
        <v>66</v>
      </c>
      <c r="V302" s="779"/>
      <c r="W302" s="780">
        <f t="shared" si="219"/>
        <v>47182</v>
      </c>
      <c r="X302" s="811" t="e">
        <f>VLOOKUP(Q302,Q359:Q526,1,0)</f>
        <v>#N/A</v>
      </c>
      <c r="Y302" s="1229" t="str">
        <f t="shared" si="202"/>
        <v>Rio Chopim 2 - PR106727</v>
      </c>
      <c r="Z302" s="818">
        <f>SUMIF($Y$114:$Y$314,Y302,$S$114:$S$1288)</f>
        <v>41065</v>
      </c>
      <c r="AA302" s="821"/>
      <c r="AC302" s="1316">
        <f t="shared" si="173"/>
        <v>0</v>
      </c>
      <c r="AD302" s="1317">
        <f t="shared" si="174"/>
        <v>46721</v>
      </c>
      <c r="AE302" s="1317">
        <f t="shared" si="175"/>
        <v>46868</v>
      </c>
      <c r="AF302" s="1317">
        <f t="shared" si="176"/>
        <v>47182</v>
      </c>
      <c r="AG302" s="1315" t="str">
        <f t="shared" si="208"/>
        <v>AP95 - 344  JBS</v>
      </c>
      <c r="AH302" s="1315" t="str">
        <f t="shared" si="209"/>
        <v>ROSS</v>
      </c>
      <c r="AJ302" s="818"/>
    </row>
    <row r="303" spans="1:36">
      <c r="A303" s="782" t="s">
        <v>17</v>
      </c>
      <c r="B303" s="783">
        <f>N255+K255</f>
        <v>46722</v>
      </c>
      <c r="C303" s="785">
        <f t="shared" si="194"/>
        <v>46722</v>
      </c>
      <c r="D303" s="1129">
        <v>104827</v>
      </c>
      <c r="E303" s="786"/>
      <c r="F303" s="786" t="str">
        <f>IFERROR(VLOOKUP(G303,Recria[[Granja Recria]:[Emp+CC]],4,0),"")</f>
        <v/>
      </c>
      <c r="G303" s="787" t="s">
        <v>248</v>
      </c>
      <c r="H303" s="788" t="str">
        <f>IFERROR(VLOOKUP(G303,Recria[[Granja Recria]:[Núcleo]],2,0),"")</f>
        <v/>
      </c>
      <c r="I303" s="789">
        <v>84000</v>
      </c>
      <c r="J303" s="782" t="s">
        <v>60</v>
      </c>
      <c r="K303" s="782">
        <v>25</v>
      </c>
      <c r="L303" s="816" t="str">
        <f>VLOOKUP(M303,Raca_Linhagem[],2,0)</f>
        <v>COBB</v>
      </c>
      <c r="M303" s="816" t="s">
        <v>21</v>
      </c>
      <c r="N303" s="790">
        <f t="shared" si="200"/>
        <v>46869</v>
      </c>
      <c r="O303" s="784"/>
      <c r="P303" s="784" t="str">
        <f>IFERROR(VLOOKUP(Q303,Producao[[Granja Produção]:[Emp+CC]],4,0),"")</f>
        <v/>
      </c>
      <c r="Q303" s="791"/>
      <c r="R303" s="782" t="str">
        <f>IFERROR(VLOOKUP(Q303,Producao[[Granja Produção]:[Núcleo]],2,0),"")</f>
        <v/>
      </c>
      <c r="S303" s="792">
        <f t="shared" si="167"/>
        <v>80220</v>
      </c>
      <c r="T303" s="793">
        <f t="shared" si="218"/>
        <v>47183</v>
      </c>
      <c r="U303" s="794">
        <v>66</v>
      </c>
      <c r="V303" s="795"/>
      <c r="W303" s="796">
        <f>IFERROR(T303+V303," ")</f>
        <v>47183</v>
      </c>
      <c r="X303" s="802" t="e">
        <f>VLOOKUP(Q303,Q340:Q507,1,0)</f>
        <v>#N/A</v>
      </c>
      <c r="Y303" s="1229" t="str">
        <f t="shared" si="202"/>
        <v>Uberaba - PR104827</v>
      </c>
      <c r="Z303" s="818">
        <f>SUMIF($Y$114:$Y$314,Y303,$S$114:$S$1288)</f>
        <v>80220</v>
      </c>
      <c r="AA303" s="818"/>
      <c r="AC303" s="1316">
        <f t="shared" si="173"/>
        <v>0</v>
      </c>
      <c r="AD303" s="1317">
        <f t="shared" si="174"/>
        <v>46722</v>
      </c>
      <c r="AE303" s="1317">
        <f t="shared" si="175"/>
        <v>46869</v>
      </c>
      <c r="AF303" s="1317">
        <f t="shared" si="176"/>
        <v>47183</v>
      </c>
      <c r="AG303" s="1315" t="str">
        <f t="shared" si="208"/>
        <v>500 SLOW - MALE</v>
      </c>
      <c r="AH303" s="1315" t="str">
        <f t="shared" si="209"/>
        <v>COBB</v>
      </c>
      <c r="AJ303" s="818"/>
    </row>
    <row r="304" spans="1:36" s="820" customFormat="1">
      <c r="A304" s="766" t="s">
        <v>17</v>
      </c>
      <c r="B304" s="767">
        <f>N264+K264</f>
        <v>46729</v>
      </c>
      <c r="C304" s="768">
        <f t="shared" si="194"/>
        <v>46729</v>
      </c>
      <c r="D304" s="769" t="str">
        <f>LEFT(D301,4)+1&amp;" "&amp;TEXT(B304,"AA")</f>
        <v>1075 27</v>
      </c>
      <c r="E304" s="769"/>
      <c r="F304" s="769" t="str">
        <f>IFERROR(VLOOKUP(G304,Recria[[Granja Recria]:[Emp+CC]],4,0),"")</f>
        <v>139_149</v>
      </c>
      <c r="G304" s="770" t="s">
        <v>139</v>
      </c>
      <c r="H304" s="771" t="str">
        <f>IFERROR(VLOOKUP(G304,Recria[[Granja Recria]:[Núcleo]],2,0),"")</f>
        <v>(N2)</v>
      </c>
      <c r="I304" s="772">
        <v>60000</v>
      </c>
      <c r="J304" s="766" t="s">
        <v>45</v>
      </c>
      <c r="K304" s="766">
        <v>55</v>
      </c>
      <c r="L304" s="815" t="str">
        <f>VLOOKUP(M304,Raca_Linhagem[],2,0)</f>
        <v>COBB</v>
      </c>
      <c r="M304" s="814" t="s">
        <v>37</v>
      </c>
      <c r="N304" s="773">
        <f>C304+(22*7)-7</f>
        <v>46876</v>
      </c>
      <c r="O304" s="774"/>
      <c r="P304" s="774" t="str">
        <f>IFERROR(VLOOKUP(Q304,Producao[[Granja Produção]:[Emp+CC]],4,0),"")</f>
        <v/>
      </c>
      <c r="Q304" s="775"/>
      <c r="R304" s="766" t="str">
        <f>IFERROR(VLOOKUP(Q304,Producao[[Granja Produção]:[Núcleo]],2,0),"")</f>
        <v/>
      </c>
      <c r="S304" s="776">
        <f>I304*0.955</f>
        <v>57300</v>
      </c>
      <c r="T304" s="777">
        <f>C304+(U304*7)-1</f>
        <v>47190</v>
      </c>
      <c r="U304" s="778">
        <v>66</v>
      </c>
      <c r="V304" s="779"/>
      <c r="W304" s="780">
        <f>IFERROR(T304+V304," ")</f>
        <v>47190</v>
      </c>
      <c r="X304" s="811" t="e">
        <f>VLOOKUP(Q304,Q365:Q532,1,0)</f>
        <v>#N/A</v>
      </c>
      <c r="Y304" s="1229" t="str">
        <f>G304&amp;D304</f>
        <v>Esperança 2 - PR1075 27</v>
      </c>
      <c r="Z304" s="818">
        <f>SUMIF($Y$114:$Y$314,Y304,$S$114:$S$1288)</f>
        <v>57300</v>
      </c>
      <c r="AA304" s="821"/>
      <c r="AC304" s="1316">
        <f>Q304</f>
        <v>0</v>
      </c>
      <c r="AD304" s="1317">
        <f>C304</f>
        <v>46729</v>
      </c>
      <c r="AE304" s="1317">
        <f>N304</f>
        <v>46876</v>
      </c>
      <c r="AF304" s="1317">
        <f>T304</f>
        <v>47190</v>
      </c>
      <c r="AG304" s="1315" t="str">
        <f>M304</f>
        <v>500 SLOW - MALE JBS</v>
      </c>
      <c r="AH304" s="1315" t="str">
        <f>L304</f>
        <v>COBB</v>
      </c>
      <c r="AJ304" s="818"/>
    </row>
    <row r="305" spans="1:36" s="820" customFormat="1">
      <c r="A305" s="766" t="s">
        <v>17</v>
      </c>
      <c r="B305" s="767">
        <f>N266+K266</f>
        <v>46732</v>
      </c>
      <c r="C305" s="768">
        <f t="shared" si="194"/>
        <v>46732</v>
      </c>
      <c r="D305" s="1079">
        <v>106527</v>
      </c>
      <c r="E305" s="769"/>
      <c r="F305" s="769" t="str">
        <f>IFERROR(VLOOKUP(G305,Recria[[Granja Recria]:[Emp+CC]],4,0),"")</f>
        <v>10_180</v>
      </c>
      <c r="G305" s="770" t="s">
        <v>135</v>
      </c>
      <c r="H305" s="771" t="str">
        <f>IFERROR(VLOOKUP(G305,Recria[[Granja Recria]:[Núcleo]],2,0),"")</f>
        <v>(N1)</v>
      </c>
      <c r="I305" s="772">
        <v>46000</v>
      </c>
      <c r="J305" s="766" t="s">
        <v>45</v>
      </c>
      <c r="K305" s="766">
        <v>50</v>
      </c>
      <c r="L305" s="813" t="str">
        <f>VLOOKUP(M305,Raca_Linhagem[],2,0)</f>
        <v>COBB</v>
      </c>
      <c r="M305" s="813" t="s">
        <v>21</v>
      </c>
      <c r="N305" s="773">
        <f>C305+(22*7)-7</f>
        <v>46879</v>
      </c>
      <c r="O305" s="774"/>
      <c r="P305" s="774" t="str">
        <f>IFERROR(VLOOKUP(Q305,Producao[[Granja Produção]:[Emp+CC]],4,0),"")</f>
        <v/>
      </c>
      <c r="Q305" s="775"/>
      <c r="R305" s="766" t="str">
        <f>IFERROR(VLOOKUP(Q305,Producao[[Granja Produção]:[Núcleo]],2,0),"")</f>
        <v/>
      </c>
      <c r="S305" s="776">
        <f>I305*0.955</f>
        <v>43930</v>
      </c>
      <c r="T305" s="777">
        <f>C305+(U305*7)-1</f>
        <v>47193</v>
      </c>
      <c r="U305" s="778">
        <v>66</v>
      </c>
      <c r="V305" s="779"/>
      <c r="W305" s="780">
        <f>IFERROR(T305+V305," ")</f>
        <v>47193</v>
      </c>
      <c r="X305" s="811" t="e">
        <f>VLOOKUP(Q305,Q357:Q524,1,0)</f>
        <v>#N/A</v>
      </c>
      <c r="Y305" s="1229" t="str">
        <f>G305&amp;D305</f>
        <v>Panorama 1 - PR106527</v>
      </c>
      <c r="Z305" s="818">
        <f>SUMIF($Y$114:$Y$314,Y305,$S$114:$S$1288)</f>
        <v>43930</v>
      </c>
      <c r="AA305" s="821"/>
      <c r="AC305" s="1316">
        <f>Q305</f>
        <v>0</v>
      </c>
      <c r="AD305" s="1317">
        <f>C305</f>
        <v>46732</v>
      </c>
      <c r="AE305" s="1317">
        <f>N305</f>
        <v>46879</v>
      </c>
      <c r="AF305" s="1317">
        <f>T305</f>
        <v>47193</v>
      </c>
      <c r="AG305" s="1315" t="str">
        <f>M305</f>
        <v>500 SLOW - MALE</v>
      </c>
      <c r="AH305" s="1315" t="str">
        <f>L305</f>
        <v>COBB</v>
      </c>
      <c r="AJ305" s="818"/>
    </row>
    <row r="306" spans="1:36" s="820" customFormat="1">
      <c r="A306" s="766" t="s">
        <v>17</v>
      </c>
      <c r="B306" s="767">
        <f>N256+K256</f>
        <v>46732</v>
      </c>
      <c r="C306" s="768">
        <f t="shared" si="194"/>
        <v>46732</v>
      </c>
      <c r="D306" s="1130">
        <v>107027</v>
      </c>
      <c r="E306" s="769"/>
      <c r="F306" s="769" t="str">
        <f>IFERROR(VLOOKUP(G306,Recria[[Granja Recria]:[Emp+CC]],4,0),"")</f>
        <v>10_326</v>
      </c>
      <c r="G306" s="770" t="s">
        <v>129</v>
      </c>
      <c r="H306" s="771" t="str">
        <f>IFERROR(VLOOKUP(G306,Recria[[Granja Recria]:[Núcleo]],2,0),"")</f>
        <v>(N1)</v>
      </c>
      <c r="I306" s="772">
        <v>38000</v>
      </c>
      <c r="J306" s="766" t="s">
        <v>60</v>
      </c>
      <c r="K306" s="766">
        <v>25</v>
      </c>
      <c r="L306" s="813" t="str">
        <f>VLOOKUP(M306,Raca_Linhagem[],2,0)</f>
        <v>COBB</v>
      </c>
      <c r="M306" s="813" t="s">
        <v>21</v>
      </c>
      <c r="N306" s="773">
        <f t="shared" si="200"/>
        <v>46879</v>
      </c>
      <c r="O306" s="774"/>
      <c r="P306" s="774" t="str">
        <f>IFERROR(VLOOKUP(Q306,Producao[[Granja Produção]:[Emp+CC]],4,0),"")</f>
        <v/>
      </c>
      <c r="Q306" s="775"/>
      <c r="R306" s="766" t="str">
        <f>IFERROR(VLOOKUP(Q306,Producao[[Granja Produção]:[Núcleo]],2,0),"")</f>
        <v/>
      </c>
      <c r="S306" s="776">
        <f t="shared" si="167"/>
        <v>36290</v>
      </c>
      <c r="T306" s="777">
        <f t="shared" si="218"/>
        <v>47193</v>
      </c>
      <c r="U306" s="778">
        <v>66</v>
      </c>
      <c r="V306" s="779"/>
      <c r="W306" s="780">
        <f t="shared" si="219"/>
        <v>47193</v>
      </c>
      <c r="X306" s="811" t="e">
        <f>VLOOKUP(Q306,Q360:Q527,1,0)</f>
        <v>#N/A</v>
      </c>
      <c r="Y306" s="1229" t="str">
        <f t="shared" si="202"/>
        <v>Santa Tereza 1 - PR107027</v>
      </c>
      <c r="Z306" s="818">
        <f>SUMIF($Y$114:$Y$314,Y306,$S$114:$S$1288)</f>
        <v>36290</v>
      </c>
      <c r="AA306" s="821"/>
      <c r="AC306" s="1316">
        <f t="shared" si="173"/>
        <v>0</v>
      </c>
      <c r="AD306" s="1317">
        <f t="shared" si="174"/>
        <v>46732</v>
      </c>
      <c r="AE306" s="1317">
        <f t="shared" si="175"/>
        <v>46879</v>
      </c>
      <c r="AF306" s="1317">
        <f t="shared" si="176"/>
        <v>47193</v>
      </c>
      <c r="AG306" s="1315" t="str">
        <f t="shared" si="208"/>
        <v>500 SLOW - MALE</v>
      </c>
      <c r="AH306" s="1315" t="str">
        <f t="shared" si="209"/>
        <v>COBB</v>
      </c>
      <c r="AJ306" s="818"/>
    </row>
    <row r="307" spans="1:36">
      <c r="A307" s="816" t="s">
        <v>17</v>
      </c>
      <c r="B307" s="1246">
        <f>N268+K268</f>
        <v>46732</v>
      </c>
      <c r="C307" s="1247">
        <f t="shared" si="194"/>
        <v>46732</v>
      </c>
      <c r="D307" s="1248">
        <v>107127</v>
      </c>
      <c r="E307" s="1249"/>
      <c r="F307" s="1250" t="str">
        <f>IFERROR(VLOOKUP(G307,Recria[[Granja Recria]:[Emp+CC]],4,0),"")</f>
        <v>10_267</v>
      </c>
      <c r="G307" s="1251" t="s">
        <v>115</v>
      </c>
      <c r="H307" s="1252" t="str">
        <f>IFERROR(VLOOKUP(G307,Recria[[Granja Recria]:[Núcleo]],2,0),"")</f>
        <v>(N1)</v>
      </c>
      <c r="I307" s="1288" t="s">
        <v>250</v>
      </c>
      <c r="J307" s="816" t="s">
        <v>45</v>
      </c>
      <c r="K307" s="816">
        <v>49</v>
      </c>
      <c r="L307" s="1253" t="str">
        <f>VLOOKUP(M307,Raca_Linhagem[],2,0)</f>
        <v>ROSS</v>
      </c>
      <c r="M307" s="1253" t="s">
        <v>26</v>
      </c>
      <c r="N307" s="1254">
        <f t="shared" si="200"/>
        <v>46879</v>
      </c>
      <c r="O307" s="1255"/>
      <c r="P307" s="1255" t="str">
        <f>IFERROR(VLOOKUP(Q307,Producao[[Granja Produção]:[Emp+CC]],4,0),"")</f>
        <v/>
      </c>
      <c r="Q307" s="1256"/>
      <c r="R307" s="1257" t="str">
        <f>IFERROR(VLOOKUP(Q307,Producao[[Granja Produção]:[Núcleo]],2,0),"")</f>
        <v/>
      </c>
      <c r="S307" s="1258">
        <f t="shared" si="167"/>
        <v>60165</v>
      </c>
      <c r="T307" s="881">
        <f t="shared" si="218"/>
        <v>47193</v>
      </c>
      <c r="U307" s="672">
        <v>66</v>
      </c>
      <c r="V307" s="880"/>
      <c r="W307" s="1259">
        <f t="shared" si="219"/>
        <v>47193</v>
      </c>
      <c r="X307" s="802" t="e">
        <f>VLOOKUP(Q307,Q361:Q528,1,0)</f>
        <v>#N/A</v>
      </c>
      <c r="Y307" s="1229" t="str">
        <f t="shared" si="202"/>
        <v>Três Palmeiras - PR107127</v>
      </c>
      <c r="Z307" s="818">
        <f>SUMIF($Y$114:$Y$314,Y307,$S$114:$S$1288)</f>
        <v>120330</v>
      </c>
      <c r="AA307" s="818"/>
      <c r="AC307" s="1316">
        <f t="shared" ref="AC307:AC314" si="220">Q307</f>
        <v>0</v>
      </c>
      <c r="AD307" s="1317">
        <f t="shared" ref="AD307:AD314" si="221">C307</f>
        <v>46732</v>
      </c>
      <c r="AE307" s="1317">
        <f t="shared" ref="AE307:AE314" si="222">N307</f>
        <v>46879</v>
      </c>
      <c r="AF307" s="1317">
        <f t="shared" ref="AF307:AF314" si="223">T307</f>
        <v>47193</v>
      </c>
      <c r="AG307" s="1315" t="str">
        <f t="shared" si="208"/>
        <v>AP95 - 344</v>
      </c>
      <c r="AH307" s="1315" t="str">
        <f t="shared" si="209"/>
        <v>ROSS</v>
      </c>
      <c r="AJ307" s="818"/>
    </row>
    <row r="308" spans="1:36">
      <c r="A308" s="816" t="s">
        <v>17</v>
      </c>
      <c r="B308" s="1246">
        <f>N269+K269</f>
        <v>46734</v>
      </c>
      <c r="C308" s="1247">
        <f t="shared" si="194"/>
        <v>46734</v>
      </c>
      <c r="D308" s="1248">
        <v>107127</v>
      </c>
      <c r="E308" s="1249"/>
      <c r="F308" s="1250" t="str">
        <f>IFERROR(VLOOKUP(G308,Recria[[Granja Recria]:[Emp+CC]],4,0),"")</f>
        <v>10_267</v>
      </c>
      <c r="G308" s="1251" t="s">
        <v>115</v>
      </c>
      <c r="H308" s="1252" t="str">
        <f>IFERROR(VLOOKUP(G308,Recria[[Granja Recria]:[Núcleo]],2,0),"")</f>
        <v>(N1)</v>
      </c>
      <c r="I308" s="1288" t="s">
        <v>250</v>
      </c>
      <c r="J308" s="816" t="s">
        <v>45</v>
      </c>
      <c r="K308" s="816">
        <v>49</v>
      </c>
      <c r="L308" s="1253" t="str">
        <f>VLOOKUP(M308,Raca_Linhagem[],2,0)</f>
        <v>ROSS</v>
      </c>
      <c r="M308" s="1253" t="s">
        <v>26</v>
      </c>
      <c r="N308" s="1254">
        <f t="shared" si="200"/>
        <v>46881</v>
      </c>
      <c r="O308" s="1255"/>
      <c r="P308" s="1255" t="str">
        <f>IFERROR(VLOOKUP(Q308,Producao[[Granja Produção]:[Emp+CC]],4,0),"")</f>
        <v/>
      </c>
      <c r="Q308" s="1256"/>
      <c r="R308" s="1257" t="str">
        <f>IFERROR(VLOOKUP(Q308,Producao[[Granja Produção]:[Núcleo]],2,0),"")</f>
        <v/>
      </c>
      <c r="S308" s="1258">
        <f t="shared" si="167"/>
        <v>60165</v>
      </c>
      <c r="T308" s="881">
        <f t="shared" si="218"/>
        <v>47195</v>
      </c>
      <c r="U308" s="672">
        <v>66</v>
      </c>
      <c r="V308" s="880"/>
      <c r="W308" s="1259">
        <f t="shared" si="219"/>
        <v>47195</v>
      </c>
      <c r="X308" s="802" t="e">
        <f>VLOOKUP(Q308,Q362:Q529,1,0)</f>
        <v>#N/A</v>
      </c>
      <c r="Y308" s="1229" t="str">
        <f t="shared" si="202"/>
        <v>Três Palmeiras - PR107127</v>
      </c>
      <c r="Z308" s="818">
        <f>SUMIF($Y$114:$Y$314,Y308,$S$114:$S$1288)</f>
        <v>120330</v>
      </c>
      <c r="AA308" s="818"/>
      <c r="AC308" s="1316">
        <f t="shared" si="220"/>
        <v>0</v>
      </c>
      <c r="AD308" s="1317">
        <f t="shared" si="221"/>
        <v>46734</v>
      </c>
      <c r="AE308" s="1317">
        <f t="shared" si="222"/>
        <v>46881</v>
      </c>
      <c r="AF308" s="1317">
        <f t="shared" si="223"/>
        <v>47195</v>
      </c>
      <c r="AG308" s="1315" t="str">
        <f t="shared" si="208"/>
        <v>AP95 - 344</v>
      </c>
      <c r="AH308" s="1315" t="str">
        <f t="shared" si="209"/>
        <v>ROSS</v>
      </c>
      <c r="AJ308" s="818"/>
    </row>
    <row r="309" spans="1:36" s="820" customFormat="1">
      <c r="A309" s="766" t="s">
        <v>17</v>
      </c>
      <c r="B309" s="767">
        <f>N270+K270</f>
        <v>46735</v>
      </c>
      <c r="C309" s="768">
        <f t="shared" si="194"/>
        <v>46735</v>
      </c>
      <c r="D309" s="1079">
        <v>107227</v>
      </c>
      <c r="E309" s="769"/>
      <c r="F309" s="769" t="str">
        <f>IFERROR(VLOOKUP(G309,Recria[[Granja Recria]:[Emp+CC]],4,0),"")</f>
        <v>10_775</v>
      </c>
      <c r="G309" s="770" t="s">
        <v>120</v>
      </c>
      <c r="H309" s="771" t="str">
        <f>IFERROR(VLOOKUP(G309,Recria[[Granja Recria]:[Núcleo]],2,0),"")</f>
        <v>(N1)</v>
      </c>
      <c r="I309" s="772">
        <v>50000</v>
      </c>
      <c r="J309" s="766" t="s">
        <v>45</v>
      </c>
      <c r="K309" s="766">
        <v>49</v>
      </c>
      <c r="L309" s="812" t="str">
        <f>VLOOKUP(M309,Raca_Linhagem[],2,0)</f>
        <v>COBB</v>
      </c>
      <c r="M309" s="803" t="s">
        <v>21</v>
      </c>
      <c r="N309" s="773">
        <f t="shared" si="200"/>
        <v>46882</v>
      </c>
      <c r="O309" s="774"/>
      <c r="P309" s="774" t="str">
        <f>IFERROR(VLOOKUP(Q309,Producao[[Granja Produção]:[Emp+CC]],4,0),"")</f>
        <v/>
      </c>
      <c r="Q309" s="775"/>
      <c r="R309" s="766" t="str">
        <f>IFERROR(VLOOKUP(Q309,Producao[[Granja Produção]:[Núcleo]],2,0),"")</f>
        <v/>
      </c>
      <c r="S309" s="776">
        <f t="shared" ref="S309:S314" si="224">I309*0.955</f>
        <v>47750</v>
      </c>
      <c r="T309" s="777">
        <f t="shared" si="218"/>
        <v>47196</v>
      </c>
      <c r="U309" s="778">
        <v>66</v>
      </c>
      <c r="V309" s="779"/>
      <c r="W309" s="780">
        <f t="shared" si="219"/>
        <v>47196</v>
      </c>
      <c r="X309" s="811" t="e">
        <f>VLOOKUP(Q309,Q363:Q530,1,0)</f>
        <v>#N/A</v>
      </c>
      <c r="Y309" s="1229" t="str">
        <f t="shared" si="202"/>
        <v>Salto Caxias Rec. 1 - PR107227</v>
      </c>
      <c r="Z309" s="818">
        <f>SUMIF($Y$114:$Y$314,Y309,$S$114:$S$1288)</f>
        <v>47750</v>
      </c>
      <c r="AA309" s="821"/>
      <c r="AC309" s="1316">
        <f t="shared" si="220"/>
        <v>0</v>
      </c>
      <c r="AD309" s="1317">
        <f t="shared" si="221"/>
        <v>46735</v>
      </c>
      <c r="AE309" s="1317">
        <f t="shared" si="222"/>
        <v>46882</v>
      </c>
      <c r="AF309" s="1317">
        <f t="shared" si="223"/>
        <v>47196</v>
      </c>
      <c r="AG309" s="1315" t="str">
        <f t="shared" si="208"/>
        <v>500 SLOW - MALE</v>
      </c>
      <c r="AH309" s="1315" t="str">
        <f t="shared" si="209"/>
        <v>COBB</v>
      </c>
      <c r="AJ309" s="818"/>
    </row>
    <row r="310" spans="1:36" s="820" customFormat="1">
      <c r="A310" s="766" t="s">
        <v>17</v>
      </c>
      <c r="B310" s="767">
        <f>N272+K272</f>
        <v>46752</v>
      </c>
      <c r="C310" s="768">
        <f t="shared" si="194"/>
        <v>46752</v>
      </c>
      <c r="D310" s="1079">
        <v>106827</v>
      </c>
      <c r="E310" s="769"/>
      <c r="F310" s="769" t="str">
        <f>IFERROR(VLOOKUP(G310,Recria[[Granja Recria]:[Emp+CC]],4,0),"")</f>
        <v>112_2401</v>
      </c>
      <c r="G310" s="770" t="s">
        <v>241</v>
      </c>
      <c r="H310" s="771" t="str">
        <f>IFERROR(VLOOKUP(G310,Recria[[Granja Recria]:[Núcleo]],2,0),"")</f>
        <v>(N6)</v>
      </c>
      <c r="I310" s="772">
        <v>84000</v>
      </c>
      <c r="J310" s="766" t="s">
        <v>45</v>
      </c>
      <c r="K310" s="766">
        <v>49</v>
      </c>
      <c r="L310" s="813" t="str">
        <f>VLOOKUP(M310,Raca_Linhagem[],2,0)</f>
        <v>COBB</v>
      </c>
      <c r="M310" s="813" t="s">
        <v>21</v>
      </c>
      <c r="N310" s="773">
        <f t="shared" si="200"/>
        <v>46899</v>
      </c>
      <c r="O310" s="774"/>
      <c r="P310" s="774" t="str">
        <f>IFERROR(VLOOKUP(Q310,Producao[[Granja Produção]:[Emp+CC]],4,0),"")</f>
        <v/>
      </c>
      <c r="Q310" s="775"/>
      <c r="R310" s="766" t="str">
        <f>IFERROR(VLOOKUP(Q310,Producao[[Granja Produção]:[Núcleo]],2,0),"")</f>
        <v/>
      </c>
      <c r="S310" s="776">
        <f t="shared" si="224"/>
        <v>80220</v>
      </c>
      <c r="T310" s="777">
        <f t="shared" si="218"/>
        <v>47213</v>
      </c>
      <c r="U310" s="778">
        <v>66</v>
      </c>
      <c r="V310" s="779"/>
      <c r="W310" s="780">
        <f>IFERROR(T310+V310," ")</f>
        <v>47213</v>
      </c>
      <c r="X310" s="811" t="e">
        <f>VLOOKUP(Q310,Q345:Q512,1,0)</f>
        <v>#N/A</v>
      </c>
      <c r="Y310" s="1229" t="str">
        <f t="shared" si="202"/>
        <v>Pluma 6 - PR106827</v>
      </c>
      <c r="Z310" s="818">
        <f>SUMIF($Y$114:$Y$314,Y310,$S$114:$S$1288)</f>
        <v>80220</v>
      </c>
      <c r="AA310" s="821"/>
      <c r="AC310" s="1316">
        <f t="shared" si="220"/>
        <v>0</v>
      </c>
      <c r="AD310" s="1317">
        <f t="shared" si="221"/>
        <v>46752</v>
      </c>
      <c r="AE310" s="1317">
        <f t="shared" si="222"/>
        <v>46899</v>
      </c>
      <c r="AF310" s="1317">
        <f t="shared" si="223"/>
        <v>47213</v>
      </c>
      <c r="AG310" s="1315" t="str">
        <f t="shared" si="208"/>
        <v>500 SLOW - MALE</v>
      </c>
      <c r="AH310" s="1315" t="str">
        <f t="shared" si="209"/>
        <v>COBB</v>
      </c>
      <c r="AJ310" s="818"/>
    </row>
    <row r="311" spans="1:36">
      <c r="A311" s="718" t="s">
        <v>17</v>
      </c>
      <c r="B311" s="758">
        <f>N262+K262</f>
        <v>46745</v>
      </c>
      <c r="C311" s="759">
        <f t="shared" si="194"/>
        <v>46745</v>
      </c>
      <c r="D311" s="1055">
        <v>106127</v>
      </c>
      <c r="E311" s="760"/>
      <c r="F311" s="760" t="str">
        <f>IFERROR(VLOOKUP(G311,Recria[[Granja Recria]:[Emp+CC]],4,0),"")</f>
        <v>135_2402</v>
      </c>
      <c r="G311" s="764" t="s">
        <v>252</v>
      </c>
      <c r="H311" s="762" t="str">
        <f>IFERROR(VLOOKUP(G311,Recria[[Granja Recria]:[Núcleo]],2,0),"")</f>
        <v>(N2)</v>
      </c>
      <c r="I311" s="763">
        <v>60000</v>
      </c>
      <c r="J311" s="718" t="s">
        <v>60</v>
      </c>
      <c r="K311" s="718">
        <v>25</v>
      </c>
      <c r="L311" s="803" t="str">
        <f>VLOOKUP(M311,Raca_Linhagem[],2,0)</f>
        <v>COBB</v>
      </c>
      <c r="M311" s="803" t="s">
        <v>21</v>
      </c>
      <c r="N311" s="714">
        <f t="shared" si="200"/>
        <v>46892</v>
      </c>
      <c r="O311" s="716"/>
      <c r="P311" s="716" t="str">
        <f>IFERROR(VLOOKUP(Q311,Producao[[Granja Produção]:[Emp+CC]],4,0),"")</f>
        <v/>
      </c>
      <c r="Q311" s="717"/>
      <c r="R311" s="718" t="str">
        <f>IFERROR(VLOOKUP(Q311,Producao[[Granja Produção]:[Núcleo]],2,0),"")</f>
        <v/>
      </c>
      <c r="S311" s="719">
        <f t="shared" si="224"/>
        <v>57300</v>
      </c>
      <c r="T311" s="720">
        <f t="shared" si="218"/>
        <v>47206</v>
      </c>
      <c r="U311" s="721">
        <v>66</v>
      </c>
      <c r="V311" s="722"/>
      <c r="W311" s="723">
        <f>IFERROR(T311+V311," ")</f>
        <v>47206</v>
      </c>
      <c r="X311" s="802" t="e">
        <f>VLOOKUP(Q311,Q352:Q519,1,0)</f>
        <v>#N/A</v>
      </c>
      <c r="Y311" s="1229" t="str">
        <f t="shared" si="202"/>
        <v>Cafezal Rec. 2 - PR106127</v>
      </c>
      <c r="Z311" s="818">
        <f>SUMIF($Y$114:$Y$314,Y311,$S$114:$S$1288)</f>
        <v>57300</v>
      </c>
      <c r="AA311" s="818"/>
      <c r="AC311" s="1316">
        <f t="shared" si="220"/>
        <v>0</v>
      </c>
      <c r="AD311" s="1317">
        <f t="shared" si="221"/>
        <v>46745</v>
      </c>
      <c r="AE311" s="1317">
        <f t="shared" si="222"/>
        <v>46892</v>
      </c>
      <c r="AF311" s="1317">
        <f t="shared" si="223"/>
        <v>47206</v>
      </c>
      <c r="AG311" s="1315" t="str">
        <f t="shared" si="208"/>
        <v>500 SLOW - MALE</v>
      </c>
      <c r="AH311" s="1315" t="str">
        <f t="shared" si="209"/>
        <v>COBB</v>
      </c>
      <c r="AJ311" s="818"/>
    </row>
    <row r="312" spans="1:36">
      <c r="A312" s="1105" t="s">
        <v>17</v>
      </c>
      <c r="B312" s="781">
        <f>N271+K271</f>
        <v>46746</v>
      </c>
      <c r="C312" s="1106">
        <f t="shared" si="194"/>
        <v>46746</v>
      </c>
      <c r="D312" s="1127">
        <v>100128</v>
      </c>
      <c r="E312" s="1107"/>
      <c r="F312" s="1107" t="str">
        <f>IFERROR(VLOOKUP(G312,Recria[[Granja Recria]:[Emp+CC]],4,0),"")</f>
        <v>10_2384</v>
      </c>
      <c r="G312" s="1108" t="s">
        <v>239</v>
      </c>
      <c r="H312" s="1109" t="str">
        <f>IFERROR(VLOOKUP(G312,Recria[[Granja Recria]:[Núcleo]],2,0),"")</f>
        <v>(N1)</v>
      </c>
      <c r="I312" s="1110">
        <v>60000</v>
      </c>
      <c r="J312" s="1105" t="s">
        <v>45</v>
      </c>
      <c r="K312" s="1105">
        <v>49</v>
      </c>
      <c r="L312" s="803" t="str">
        <f>VLOOKUP(M312,Raca_Linhagem[],2,0)</f>
        <v>COBB</v>
      </c>
      <c r="M312" s="803" t="s">
        <v>21</v>
      </c>
      <c r="N312" s="714">
        <f t="shared" si="200"/>
        <v>46893</v>
      </c>
      <c r="O312" s="716"/>
      <c r="P312" s="716" t="str">
        <f>IFERROR(VLOOKUP(Q312,Producao[[Granja Produção]:[Emp+CC]],4,0),"")</f>
        <v/>
      </c>
      <c r="Q312" s="717"/>
      <c r="R312" s="718" t="str">
        <f>IFERROR(VLOOKUP(Q312,Producao[[Granja Produção]:[Núcleo]],2,0),"")</f>
        <v/>
      </c>
      <c r="S312" s="719">
        <f t="shared" si="224"/>
        <v>57300</v>
      </c>
      <c r="T312" s="720">
        <f t="shared" si="218"/>
        <v>47207</v>
      </c>
      <c r="U312" s="721">
        <v>66</v>
      </c>
      <c r="V312" s="722"/>
      <c r="W312" s="723">
        <f t="shared" si="219"/>
        <v>47207</v>
      </c>
      <c r="X312" s="802" t="e">
        <f>VLOOKUP(Q312,Q367:Q534,1,0)</f>
        <v>#N/A</v>
      </c>
      <c r="Y312" s="1229" t="str">
        <f t="shared" si="202"/>
        <v>N. Sª. Ap. Rec. 1- PR100128</v>
      </c>
      <c r="Z312" s="818">
        <f>SUMIF($Y$114:$Y$314,Y312,$S$114:$S$1288)</f>
        <v>57300</v>
      </c>
      <c r="AA312" s="818"/>
      <c r="AC312" s="1316">
        <f t="shared" si="220"/>
        <v>0</v>
      </c>
      <c r="AD312" s="1317">
        <f t="shared" si="221"/>
        <v>46746</v>
      </c>
      <c r="AE312" s="1317">
        <f t="shared" si="222"/>
        <v>46893</v>
      </c>
      <c r="AF312" s="1317">
        <f t="shared" si="223"/>
        <v>47207</v>
      </c>
      <c r="AG312" s="1315" t="str">
        <f t="shared" si="208"/>
        <v>500 SLOW - MALE</v>
      </c>
      <c r="AH312" s="1315" t="str">
        <f t="shared" si="209"/>
        <v>COBB</v>
      </c>
      <c r="AJ312" s="818"/>
    </row>
    <row r="313" spans="1:36">
      <c r="A313" s="718" t="s">
        <v>17</v>
      </c>
      <c r="B313" s="758">
        <f>N287+K287</f>
        <v>46872</v>
      </c>
      <c r="C313" s="759">
        <f t="shared" si="194"/>
        <v>46872</v>
      </c>
      <c r="D313" s="1055" t="s">
        <v>262</v>
      </c>
      <c r="E313" s="760"/>
      <c r="F313" s="760" t="str">
        <f>IFERROR(VLOOKUP(G313,Recria[[Granja Recria]:[Emp+CC]],4,0),"")</f>
        <v>135_2389</v>
      </c>
      <c r="G313" s="764" t="s">
        <v>246</v>
      </c>
      <c r="H313" s="762" t="str">
        <f>IFERROR(VLOOKUP(G313,Recria[[Granja Recria]:[Núcleo]],2,0),"")</f>
        <v>(N1)</v>
      </c>
      <c r="I313" s="763">
        <v>60000</v>
      </c>
      <c r="J313" s="718" t="s">
        <v>45</v>
      </c>
      <c r="K313" s="718">
        <v>49</v>
      </c>
      <c r="L313" s="803" t="str">
        <f>VLOOKUP(M313,Raca_Linhagem[],2,0)</f>
        <v>COBB</v>
      </c>
      <c r="M313" s="803" t="s">
        <v>21</v>
      </c>
      <c r="N313" s="714">
        <f t="shared" si="200"/>
        <v>47019</v>
      </c>
      <c r="O313" s="716"/>
      <c r="P313" s="716" t="str">
        <f>IFERROR(VLOOKUP(Q313,Producao[[Granja Produção]:[Emp+CC]],4,0),"")</f>
        <v/>
      </c>
      <c r="Q313" s="717"/>
      <c r="R313" s="718" t="str">
        <f>IFERROR(VLOOKUP(Q313,Producao[[Granja Produção]:[Núcleo]],2,0),"")</f>
        <v/>
      </c>
      <c r="S313" s="719">
        <f t="shared" si="224"/>
        <v>57300</v>
      </c>
      <c r="T313" s="720">
        <f t="shared" si="218"/>
        <v>47333</v>
      </c>
      <c r="U313" s="721">
        <v>66</v>
      </c>
      <c r="V313" s="722"/>
      <c r="W313" s="723">
        <f>IFERROR(T313+V313," ")</f>
        <v>47333</v>
      </c>
      <c r="X313" s="802" t="e">
        <f>VLOOKUP(Q313,Q364:Q531,1,0)</f>
        <v>#N/A</v>
      </c>
      <c r="Y313" s="1229" t="str">
        <f t="shared" si="202"/>
        <v>Cafezal Rec. 1 - PR1002 28</v>
      </c>
      <c r="Z313" s="818">
        <f>SUMIF($Y$114:$Y$314,Y313,$S$114:$S$1288)</f>
        <v>57300</v>
      </c>
      <c r="AA313" s="818"/>
      <c r="AC313" s="1316">
        <f t="shared" si="220"/>
        <v>0</v>
      </c>
      <c r="AD313" s="1317">
        <f t="shared" si="221"/>
        <v>46872</v>
      </c>
      <c r="AE313" s="1317">
        <f t="shared" si="222"/>
        <v>47019</v>
      </c>
      <c r="AF313" s="1317">
        <f t="shared" si="223"/>
        <v>47333</v>
      </c>
      <c r="AG313" s="1315" t="str">
        <f t="shared" si="208"/>
        <v>500 SLOW - MALE</v>
      </c>
      <c r="AH313" s="1315" t="str">
        <f t="shared" si="209"/>
        <v>COBB</v>
      </c>
      <c r="AJ313" s="818"/>
    </row>
    <row r="314" spans="1:36">
      <c r="A314" s="782" t="s">
        <v>17</v>
      </c>
      <c r="B314" s="783">
        <f>N303+K303</f>
        <v>46894</v>
      </c>
      <c r="C314" s="785">
        <f t="shared" si="194"/>
        <v>46894</v>
      </c>
      <c r="D314" s="786" t="str">
        <f>LEFT(D313,4)+1&amp;" "&amp;TEXT(B314,"AA")</f>
        <v>1003 28</v>
      </c>
      <c r="E314" s="786"/>
      <c r="F314" s="786" t="str">
        <f>IFERROR(VLOOKUP(G314,Recria[[Granja Recria]:[Emp+CC]],4,0),"")</f>
        <v/>
      </c>
      <c r="G314" s="787" t="s">
        <v>248</v>
      </c>
      <c r="H314" s="788" t="str">
        <f>IFERROR(VLOOKUP(G314,Recria[[Granja Recria]:[Núcleo]],2,0),"")</f>
        <v/>
      </c>
      <c r="I314" s="789">
        <v>84000</v>
      </c>
      <c r="J314" s="782" t="s">
        <v>45</v>
      </c>
      <c r="K314" s="782">
        <v>49</v>
      </c>
      <c r="L314" s="816" t="str">
        <f>VLOOKUP(M314,Raca_Linhagem[],2,0)</f>
        <v>COBB</v>
      </c>
      <c r="M314" s="816" t="s">
        <v>21</v>
      </c>
      <c r="N314" s="790">
        <f t="shared" si="200"/>
        <v>47041</v>
      </c>
      <c r="O314" s="784"/>
      <c r="P314" s="784" t="str">
        <f>IFERROR(VLOOKUP(Q314,Producao[[Granja Produção]:[Emp+CC]],4,0),"")</f>
        <v/>
      </c>
      <c r="Q314" s="791"/>
      <c r="R314" s="782" t="str">
        <f>IFERROR(VLOOKUP(Q314,Producao[[Granja Produção]:[Núcleo]],2,0),"")</f>
        <v/>
      </c>
      <c r="S314" s="792">
        <f t="shared" si="224"/>
        <v>80220</v>
      </c>
      <c r="T314" s="793">
        <f t="shared" si="218"/>
        <v>47355</v>
      </c>
      <c r="U314" s="794">
        <v>66</v>
      </c>
      <c r="V314" s="795"/>
      <c r="W314" s="796">
        <f t="shared" si="219"/>
        <v>47355</v>
      </c>
      <c r="X314" s="802" t="e">
        <f>VLOOKUP(Q314,Q368:Q535,1,0)</f>
        <v>#N/A</v>
      </c>
      <c r="Y314" s="1229" t="str">
        <f t="shared" si="202"/>
        <v>Uberaba - PR1003 28</v>
      </c>
      <c r="Z314" s="818">
        <f>SUMIF($Y$114:$Y$314,Y314,$S$114:$S$1288)</f>
        <v>80220</v>
      </c>
      <c r="AA314" s="818"/>
      <c r="AC314" s="1316">
        <f t="shared" si="220"/>
        <v>0</v>
      </c>
      <c r="AD314" s="1317">
        <f t="shared" si="221"/>
        <v>46894</v>
      </c>
      <c r="AE314" s="1317">
        <f t="shared" si="222"/>
        <v>47041</v>
      </c>
      <c r="AF314" s="1317">
        <f t="shared" si="223"/>
        <v>47355</v>
      </c>
      <c r="AG314" s="1315" t="str">
        <f t="shared" si="208"/>
        <v>500 SLOW - MALE</v>
      </c>
      <c r="AH314" s="1315" t="str">
        <f t="shared" si="209"/>
        <v>COBB</v>
      </c>
      <c r="AJ314" s="818"/>
    </row>
    <row r="315" spans="1:36" ht="18" customHeight="1">
      <c r="A315" s="478"/>
      <c r="B315" s="478"/>
      <c r="C315" s="478"/>
      <c r="D315" s="478"/>
      <c r="E315" s="478"/>
      <c r="F315" s="478"/>
      <c r="G315" s="479"/>
      <c r="H315" s="480"/>
      <c r="I315" s="478"/>
      <c r="J315" s="478"/>
      <c r="K315" s="478"/>
      <c r="L315" s="478"/>
      <c r="M315" s="478"/>
      <c r="N315" s="478"/>
      <c r="O315" s="478"/>
      <c r="P315" s="481"/>
      <c r="Q315" s="478"/>
      <c r="R315" s="478"/>
      <c r="S315" s="482"/>
      <c r="T315" s="478"/>
      <c r="U315" s="478"/>
    </row>
    <row r="316" spans="1:36" ht="18" customHeight="1">
      <c r="A316" s="478"/>
      <c r="B316" s="478"/>
      <c r="C316" s="478"/>
      <c r="D316" s="478"/>
      <c r="E316" s="478"/>
      <c r="F316" s="478"/>
      <c r="G316" s="479"/>
      <c r="H316" s="480"/>
      <c r="I316" s="478"/>
      <c r="J316" s="478"/>
      <c r="K316" s="478"/>
      <c r="L316" s="478"/>
      <c r="M316" s="478"/>
      <c r="N316" s="478"/>
      <c r="O316" s="478"/>
      <c r="P316" s="481"/>
      <c r="Q316" s="478"/>
      <c r="R316" s="478"/>
      <c r="S316" s="482"/>
      <c r="T316" s="478"/>
      <c r="U316" s="478"/>
    </row>
    <row r="317" spans="1:36" ht="18" customHeight="1">
      <c r="A317" s="478"/>
      <c r="B317" s="478"/>
      <c r="C317" s="478"/>
      <c r="D317" s="478"/>
      <c r="E317" s="478"/>
      <c r="F317" s="478"/>
      <c r="G317" s="479"/>
      <c r="H317" s="480"/>
      <c r="I317" s="478"/>
      <c r="J317" s="478"/>
      <c r="K317" s="478"/>
      <c r="L317" s="478"/>
      <c r="M317" s="478"/>
      <c r="N317" s="478"/>
      <c r="O317" s="478"/>
      <c r="P317" s="481"/>
      <c r="Q317" s="478"/>
      <c r="R317" s="478"/>
      <c r="S317" s="482"/>
      <c r="T317" s="478"/>
      <c r="U317" s="478"/>
    </row>
    <row r="318" spans="1:36" ht="18" customHeight="1">
      <c r="A318" s="478"/>
      <c r="B318" s="478"/>
      <c r="C318" s="478"/>
      <c r="D318" s="478"/>
      <c r="E318" s="478"/>
      <c r="F318" s="478"/>
      <c r="G318" s="479"/>
      <c r="H318" s="480"/>
      <c r="I318" s="478"/>
      <c r="J318" s="478"/>
      <c r="K318" s="478"/>
      <c r="L318" s="478"/>
      <c r="M318" s="478"/>
      <c r="N318" s="478"/>
      <c r="O318" s="478"/>
      <c r="P318" s="481"/>
      <c r="Q318" s="478"/>
      <c r="R318" s="478"/>
      <c r="S318" s="482"/>
      <c r="T318" s="478"/>
      <c r="U318" s="478"/>
    </row>
    <row r="319" spans="1:36">
      <c r="A319" s="478"/>
      <c r="B319" s="478"/>
      <c r="C319" s="478"/>
      <c r="D319" s="478"/>
      <c r="E319" s="478"/>
      <c r="F319" s="478"/>
      <c r="G319" s="478"/>
      <c r="H319" s="481"/>
      <c r="I319" s="478"/>
      <c r="J319" s="478"/>
      <c r="K319" s="482"/>
      <c r="L319" s="478"/>
      <c r="M319" s="478"/>
      <c r="O319" s="817"/>
      <c r="P319" s="817"/>
    </row>
    <row r="320" spans="1:36">
      <c r="A320" s="478"/>
      <c r="B320" s="478"/>
      <c r="C320" s="478"/>
      <c r="D320" s="478"/>
      <c r="E320" s="478"/>
      <c r="F320" s="478"/>
      <c r="G320" s="478"/>
      <c r="H320" s="481"/>
      <c r="I320" s="478"/>
      <c r="J320" s="478"/>
      <c r="K320" s="482"/>
      <c r="L320" s="478"/>
      <c r="M320" s="478"/>
      <c r="O320" s="817"/>
      <c r="P320" s="817"/>
    </row>
    <row r="321" spans="1:256">
      <c r="A321" s="478"/>
      <c r="B321" s="478"/>
      <c r="C321" s="478"/>
      <c r="D321" s="478"/>
      <c r="E321" s="478"/>
      <c r="F321" s="478"/>
      <c r="G321" s="478"/>
      <c r="H321" s="481"/>
      <c r="I321" s="478"/>
      <c r="J321" s="478"/>
      <c r="K321" s="482"/>
      <c r="L321" s="478"/>
      <c r="M321" s="478"/>
      <c r="O321" s="817"/>
      <c r="P321" s="817"/>
    </row>
    <row r="322" spans="1:256">
      <c r="A322" s="478"/>
      <c r="B322" s="478"/>
      <c r="C322" s="478"/>
      <c r="D322" s="478"/>
      <c r="E322" s="478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</row>
    <row r="323" spans="1:256">
      <c r="A323" s="478"/>
      <c r="B323" s="478"/>
      <c r="C323" s="478"/>
      <c r="D323" s="478"/>
      <c r="E323" s="478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</row>
    <row r="324" spans="1:256">
      <c r="A324" s="75" t="s">
        <v>263</v>
      </c>
      <c r="B324" s="75" t="s">
        <v>264</v>
      </c>
      <c r="C324"/>
      <c r="D324"/>
      <c r="E324"/>
      <c r="F324"/>
      <c r="I324" s="818"/>
      <c r="L324"/>
      <c r="M324" s="478"/>
      <c r="O324" s="817"/>
      <c r="P324" s="817"/>
    </row>
    <row r="325" spans="1:256">
      <c r="A325" s="75" t="s">
        <v>265</v>
      </c>
      <c r="B325" s="18" t="s">
        <v>266</v>
      </c>
      <c r="C325" s="18" t="s">
        <v>267</v>
      </c>
      <c r="D325" s="18" t="s">
        <v>268</v>
      </c>
      <c r="E325" s="18" t="s">
        <v>269</v>
      </c>
      <c r="F325"/>
      <c r="I325" s="818"/>
      <c r="L325"/>
      <c r="M325" s="478"/>
      <c r="O325" s="817"/>
      <c r="P325" s="817"/>
    </row>
    <row r="326" spans="1:256">
      <c r="A326" s="111" t="s">
        <v>270</v>
      </c>
      <c r="B326" s="1322"/>
      <c r="C326" s="1322">
        <v>266000</v>
      </c>
      <c r="D326" s="1322">
        <v>266000</v>
      </c>
      <c r="E326" s="1322"/>
      <c r="F326"/>
      <c r="L326"/>
      <c r="M326" s="478"/>
      <c r="O326" s="817"/>
      <c r="P326" s="817"/>
    </row>
    <row r="327" spans="1:256">
      <c r="A327" s="111" t="s">
        <v>271</v>
      </c>
      <c r="B327" s="1322">
        <v>100000</v>
      </c>
      <c r="C327" s="1322">
        <v>210000</v>
      </c>
      <c r="D327" s="1322">
        <v>181000</v>
      </c>
      <c r="E327" s="1322"/>
      <c r="F327"/>
      <c r="N327" s="75" t="s">
        <v>6</v>
      </c>
      <c r="O327" s="75" t="s">
        <v>1</v>
      </c>
      <c r="P327" s="75" t="s">
        <v>9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</row>
    <row r="328" spans="1:256">
      <c r="A328" s="111" t="s">
        <v>272</v>
      </c>
      <c r="B328" s="1322">
        <v>197000</v>
      </c>
      <c r="C328" s="1322">
        <v>349000</v>
      </c>
      <c r="D328" s="1322">
        <v>422000</v>
      </c>
      <c r="E328" s="1322"/>
      <c r="F328"/>
      <c r="N328" t="s">
        <v>187</v>
      </c>
      <c r="O328" s="1088">
        <v>45931</v>
      </c>
      <c r="P328" t="s">
        <v>60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</row>
    <row r="329" spans="1:256">
      <c r="A329" s="111" t="s">
        <v>273</v>
      </c>
      <c r="B329" s="1322">
        <v>360000</v>
      </c>
      <c r="C329" s="1322">
        <v>493000</v>
      </c>
      <c r="D329" s="1322">
        <v>507000</v>
      </c>
      <c r="E329" s="1322">
        <v>60000</v>
      </c>
      <c r="F329"/>
      <c r="N329" t="s">
        <v>187</v>
      </c>
      <c r="O329" s="1088">
        <v>46112</v>
      </c>
      <c r="P329" t="s">
        <v>45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</row>
    <row r="330" spans="1:256">
      <c r="A330" s="111" t="s">
        <v>274</v>
      </c>
      <c r="B330" s="1322">
        <v>409392</v>
      </c>
      <c r="C330" s="1322">
        <v>217000</v>
      </c>
      <c r="D330" s="1322">
        <v>342000</v>
      </c>
      <c r="E330" s="1322">
        <v>84000</v>
      </c>
      <c r="F330"/>
      <c r="N330" t="s">
        <v>187</v>
      </c>
      <c r="O330" s="1088">
        <v>46309</v>
      </c>
      <c r="P330" t="s">
        <v>60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</row>
    <row r="331" spans="1:256">
      <c r="A331" s="111" t="s">
        <v>275</v>
      </c>
      <c r="B331" s="1322">
        <v>416000</v>
      </c>
      <c r="C331" s="1322">
        <v>528000</v>
      </c>
      <c r="D331" s="1322">
        <v>360000</v>
      </c>
      <c r="E331" s="1322"/>
      <c r="F331"/>
      <c r="N331" t="s">
        <v>187</v>
      </c>
      <c r="O331" s="1088">
        <v>46482</v>
      </c>
      <c r="P331" t="s">
        <v>45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</row>
    <row r="332" spans="1:256">
      <c r="A332" s="111" t="s">
        <v>276</v>
      </c>
      <c r="B332" s="1322">
        <v>382000</v>
      </c>
      <c r="C332" s="1322">
        <v>335200</v>
      </c>
      <c r="D332" s="1322">
        <v>369000</v>
      </c>
      <c r="E332" s="1322"/>
      <c r="F332"/>
      <c r="N332" t="s">
        <v>187</v>
      </c>
      <c r="O332" s="1088">
        <v>46684</v>
      </c>
      <c r="P332" t="s">
        <v>60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</row>
    <row r="333" spans="1:256">
      <c r="A333" s="111" t="s">
        <v>277</v>
      </c>
      <c r="B333" s="1322">
        <v>332500</v>
      </c>
      <c r="C333" s="1322">
        <v>242000</v>
      </c>
      <c r="D333" s="1322">
        <v>294000</v>
      </c>
      <c r="E333" s="1322"/>
      <c r="F333"/>
      <c r="N333" t="s">
        <v>36</v>
      </c>
      <c r="O333" s="1088">
        <v>45720</v>
      </c>
      <c r="P333" t="s">
        <v>20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</row>
    <row r="334" spans="1:256">
      <c r="A334" s="111" t="s">
        <v>278</v>
      </c>
      <c r="B334" s="1322">
        <v>257000</v>
      </c>
      <c r="C334" s="1322">
        <v>193000</v>
      </c>
      <c r="D334" s="1322">
        <v>269000</v>
      </c>
      <c r="E334" s="1322"/>
      <c r="F334"/>
      <c r="N334" t="s">
        <v>36</v>
      </c>
      <c r="O334" s="1088">
        <v>45898</v>
      </c>
      <c r="P334" t="s">
        <v>45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1:256">
      <c r="A335" s="111" t="s">
        <v>279</v>
      </c>
      <c r="B335" s="1322">
        <v>481000</v>
      </c>
      <c r="C335" s="1322">
        <v>487000</v>
      </c>
      <c r="D335" s="1322">
        <v>464000</v>
      </c>
      <c r="E335" s="1322"/>
      <c r="F335"/>
      <c r="N335" t="s">
        <v>36</v>
      </c>
      <c r="O335" s="1088">
        <v>46099</v>
      </c>
      <c r="P335" t="s">
        <v>60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1:256">
      <c r="A336" s="111" t="s">
        <v>280</v>
      </c>
      <c r="B336" s="1322">
        <v>307000</v>
      </c>
      <c r="C336" s="1322">
        <v>650000</v>
      </c>
      <c r="D336" s="1322">
        <v>403000</v>
      </c>
      <c r="E336" s="1322"/>
      <c r="F336"/>
      <c r="N336" t="s">
        <v>36</v>
      </c>
      <c r="O336" s="1088">
        <v>46651</v>
      </c>
      <c r="P336" t="s">
        <v>45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1:256">
      <c r="A337" s="111" t="s">
        <v>281</v>
      </c>
      <c r="B337" s="1322">
        <v>332000</v>
      </c>
      <c r="C337" s="1322">
        <v>398000</v>
      </c>
      <c r="D337" s="1322">
        <v>482000</v>
      </c>
      <c r="E337" s="1322"/>
      <c r="F337"/>
      <c r="G337"/>
      <c r="H337"/>
      <c r="I337" s="478"/>
      <c r="J337" s="478"/>
      <c r="N337" t="s">
        <v>36</v>
      </c>
      <c r="O337" s="1088">
        <v>46283</v>
      </c>
      <c r="P337" t="s">
        <v>45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1:256">
      <c r="A338" s="111" t="s">
        <v>282</v>
      </c>
      <c r="B338" s="19">
        <v>3573892</v>
      </c>
      <c r="C338" s="19">
        <v>4368200</v>
      </c>
      <c r="D338" s="19">
        <v>4359000</v>
      </c>
      <c r="E338" s="19">
        <v>144000</v>
      </c>
      <c r="F338"/>
      <c r="G338"/>
      <c r="H338"/>
      <c r="I338" s="478"/>
      <c r="J338" s="478"/>
      <c r="N338" t="s">
        <v>36</v>
      </c>
      <c r="O338" s="1088">
        <v>46479</v>
      </c>
      <c r="P338" t="s">
        <v>60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1:256">
      <c r="E339" s="454"/>
      <c r="F339"/>
      <c r="G339"/>
      <c r="H339"/>
      <c r="I339" s="478"/>
      <c r="J339" s="478"/>
      <c r="N339" t="s">
        <v>178</v>
      </c>
      <c r="O339" s="1088">
        <v>45913</v>
      </c>
      <c r="P339" t="s">
        <v>60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1:256">
      <c r="E340" s="454"/>
      <c r="F340"/>
      <c r="G340"/>
      <c r="H340" s="824"/>
      <c r="I340" s="478"/>
      <c r="J340" s="478"/>
      <c r="N340" t="s">
        <v>30</v>
      </c>
      <c r="O340" s="1088">
        <v>45714</v>
      </c>
      <c r="P340" t="s">
        <v>20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1:256">
      <c r="E341" s="454"/>
      <c r="F341"/>
      <c r="G341"/>
      <c r="H341" s="824"/>
      <c r="I341" s="478"/>
      <c r="J341" s="478"/>
      <c r="N341" t="s">
        <v>30</v>
      </c>
      <c r="O341" s="1088">
        <v>45895</v>
      </c>
      <c r="P341" t="s">
        <v>45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1:256">
      <c r="A342"/>
      <c r="B342" s="824"/>
      <c r="C342" s="478"/>
      <c r="D342" s="478"/>
      <c r="H342" s="454"/>
      <c r="I342" s="454"/>
      <c r="J342" s="454"/>
      <c r="N342" t="s">
        <v>30</v>
      </c>
      <c r="O342" s="1088">
        <v>46116</v>
      </c>
      <c r="P342" t="s">
        <v>60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1:256">
      <c r="A343"/>
      <c r="C343" s="478"/>
      <c r="D343" s="478"/>
      <c r="H343" s="454"/>
      <c r="I343" s="454"/>
      <c r="J343" s="454"/>
      <c r="N343" t="s">
        <v>30</v>
      </c>
      <c r="O343" s="1088">
        <v>46651</v>
      </c>
      <c r="P343" t="s">
        <v>60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1:256">
      <c r="A344" s="75" t="s">
        <v>263</v>
      </c>
      <c r="B344" s="75" t="s">
        <v>264</v>
      </c>
      <c r="C344"/>
      <c r="D344"/>
      <c r="E344"/>
      <c r="F344"/>
      <c r="N344" t="s">
        <v>30</v>
      </c>
      <c r="O344" s="1088">
        <v>46449</v>
      </c>
      <c r="P344" t="s">
        <v>45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1:256">
      <c r="A345" s="75" t="s">
        <v>265</v>
      </c>
      <c r="B345" t="s">
        <v>266</v>
      </c>
      <c r="C345" t="s">
        <v>267</v>
      </c>
      <c r="D345" t="s">
        <v>268</v>
      </c>
      <c r="E345" t="s">
        <v>269</v>
      </c>
      <c r="F345"/>
      <c r="N345" t="s">
        <v>30</v>
      </c>
      <c r="O345" s="1088">
        <v>46280</v>
      </c>
      <c r="P345" t="s">
        <v>20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1:256">
      <c r="A346" s="111" t="s">
        <v>283</v>
      </c>
      <c r="B346" s="19">
        <v>2196500</v>
      </c>
      <c r="C346" s="19">
        <v>2739200</v>
      </c>
      <c r="D346" s="19">
        <v>2238000</v>
      </c>
      <c r="E346" s="19">
        <v>144000</v>
      </c>
      <c r="F346"/>
      <c r="N346" t="s">
        <v>160</v>
      </c>
      <c r="O346" s="1088">
        <v>46043</v>
      </c>
      <c r="P346" t="s">
        <v>20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1:256">
      <c r="A347" s="111" t="s">
        <v>284</v>
      </c>
      <c r="B347" s="19"/>
      <c r="C347" s="19">
        <v>42000</v>
      </c>
      <c r="D347" s="19"/>
      <c r="E347" s="19"/>
      <c r="F347"/>
      <c r="N347" t="s">
        <v>160</v>
      </c>
      <c r="O347" s="1088">
        <v>46214</v>
      </c>
      <c r="P347" t="s">
        <v>45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1:256">
      <c r="A348" s="111" t="s">
        <v>285</v>
      </c>
      <c r="B348" s="19">
        <v>1377392</v>
      </c>
      <c r="C348" s="19">
        <v>1587000</v>
      </c>
      <c r="D348" s="19">
        <v>1881000</v>
      </c>
      <c r="E348" s="19"/>
      <c r="F348"/>
      <c r="N348" t="s">
        <v>160</v>
      </c>
      <c r="O348" s="1088">
        <v>45885</v>
      </c>
      <c r="P348" t="s">
        <v>60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1:256">
      <c r="A349" s="111" t="s">
        <v>177</v>
      </c>
      <c r="B349" s="19"/>
      <c r="C349" s="19"/>
      <c r="D349" s="19">
        <v>240000</v>
      </c>
      <c r="E349" s="19"/>
      <c r="F349"/>
      <c r="N349" t="s">
        <v>160</v>
      </c>
      <c r="O349" s="1088">
        <v>46414</v>
      </c>
      <c r="P349" t="s">
        <v>60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1:256">
      <c r="A350" s="111" t="s">
        <v>282</v>
      </c>
      <c r="B350" s="19">
        <v>3573892</v>
      </c>
      <c r="C350" s="19">
        <v>4368200</v>
      </c>
      <c r="D350" s="19">
        <v>4359000</v>
      </c>
      <c r="E350" s="19">
        <v>144000</v>
      </c>
      <c r="F350"/>
      <c r="N350" t="s">
        <v>160</v>
      </c>
      <c r="O350" s="1088">
        <v>46586</v>
      </c>
      <c r="P350" t="s">
        <v>45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1:256">
      <c r="A351"/>
      <c r="B351"/>
      <c r="C351"/>
      <c r="D351"/>
      <c r="E351"/>
      <c r="F351"/>
      <c r="N351" t="s">
        <v>246</v>
      </c>
      <c r="O351" s="1088">
        <v>46331</v>
      </c>
      <c r="P351" t="s">
        <v>60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1:256">
      <c r="A352"/>
      <c r="B352"/>
      <c r="C352"/>
      <c r="D352"/>
      <c r="E352"/>
      <c r="F352"/>
      <c r="N352" t="s">
        <v>246</v>
      </c>
      <c r="O352" s="1088">
        <v>46503</v>
      </c>
      <c r="P352" t="s">
        <v>45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1:256">
      <c r="A353"/>
      <c r="B353"/>
      <c r="C353"/>
      <c r="D353"/>
      <c r="E353"/>
      <c r="F353"/>
      <c r="N353" t="s">
        <v>246</v>
      </c>
      <c r="O353" s="1088">
        <v>46702</v>
      </c>
      <c r="P353" t="s">
        <v>60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1:256">
      <c r="A354" s="75" t="s">
        <v>263</v>
      </c>
      <c r="B354" s="75" t="s">
        <v>264</v>
      </c>
      <c r="C354"/>
      <c r="D354"/>
      <c r="E354"/>
      <c r="F354"/>
      <c r="N354" t="s">
        <v>246</v>
      </c>
      <c r="O354" s="1088">
        <v>46872</v>
      </c>
      <c r="P354" t="s">
        <v>45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1:256">
      <c r="A355" s="75" t="s">
        <v>265</v>
      </c>
      <c r="B355" t="s">
        <v>266</v>
      </c>
      <c r="C355" t="s">
        <v>267</v>
      </c>
      <c r="D355" t="s">
        <v>268</v>
      </c>
      <c r="E355" t="s">
        <v>269</v>
      </c>
      <c r="F355"/>
      <c r="N355" t="s">
        <v>252</v>
      </c>
      <c r="O355" s="1088">
        <v>46548</v>
      </c>
      <c r="P355" t="s">
        <v>45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1:256">
      <c r="A356" s="111" t="s">
        <v>283</v>
      </c>
      <c r="B356" s="889">
        <v>0.61459607621047307</v>
      </c>
      <c r="C356" s="889">
        <v>0.62707751476580742</v>
      </c>
      <c r="D356" s="889">
        <v>0.51342050929112182</v>
      </c>
      <c r="E356" s="889">
        <v>1</v>
      </c>
      <c r="F356"/>
      <c r="N356" t="s">
        <v>252</v>
      </c>
      <c r="O356" s="1088">
        <v>46745</v>
      </c>
      <c r="P356" t="s">
        <v>60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1:256">
      <c r="A357" s="111" t="s">
        <v>284</v>
      </c>
      <c r="B357" s="889">
        <v>0</v>
      </c>
      <c r="C357" s="889">
        <v>9.6149443706789982E-3</v>
      </c>
      <c r="D357" s="889">
        <v>0</v>
      </c>
      <c r="E357" s="889">
        <v>0</v>
      </c>
      <c r="F357"/>
      <c r="N357" t="s">
        <v>252</v>
      </c>
      <c r="O357" s="1088">
        <v>46376</v>
      </c>
      <c r="P357" t="s">
        <v>60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1:256">
      <c r="A358" s="111" t="s">
        <v>285</v>
      </c>
      <c r="B358" s="889">
        <v>0.38540392378952693</v>
      </c>
      <c r="C358" s="889">
        <v>0.36330754086351358</v>
      </c>
      <c r="D358" s="889">
        <v>0.4315209910529938</v>
      </c>
      <c r="E358" s="889">
        <v>0</v>
      </c>
      <c r="F358"/>
      <c r="N358" t="s">
        <v>123</v>
      </c>
      <c r="O358" s="1088">
        <v>45827</v>
      </c>
      <c r="P358" t="s">
        <v>45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1:256">
      <c r="A359" s="111" t="s">
        <v>177</v>
      </c>
      <c r="B359" s="889">
        <v>0</v>
      </c>
      <c r="C359" s="889">
        <v>0</v>
      </c>
      <c r="D359" s="889">
        <v>5.5058499655884378E-2</v>
      </c>
      <c r="E359" s="889">
        <v>0</v>
      </c>
      <c r="F359"/>
      <c r="N359" t="s">
        <v>123</v>
      </c>
      <c r="O359" s="1088">
        <v>45828</v>
      </c>
      <c r="P359" t="s">
        <v>45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1:256">
      <c r="A360" s="111" t="s">
        <v>282</v>
      </c>
      <c r="B360" s="889">
        <v>1</v>
      </c>
      <c r="C360" s="889">
        <v>1</v>
      </c>
      <c r="D360" s="889">
        <v>1</v>
      </c>
      <c r="E360" s="889">
        <v>1</v>
      </c>
      <c r="F360"/>
      <c r="N360" t="s">
        <v>123</v>
      </c>
      <c r="O360" s="1088">
        <v>46031</v>
      </c>
      <c r="P360" t="s">
        <v>60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1:256">
      <c r="N361" t="s">
        <v>123</v>
      </c>
      <c r="O361" s="1088">
        <v>46191</v>
      </c>
      <c r="P361" t="s">
        <v>45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1:256">
      <c r="N362" t="s">
        <v>123</v>
      </c>
      <c r="O362" s="1088">
        <v>46560</v>
      </c>
      <c r="P362" t="s">
        <v>45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1:256">
      <c r="G363"/>
      <c r="H363"/>
      <c r="I363"/>
      <c r="N363" t="s">
        <v>123</v>
      </c>
      <c r="O363" s="1088">
        <v>46388</v>
      </c>
      <c r="P363" t="s">
        <v>60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1:256">
      <c r="G364"/>
      <c r="H364"/>
      <c r="I364"/>
      <c r="N364" t="s">
        <v>59</v>
      </c>
      <c r="O364" s="1088">
        <v>45750</v>
      </c>
      <c r="P364" t="s">
        <v>60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1:256">
      <c r="G365"/>
      <c r="H365"/>
      <c r="I365"/>
      <c r="N365" t="s">
        <v>59</v>
      </c>
      <c r="O365" s="1088">
        <v>45924</v>
      </c>
      <c r="P365" t="s">
        <v>45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1:256">
      <c r="A366" s="75" t="s">
        <v>286</v>
      </c>
      <c r="B366" t="s">
        <v>287</v>
      </c>
      <c r="C366"/>
      <c r="D366"/>
      <c r="E366"/>
      <c r="G366"/>
      <c r="H366"/>
      <c r="I366"/>
      <c r="N366" t="s">
        <v>59</v>
      </c>
      <c r="O366" s="1088">
        <v>46119</v>
      </c>
      <c r="P366" t="s">
        <v>60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1:256">
      <c r="A367"/>
      <c r="B367" s="824"/>
      <c r="G367"/>
      <c r="H367"/>
      <c r="I367"/>
      <c r="N367" t="s">
        <v>59</v>
      </c>
      <c r="O367" s="1088">
        <v>46470</v>
      </c>
      <c r="P367" t="s">
        <v>45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1:256">
      <c r="A368" s="75" t="s">
        <v>263</v>
      </c>
      <c r="B368"/>
      <c r="C368" s="75" t="s">
        <v>288</v>
      </c>
      <c r="D368"/>
      <c r="E368"/>
      <c r="F368"/>
      <c r="G368"/>
      <c r="H368"/>
      <c r="I368"/>
      <c r="N368" t="s">
        <v>59</v>
      </c>
      <c r="O368" s="1088">
        <v>46303</v>
      </c>
      <c r="P368" t="s">
        <v>20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1:256">
      <c r="A369" s="75" t="s">
        <v>11</v>
      </c>
      <c r="B369" s="75" t="s">
        <v>12</v>
      </c>
      <c r="C369" t="s">
        <v>266</v>
      </c>
      <c r="D369" t="s">
        <v>267</v>
      </c>
      <c r="E369" t="s">
        <v>268</v>
      </c>
      <c r="F369" t="s">
        <v>269</v>
      </c>
      <c r="G369"/>
      <c r="H369"/>
      <c r="I369"/>
      <c r="N369" t="s">
        <v>59</v>
      </c>
      <c r="O369" s="1088">
        <v>46665</v>
      </c>
      <c r="P369" t="s">
        <v>60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1:256">
      <c r="A370" t="s">
        <v>283</v>
      </c>
      <c r="B370" t="s">
        <v>21</v>
      </c>
      <c r="C370">
        <v>842000</v>
      </c>
      <c r="D370">
        <v>716000</v>
      </c>
      <c r="E370">
        <v>1014000</v>
      </c>
      <c r="F370">
        <v>144000</v>
      </c>
      <c r="G370"/>
      <c r="H370"/>
      <c r="I370"/>
      <c r="N370" t="s">
        <v>139</v>
      </c>
      <c r="O370" s="1088">
        <v>45839</v>
      </c>
      <c r="P370" t="s">
        <v>48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1:256">
      <c r="A371" t="s">
        <v>283</v>
      </c>
      <c r="B371" t="s">
        <v>37</v>
      </c>
      <c r="C371">
        <v>198000</v>
      </c>
      <c r="D371">
        <v>372200</v>
      </c>
      <c r="E371">
        <v>162000</v>
      </c>
      <c r="F371"/>
      <c r="G371"/>
      <c r="H371"/>
      <c r="I371"/>
      <c r="N371" t="s">
        <v>139</v>
      </c>
      <c r="O371" s="1088">
        <v>46002</v>
      </c>
      <c r="P371" t="s">
        <v>45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1:256">
      <c r="A372" t="s">
        <v>283</v>
      </c>
      <c r="B372" t="s">
        <v>112</v>
      </c>
      <c r="C372">
        <v>42000</v>
      </c>
      <c r="D372">
        <v>393000</v>
      </c>
      <c r="E372"/>
      <c r="F372"/>
      <c r="G372"/>
      <c r="H372"/>
      <c r="I372"/>
      <c r="N372" t="s">
        <v>139</v>
      </c>
      <c r="O372" s="1088">
        <v>46175</v>
      </c>
      <c r="P372" t="s">
        <v>60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</row>
    <row r="373" spans="1:256">
      <c r="A373" t="s">
        <v>283</v>
      </c>
      <c r="B373" t="s">
        <v>232</v>
      </c>
      <c r="C373"/>
      <c r="D373">
        <v>204000</v>
      </c>
      <c r="E373"/>
      <c r="F373"/>
      <c r="G373"/>
      <c r="H373"/>
      <c r="I373"/>
      <c r="N373" t="s">
        <v>139</v>
      </c>
      <c r="O373" s="1088">
        <v>46729</v>
      </c>
      <c r="P373" t="s">
        <v>45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</row>
    <row r="374" spans="1:256">
      <c r="A374" t="s">
        <v>283</v>
      </c>
      <c r="B374" t="s">
        <v>149</v>
      </c>
      <c r="C374">
        <v>60000</v>
      </c>
      <c r="D374"/>
      <c r="E374"/>
      <c r="F374"/>
      <c r="G374"/>
      <c r="H374"/>
      <c r="I374"/>
      <c r="N374" t="s">
        <v>139</v>
      </c>
      <c r="O374" s="1088">
        <v>46352</v>
      </c>
      <c r="P374" t="s">
        <v>45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</row>
    <row r="375" spans="1:256">
      <c r="A375" t="s">
        <v>283</v>
      </c>
      <c r="B375" t="s">
        <v>235</v>
      </c>
      <c r="C375"/>
      <c r="D375">
        <v>38000</v>
      </c>
      <c r="E375"/>
      <c r="F375"/>
      <c r="G375"/>
      <c r="H375"/>
      <c r="I375"/>
      <c r="N375" t="s">
        <v>139</v>
      </c>
      <c r="O375" s="1088">
        <v>46554</v>
      </c>
      <c r="P375" t="s">
        <v>60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</row>
    <row r="376" spans="1:256">
      <c r="A376" t="s">
        <v>289</v>
      </c>
      <c r="B376"/>
      <c r="C376">
        <v>1142000</v>
      </c>
      <c r="D376">
        <v>1723200</v>
      </c>
      <c r="E376">
        <v>1176000</v>
      </c>
      <c r="F376">
        <v>144000</v>
      </c>
      <c r="G376"/>
      <c r="H376"/>
      <c r="I376"/>
      <c r="N376" t="s">
        <v>19</v>
      </c>
      <c r="O376" s="1088">
        <v>45702</v>
      </c>
      <c r="P376" t="s">
        <v>20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</row>
    <row r="377" spans="1:256">
      <c r="A377" t="s">
        <v>284</v>
      </c>
      <c r="B377" t="s">
        <v>242</v>
      </c>
      <c r="C377"/>
      <c r="D377">
        <v>42000</v>
      </c>
      <c r="E377"/>
      <c r="F377"/>
      <c r="G377"/>
      <c r="H377"/>
      <c r="I377"/>
      <c r="N377" t="s">
        <v>19</v>
      </c>
      <c r="O377" s="1088">
        <v>46084</v>
      </c>
      <c r="P377" t="s">
        <v>60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</row>
    <row r="378" spans="1:256">
      <c r="A378" t="s">
        <v>290</v>
      </c>
      <c r="B378"/>
      <c r="C378"/>
      <c r="D378">
        <v>42000</v>
      </c>
      <c r="E378"/>
      <c r="F378"/>
      <c r="G378"/>
      <c r="H378"/>
      <c r="I378"/>
      <c r="J378" s="824"/>
      <c r="N378" t="s">
        <v>19</v>
      </c>
      <c r="O378" s="1088">
        <v>46630</v>
      </c>
      <c r="P378" t="s">
        <v>45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</row>
    <row r="379" spans="1:256">
      <c r="A379" t="s">
        <v>285</v>
      </c>
      <c r="B379" t="s">
        <v>26</v>
      </c>
      <c r="C379">
        <v>622392</v>
      </c>
      <c r="D379">
        <v>573000</v>
      </c>
      <c r="E379">
        <v>926000</v>
      </c>
      <c r="F379"/>
      <c r="G379"/>
      <c r="H379"/>
      <c r="I379"/>
      <c r="J379" s="824"/>
      <c r="N379" t="s">
        <v>19</v>
      </c>
      <c r="O379" s="1088">
        <v>46259</v>
      </c>
      <c r="P379" t="s">
        <v>45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</row>
    <row r="380" spans="1:256">
      <c r="A380" t="s">
        <v>285</v>
      </c>
      <c r="B380" t="s">
        <v>31</v>
      </c>
      <c r="C380">
        <v>100000</v>
      </c>
      <c r="D380"/>
      <c r="E380">
        <v>165000</v>
      </c>
      <c r="F380"/>
      <c r="G380"/>
      <c r="H380"/>
      <c r="I380"/>
      <c r="J380" s="824"/>
      <c r="N380" t="s">
        <v>19</v>
      </c>
      <c r="O380" s="1088">
        <v>45891</v>
      </c>
      <c r="P380" t="s">
        <v>45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</row>
    <row r="381" spans="1:256">
      <c r="A381" t="s">
        <v>285</v>
      </c>
      <c r="B381" t="s">
        <v>229</v>
      </c>
      <c r="C381"/>
      <c r="D381">
        <v>60000</v>
      </c>
      <c r="E381"/>
      <c r="F381"/>
      <c r="G381"/>
      <c r="H381"/>
      <c r="I381"/>
      <c r="J381" s="824"/>
      <c r="N381" t="s">
        <v>19</v>
      </c>
      <c r="O381" s="1088">
        <v>46458</v>
      </c>
      <c r="P381" t="s">
        <v>60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</row>
    <row r="382" spans="1:256">
      <c r="A382" t="s">
        <v>291</v>
      </c>
      <c r="B382"/>
      <c r="C382">
        <v>722392</v>
      </c>
      <c r="D382">
        <v>633000</v>
      </c>
      <c r="E382">
        <v>1091000</v>
      </c>
      <c r="F382"/>
      <c r="G382"/>
      <c r="H382"/>
      <c r="I382"/>
      <c r="J382" s="824"/>
      <c r="N382" t="s">
        <v>101</v>
      </c>
      <c r="O382" s="1088">
        <v>45804</v>
      </c>
      <c r="P382" t="s">
        <v>45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</row>
    <row r="383" spans="1:256">
      <c r="A383" t="s">
        <v>177</v>
      </c>
      <c r="B383" t="s">
        <v>21</v>
      </c>
      <c r="C383"/>
      <c r="D383"/>
      <c r="E383">
        <v>60000</v>
      </c>
      <c r="F383"/>
      <c r="G383"/>
      <c r="H383"/>
      <c r="I383"/>
      <c r="J383" s="824"/>
      <c r="N383" t="s">
        <v>101</v>
      </c>
      <c r="O383" s="1088">
        <v>45995</v>
      </c>
      <c r="P383" t="s">
        <v>60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</row>
    <row r="384" spans="1:256">
      <c r="A384" t="s">
        <v>177</v>
      </c>
      <c r="B384" t="s">
        <v>26</v>
      </c>
      <c r="C384"/>
      <c r="D384"/>
      <c r="E384">
        <v>120000</v>
      </c>
      <c r="F384"/>
      <c r="G384"/>
      <c r="H384"/>
      <c r="I384" s="823"/>
      <c r="J384" s="824"/>
      <c r="N384" t="s">
        <v>101</v>
      </c>
      <c r="O384" s="1088">
        <v>46161</v>
      </c>
      <c r="P384" t="s">
        <v>20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</row>
    <row r="385" spans="1:54">
      <c r="A385" t="s">
        <v>292</v>
      </c>
      <c r="B385"/>
      <c r="C385"/>
      <c r="D385"/>
      <c r="E385">
        <v>180000</v>
      </c>
      <c r="F385"/>
      <c r="G385"/>
      <c r="H385"/>
      <c r="I385" s="823"/>
      <c r="J385" s="824"/>
      <c r="N385" t="s">
        <v>101</v>
      </c>
      <c r="O385" s="1088">
        <v>46336</v>
      </c>
      <c r="P385" t="s">
        <v>45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</row>
    <row r="386" spans="1:54">
      <c r="A386" t="s">
        <v>282</v>
      </c>
      <c r="B386"/>
      <c r="C386">
        <v>1864392</v>
      </c>
      <c r="D386">
        <v>2398200</v>
      </c>
      <c r="E386">
        <v>2447000</v>
      </c>
      <c r="F386">
        <v>144000</v>
      </c>
      <c r="G386"/>
      <c r="H386"/>
      <c r="I386" s="823"/>
      <c r="J386" s="824"/>
      <c r="N386" t="s">
        <v>101</v>
      </c>
      <c r="O386" s="1088">
        <v>46535</v>
      </c>
      <c r="P386" t="s">
        <v>60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</row>
    <row r="387" spans="1:54">
      <c r="A387"/>
      <c r="B387"/>
      <c r="C387"/>
      <c r="D387"/>
      <c r="E387"/>
      <c r="F387"/>
      <c r="G387"/>
      <c r="H387"/>
      <c r="I387" s="823"/>
      <c r="J387" s="824"/>
      <c r="N387" t="s">
        <v>101</v>
      </c>
      <c r="O387" s="1088">
        <v>46710</v>
      </c>
      <c r="P387" t="s">
        <v>45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</row>
    <row r="388" spans="1:54">
      <c r="A388"/>
      <c r="B388"/>
      <c r="C388"/>
      <c r="D388"/>
      <c r="E388"/>
      <c r="F388"/>
      <c r="G388"/>
      <c r="H388"/>
      <c r="I388" s="823"/>
      <c r="J388" s="824"/>
      <c r="N388" t="s">
        <v>221</v>
      </c>
      <c r="O388" s="1088">
        <v>46014</v>
      </c>
      <c r="P388" t="s">
        <v>45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</row>
    <row r="389" spans="1:54">
      <c r="A389"/>
      <c r="B389"/>
      <c r="C389"/>
      <c r="D389"/>
      <c r="E389"/>
      <c r="F389"/>
      <c r="G389"/>
      <c r="H389"/>
      <c r="I389" s="823"/>
      <c r="J389" s="824"/>
      <c r="N389" t="s">
        <v>95</v>
      </c>
      <c r="O389" s="1088">
        <v>45780</v>
      </c>
      <c r="P389" t="s">
        <v>48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</row>
    <row r="390" spans="1:54">
      <c r="A390"/>
      <c r="B390"/>
      <c r="C390"/>
      <c r="D390"/>
      <c r="E390"/>
      <c r="F390"/>
      <c r="G390"/>
      <c r="H390"/>
      <c r="I390" s="823"/>
      <c r="J390" s="824"/>
      <c r="N390" t="s">
        <v>95</v>
      </c>
      <c r="O390" s="1088">
        <v>45783</v>
      </c>
      <c r="P390" t="s">
        <v>48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</row>
    <row r="391" spans="1:54">
      <c r="A391"/>
      <c r="B391"/>
      <c r="C391"/>
      <c r="D391"/>
      <c r="E391"/>
      <c r="F391"/>
      <c r="G391"/>
      <c r="H391"/>
      <c r="I391" s="823"/>
      <c r="J391" s="824"/>
      <c r="N391" t="s">
        <v>95</v>
      </c>
      <c r="O391" s="1088">
        <v>45965</v>
      </c>
      <c r="P391" t="s">
        <v>45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</row>
    <row r="392" spans="1:54">
      <c r="A392"/>
      <c r="B392"/>
      <c r="C392"/>
      <c r="D392"/>
      <c r="E392"/>
      <c r="F392"/>
      <c r="G392"/>
      <c r="H392"/>
      <c r="I392" s="823"/>
      <c r="J392" s="824"/>
      <c r="N392" t="s">
        <v>95</v>
      </c>
      <c r="O392" s="1088">
        <v>46323</v>
      </c>
      <c r="P392" t="s">
        <v>20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</row>
    <row r="393" spans="1:54">
      <c r="A393"/>
      <c r="B393"/>
      <c r="C393"/>
      <c r="D393"/>
      <c r="E393"/>
      <c r="F393"/>
      <c r="G393"/>
      <c r="H393"/>
      <c r="I393" s="823"/>
      <c r="J393" s="824"/>
      <c r="N393" t="s">
        <v>95</v>
      </c>
      <c r="O393" s="1088">
        <v>46497</v>
      </c>
      <c r="P393" t="s">
        <v>60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</row>
    <row r="394" spans="1:54">
      <c r="A394"/>
      <c r="B394"/>
      <c r="C394"/>
      <c r="D394"/>
      <c r="E394"/>
      <c r="F394"/>
      <c r="G394"/>
      <c r="H394"/>
      <c r="I394" s="823"/>
      <c r="J394" s="824"/>
      <c r="N394" t="s">
        <v>95</v>
      </c>
      <c r="O394" s="1088">
        <v>46669</v>
      </c>
      <c r="P394" t="s">
        <v>45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</row>
    <row r="395" spans="1:54">
      <c r="A395"/>
      <c r="B395"/>
      <c r="C395"/>
      <c r="D395"/>
      <c r="E395"/>
      <c r="F395"/>
      <c r="G395"/>
      <c r="H395"/>
      <c r="I395" s="823"/>
      <c r="J395" s="824"/>
      <c r="N395" t="s">
        <v>95</v>
      </c>
      <c r="O395" s="1088">
        <v>46157</v>
      </c>
      <c r="P395" t="s">
        <v>60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</row>
    <row r="396" spans="1:54">
      <c r="A396"/>
      <c r="B396"/>
      <c r="C396"/>
      <c r="D396"/>
      <c r="E396"/>
      <c r="F396"/>
      <c r="G396"/>
      <c r="H396"/>
      <c r="I396" s="823"/>
      <c r="J396" s="824"/>
      <c r="N396" t="s">
        <v>154</v>
      </c>
      <c r="O396" s="1088">
        <v>46065</v>
      </c>
      <c r="P396" t="s">
        <v>60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</row>
    <row r="397" spans="1:54">
      <c r="A397"/>
      <c r="B397"/>
      <c r="C397"/>
      <c r="D397"/>
      <c r="E397"/>
      <c r="F397"/>
      <c r="G397"/>
      <c r="H397"/>
      <c r="I397" s="823"/>
      <c r="J397" s="824"/>
      <c r="N397" t="s">
        <v>154</v>
      </c>
      <c r="O397" s="1088">
        <v>46242</v>
      </c>
      <c r="P397" t="s">
        <v>45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</row>
    <row r="398" spans="1:54">
      <c r="A398"/>
      <c r="B398"/>
      <c r="C398"/>
      <c r="D398"/>
      <c r="E398"/>
      <c r="F398"/>
      <c r="G398"/>
      <c r="H398"/>
      <c r="I398" s="823"/>
      <c r="J398" s="824"/>
      <c r="N398" t="s">
        <v>154</v>
      </c>
      <c r="O398" s="1088">
        <v>45869</v>
      </c>
      <c r="P398" t="s">
        <v>45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</row>
    <row r="399" spans="1:54">
      <c r="A399"/>
      <c r="B399"/>
      <c r="C399"/>
      <c r="D399"/>
      <c r="E399"/>
      <c r="F399"/>
      <c r="G399"/>
      <c r="H399"/>
      <c r="I399" s="823"/>
      <c r="J399" s="824"/>
      <c r="N399" t="s">
        <v>154</v>
      </c>
      <c r="O399" s="1088">
        <v>46437</v>
      </c>
      <c r="P399" t="s">
        <v>60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</row>
    <row r="400" spans="1:54">
      <c r="A400"/>
      <c r="B400"/>
      <c r="C400"/>
      <c r="D400"/>
      <c r="E400"/>
      <c r="F400"/>
      <c r="G400"/>
      <c r="H400"/>
      <c r="I400" s="823"/>
      <c r="J400" s="824"/>
      <c r="N400" t="s">
        <v>154</v>
      </c>
      <c r="O400" s="1088">
        <v>46609</v>
      </c>
      <c r="P400" t="s">
        <v>45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</row>
    <row r="401" spans="1:54">
      <c r="A401"/>
      <c r="B401"/>
      <c r="C401"/>
      <c r="D401"/>
      <c r="E401"/>
      <c r="F401"/>
      <c r="G401"/>
      <c r="I401" s="823"/>
      <c r="J401" s="824"/>
      <c r="N401" t="s">
        <v>239</v>
      </c>
      <c r="O401" s="1088">
        <v>46197</v>
      </c>
      <c r="P401" t="s">
        <v>60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</row>
    <row r="402" spans="1:54">
      <c r="A402"/>
      <c r="B402"/>
      <c r="C402"/>
      <c r="D402"/>
      <c r="E402"/>
      <c r="F402"/>
      <c r="G402"/>
      <c r="I402" s="823"/>
      <c r="J402" s="824"/>
      <c r="N402" t="s">
        <v>239</v>
      </c>
      <c r="O402" s="1088">
        <v>46375</v>
      </c>
      <c r="P402" t="s">
        <v>45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</row>
    <row r="403" spans="1:54">
      <c r="A403"/>
      <c r="B403"/>
      <c r="C403"/>
      <c r="D403"/>
      <c r="E403"/>
      <c r="F403"/>
      <c r="G403"/>
      <c r="I403" s="823"/>
      <c r="J403" s="824"/>
      <c r="N403" t="s">
        <v>239</v>
      </c>
      <c r="O403" s="1088">
        <v>46572</v>
      </c>
      <c r="P403" t="s">
        <v>60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</row>
    <row r="404" spans="1:54">
      <c r="A404"/>
      <c r="B404"/>
      <c r="C404"/>
      <c r="D404"/>
      <c r="E404"/>
      <c r="F404"/>
      <c r="G404"/>
      <c r="I404" s="823"/>
      <c r="J404" s="824"/>
      <c r="N404" t="s">
        <v>239</v>
      </c>
      <c r="O404" s="1088">
        <v>46746</v>
      </c>
      <c r="P404" t="s">
        <v>45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</row>
    <row r="405" spans="1:54">
      <c r="A405"/>
      <c r="B405"/>
      <c r="C405"/>
      <c r="D405"/>
      <c r="E405"/>
      <c r="F405"/>
      <c r="G405"/>
      <c r="I405" s="823"/>
      <c r="J405" s="824"/>
      <c r="N405" t="s">
        <v>135</v>
      </c>
      <c r="O405" s="1090">
        <v>45836</v>
      </c>
      <c r="P405" s="1089" t="s">
        <v>60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</row>
    <row r="406" spans="1:54">
      <c r="A406"/>
      <c r="B406"/>
      <c r="C406"/>
      <c r="D406"/>
      <c r="E406"/>
      <c r="F406"/>
      <c r="G406"/>
      <c r="I406" s="823"/>
      <c r="J406" s="824"/>
      <c r="N406" s="1089" t="s">
        <v>135</v>
      </c>
      <c r="O406" s="1090">
        <v>45840</v>
      </c>
      <c r="P406" s="1089" t="s">
        <v>60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</row>
    <row r="407" spans="1:54">
      <c r="A407"/>
      <c r="B407"/>
      <c r="C407"/>
      <c r="D407"/>
      <c r="E407"/>
      <c r="F407"/>
      <c r="G407"/>
      <c r="I407" s="823"/>
      <c r="J407" s="824"/>
      <c r="N407" s="1089" t="s">
        <v>135</v>
      </c>
      <c r="O407" s="1088">
        <v>46010</v>
      </c>
      <c r="P407" t="s">
        <v>45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</row>
    <row r="408" spans="1:54">
      <c r="A408"/>
      <c r="B408"/>
      <c r="C408"/>
      <c r="D408"/>
      <c r="E408"/>
      <c r="F408"/>
      <c r="G408"/>
      <c r="I408" s="823"/>
      <c r="J408" s="824"/>
      <c r="N408" t="s">
        <v>135</v>
      </c>
      <c r="O408" s="1088">
        <v>46191</v>
      </c>
      <c r="P408" t="s">
        <v>60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</row>
    <row r="409" spans="1:54">
      <c r="A409"/>
      <c r="B409"/>
      <c r="C409"/>
      <c r="D409"/>
      <c r="E409"/>
      <c r="F409"/>
      <c r="G409"/>
      <c r="I409" s="823"/>
      <c r="J409" s="824"/>
      <c r="N409" t="s">
        <v>135</v>
      </c>
      <c r="O409" s="1088">
        <v>46363</v>
      </c>
      <c r="P409" t="s">
        <v>45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</row>
    <row r="410" spans="1:54">
      <c r="A410"/>
      <c r="B410"/>
      <c r="C410"/>
      <c r="D410"/>
      <c r="E410"/>
      <c r="F410"/>
      <c r="G410"/>
      <c r="I410" s="823"/>
      <c r="J410" s="824"/>
      <c r="N410" t="s">
        <v>135</v>
      </c>
      <c r="O410" s="1088">
        <v>46560</v>
      </c>
      <c r="P410" t="s">
        <v>60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</row>
    <row r="411" spans="1:54">
      <c r="A411"/>
      <c r="B411"/>
      <c r="C411"/>
      <c r="D411"/>
      <c r="E411"/>
      <c r="F411"/>
      <c r="G411"/>
      <c r="I411" s="823"/>
      <c r="J411" s="824"/>
      <c r="N411" t="s">
        <v>135</v>
      </c>
      <c r="O411" s="1088">
        <v>46732</v>
      </c>
      <c r="P411" t="s">
        <v>45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</row>
    <row r="412" spans="1:54">
      <c r="A412"/>
      <c r="B412"/>
      <c r="C412"/>
      <c r="D412"/>
      <c r="E412"/>
      <c r="F412"/>
      <c r="G412"/>
      <c r="I412" s="823"/>
      <c r="J412" s="824"/>
      <c r="N412" t="s">
        <v>104</v>
      </c>
      <c r="O412" s="1088">
        <v>45805</v>
      </c>
      <c r="P412" t="s">
        <v>60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</row>
    <row r="413" spans="1:54">
      <c r="A413"/>
      <c r="B413"/>
      <c r="C413"/>
      <c r="D413"/>
      <c r="E413"/>
      <c r="F413"/>
      <c r="G413"/>
      <c r="I413" s="823"/>
      <c r="J413" s="824"/>
      <c r="N413" t="s">
        <v>104</v>
      </c>
      <c r="O413" s="1088">
        <v>45965</v>
      </c>
      <c r="P413" t="s">
        <v>20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</row>
    <row r="414" spans="1:54">
      <c r="A414"/>
      <c r="B414"/>
      <c r="C414"/>
      <c r="D414"/>
      <c r="E414"/>
      <c r="F414"/>
      <c r="G414"/>
      <c r="I414" s="823"/>
      <c r="J414" s="824"/>
      <c r="N414" t="s">
        <v>104</v>
      </c>
      <c r="O414" s="1088">
        <v>46339</v>
      </c>
      <c r="P414" t="s">
        <v>60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</row>
    <row r="415" spans="1:54">
      <c r="A415"/>
      <c r="B415"/>
      <c r="C415"/>
      <c r="D415"/>
      <c r="E415"/>
      <c r="F415"/>
      <c r="G415"/>
      <c r="I415" s="823"/>
      <c r="J415" s="824"/>
      <c r="N415" t="s">
        <v>104</v>
      </c>
      <c r="O415" s="1088">
        <v>46142</v>
      </c>
      <c r="P415" t="s">
        <v>45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</row>
    <row r="416" spans="1:54">
      <c r="A416"/>
      <c r="B416"/>
      <c r="C416"/>
      <c r="D416"/>
      <c r="E416"/>
      <c r="F416"/>
      <c r="G416"/>
      <c r="I416" s="823"/>
      <c r="J416" s="824"/>
      <c r="N416" t="s">
        <v>104</v>
      </c>
      <c r="O416" s="1088">
        <v>46506</v>
      </c>
      <c r="P416" t="s">
        <v>45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</row>
    <row r="417" spans="1:54">
      <c r="A417"/>
      <c r="B417"/>
      <c r="C417"/>
      <c r="D417"/>
      <c r="E417"/>
      <c r="F417"/>
      <c r="G417"/>
      <c r="I417" s="823"/>
      <c r="J417" s="824"/>
      <c r="N417" t="s">
        <v>104</v>
      </c>
      <c r="O417" s="1088">
        <v>46703</v>
      </c>
      <c r="P417" t="s">
        <v>60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</row>
    <row r="418" spans="1:54">
      <c r="A418"/>
      <c r="B418"/>
      <c r="C418"/>
      <c r="D418"/>
      <c r="E418"/>
      <c r="F418"/>
      <c r="G418"/>
      <c r="I418" s="823"/>
      <c r="J418" s="824"/>
      <c r="N418" t="s">
        <v>89</v>
      </c>
      <c r="O418" s="1088">
        <v>45778</v>
      </c>
      <c r="P418" t="s">
        <v>60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</row>
    <row r="419" spans="1:54">
      <c r="A419"/>
      <c r="B419"/>
      <c r="C419"/>
      <c r="D419"/>
      <c r="E419"/>
      <c r="F419"/>
      <c r="G419"/>
      <c r="I419" s="823"/>
      <c r="J419" s="824"/>
      <c r="N419" t="s">
        <v>89</v>
      </c>
      <c r="O419" s="1088">
        <v>45779</v>
      </c>
      <c r="P419" t="s">
        <v>60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</row>
    <row r="420" spans="1:54">
      <c r="A420"/>
      <c r="B420"/>
      <c r="C420"/>
      <c r="D420"/>
      <c r="E420"/>
      <c r="F420"/>
      <c r="G420"/>
      <c r="I420" s="823"/>
      <c r="J420" s="824"/>
      <c r="N420" t="s">
        <v>89</v>
      </c>
      <c r="O420" s="1088">
        <v>45939</v>
      </c>
      <c r="P420" t="s">
        <v>20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</row>
    <row r="421" spans="1:54">
      <c r="A421"/>
      <c r="B421"/>
      <c r="C421"/>
      <c r="D421"/>
      <c r="E421"/>
      <c r="F421"/>
      <c r="G421"/>
      <c r="I421" s="823"/>
      <c r="J421" s="824"/>
      <c r="N421" t="s">
        <v>89</v>
      </c>
      <c r="O421" s="1088">
        <v>45940</v>
      </c>
      <c r="P421" t="s">
        <v>20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</row>
    <row r="422" spans="1:54">
      <c r="A422"/>
      <c r="B422"/>
      <c r="C422"/>
      <c r="D422"/>
      <c r="E422"/>
      <c r="F422"/>
      <c r="G422"/>
      <c r="I422" s="823"/>
      <c r="J422" s="824"/>
      <c r="N422" t="s">
        <v>89</v>
      </c>
      <c r="O422" s="1088">
        <v>46122</v>
      </c>
      <c r="P422" t="s">
        <v>45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</row>
    <row r="423" spans="1:54">
      <c r="A423"/>
      <c r="B423"/>
      <c r="C423"/>
      <c r="D423"/>
      <c r="E423"/>
      <c r="F423"/>
      <c r="G423"/>
      <c r="I423" s="823"/>
      <c r="J423" s="824"/>
      <c r="N423" t="s">
        <v>89</v>
      </c>
      <c r="O423" s="1088">
        <v>46318</v>
      </c>
      <c r="P423" t="s">
        <v>60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</row>
    <row r="424" spans="1:54">
      <c r="A424"/>
      <c r="B424"/>
      <c r="C424"/>
      <c r="D424"/>
      <c r="E424"/>
      <c r="F424"/>
      <c r="G424"/>
      <c r="I424" s="823"/>
      <c r="J424" s="824"/>
      <c r="N424" t="s">
        <v>89</v>
      </c>
      <c r="O424" s="1088">
        <v>46490</v>
      </c>
      <c r="P424" t="s">
        <v>45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</row>
    <row r="425" spans="1:54">
      <c r="A425"/>
      <c r="B425"/>
      <c r="C425"/>
      <c r="D425"/>
      <c r="E425"/>
      <c r="F425"/>
      <c r="G425"/>
      <c r="I425" s="823"/>
      <c r="J425" s="824"/>
      <c r="N425" t="s">
        <v>89</v>
      </c>
      <c r="O425" s="1088">
        <v>46686</v>
      </c>
      <c r="P425" t="s">
        <v>60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</row>
    <row r="426" spans="1:54">
      <c r="A426"/>
      <c r="B426"/>
      <c r="C426"/>
      <c r="D426"/>
      <c r="E426"/>
      <c r="F426"/>
      <c r="G426"/>
      <c r="I426" s="823"/>
      <c r="J426" s="824"/>
      <c r="N426" t="s">
        <v>25</v>
      </c>
      <c r="O426" s="1088">
        <v>45709</v>
      </c>
      <c r="P426" t="s">
        <v>20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</row>
    <row r="427" spans="1:54">
      <c r="A427"/>
      <c r="B427"/>
      <c r="C427"/>
      <c r="D427"/>
      <c r="E427"/>
      <c r="F427"/>
      <c r="G427"/>
      <c r="I427" s="823"/>
      <c r="J427" s="824"/>
      <c r="N427" t="s">
        <v>25</v>
      </c>
      <c r="O427" s="1088">
        <v>45883</v>
      </c>
      <c r="P427" t="s">
        <v>45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</row>
    <row r="428" spans="1:54">
      <c r="A428"/>
      <c r="B428"/>
      <c r="C428"/>
      <c r="D428"/>
      <c r="E428"/>
      <c r="F428"/>
      <c r="G428"/>
      <c r="I428" s="823"/>
      <c r="J428" s="824"/>
      <c r="N428" t="s">
        <v>25</v>
      </c>
      <c r="O428" s="1088">
        <v>46078</v>
      </c>
      <c r="P428" t="s">
        <v>60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</row>
    <row r="429" spans="1:54">
      <c r="A429"/>
      <c r="B429"/>
      <c r="C429"/>
      <c r="D429"/>
      <c r="E429"/>
      <c r="F429"/>
      <c r="G429"/>
      <c r="I429" s="823"/>
      <c r="J429" s="824"/>
      <c r="N429" t="s">
        <v>25</v>
      </c>
      <c r="O429" s="1088">
        <v>46444</v>
      </c>
      <c r="P429" t="s">
        <v>60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</row>
    <row r="430" spans="1:54">
      <c r="A430"/>
      <c r="B430"/>
      <c r="C430"/>
      <c r="D430"/>
      <c r="E430"/>
      <c r="F430"/>
      <c r="G430"/>
      <c r="I430" s="823"/>
      <c r="J430" s="824"/>
      <c r="N430" t="s">
        <v>25</v>
      </c>
      <c r="O430" s="1088">
        <v>46616</v>
      </c>
      <c r="P430" t="s">
        <v>45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</row>
    <row r="431" spans="1:54">
      <c r="A431"/>
      <c r="B431"/>
      <c r="C431"/>
      <c r="D431"/>
      <c r="E431"/>
      <c r="F431"/>
      <c r="G431"/>
      <c r="I431" s="823"/>
      <c r="J431" s="824"/>
      <c r="N431" t="s">
        <v>25</v>
      </c>
      <c r="O431" s="1088">
        <v>46252</v>
      </c>
      <c r="P431" t="s">
        <v>45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</row>
    <row r="432" spans="1:54">
      <c r="A432"/>
      <c r="B432"/>
      <c r="C432"/>
      <c r="D432"/>
      <c r="E432"/>
      <c r="F432"/>
      <c r="G432"/>
      <c r="I432" s="823"/>
      <c r="J432" s="824"/>
      <c r="N432" t="s">
        <v>68</v>
      </c>
      <c r="O432" s="1088">
        <v>45749</v>
      </c>
      <c r="P432" t="s">
        <v>60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</row>
    <row r="433" spans="1:54">
      <c r="A433"/>
      <c r="B433"/>
      <c r="C433"/>
      <c r="D433"/>
      <c r="E433"/>
      <c r="F433"/>
      <c r="G433"/>
      <c r="I433" s="823"/>
      <c r="J433" s="824"/>
      <c r="N433" t="s">
        <v>68</v>
      </c>
      <c r="O433" s="1088">
        <v>45758</v>
      </c>
      <c r="P433" t="s">
        <v>60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</row>
    <row r="434" spans="1:54">
      <c r="A434"/>
      <c r="B434"/>
      <c r="C434"/>
      <c r="D434"/>
      <c r="E434"/>
      <c r="F434"/>
      <c r="G434"/>
      <c r="I434" s="823"/>
      <c r="J434" s="824"/>
      <c r="N434" t="s">
        <v>68</v>
      </c>
      <c r="O434" s="1088">
        <v>45926</v>
      </c>
      <c r="P434" t="s">
        <v>20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</row>
    <row r="435" spans="1:54">
      <c r="A435"/>
      <c r="B435"/>
      <c r="C435"/>
      <c r="D435"/>
      <c r="E435"/>
      <c r="F435"/>
      <c r="G435"/>
      <c r="I435" s="823"/>
      <c r="J435" s="824"/>
      <c r="N435" t="s">
        <v>68</v>
      </c>
      <c r="O435" s="1088">
        <v>46094</v>
      </c>
      <c r="P435" t="s">
        <v>45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</row>
    <row r="436" spans="1:54">
      <c r="A436"/>
      <c r="B436"/>
      <c r="C436"/>
      <c r="D436"/>
      <c r="E436"/>
      <c r="F436"/>
      <c r="G436"/>
      <c r="I436" s="823"/>
      <c r="J436" s="824"/>
      <c r="N436" t="s">
        <v>68</v>
      </c>
      <c r="O436" s="1088">
        <v>46301</v>
      </c>
      <c r="P436" t="s">
        <v>60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</row>
    <row r="437" spans="1:54">
      <c r="A437"/>
      <c r="B437"/>
      <c r="C437"/>
      <c r="D437"/>
      <c r="E437"/>
      <c r="F437"/>
      <c r="G437"/>
      <c r="I437" s="823"/>
      <c r="J437" s="824"/>
      <c r="N437" t="s">
        <v>68</v>
      </c>
      <c r="O437" s="1088">
        <v>46470</v>
      </c>
      <c r="P437" t="s">
        <v>20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</row>
    <row r="438" spans="1:54">
      <c r="A438"/>
      <c r="B438"/>
      <c r="C438"/>
      <c r="D438"/>
      <c r="E438"/>
      <c r="F438"/>
      <c r="G438"/>
      <c r="I438" s="823"/>
      <c r="J438" s="824"/>
      <c r="N438" t="s">
        <v>68</v>
      </c>
      <c r="O438" s="1088">
        <v>46642</v>
      </c>
      <c r="P438" t="s">
        <v>45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</row>
    <row r="439" spans="1:54">
      <c r="A439"/>
      <c r="B439"/>
      <c r="C439"/>
      <c r="D439"/>
      <c r="E439"/>
      <c r="F439"/>
      <c r="G439"/>
      <c r="I439" s="823"/>
      <c r="J439" s="824"/>
      <c r="N439" t="s">
        <v>132</v>
      </c>
      <c r="O439" s="1088">
        <v>45827</v>
      </c>
      <c r="P439" t="s">
        <v>20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</row>
    <row r="440" spans="1:54">
      <c r="A440"/>
      <c r="B440"/>
      <c r="C440"/>
      <c r="D440"/>
      <c r="E440"/>
      <c r="F440"/>
      <c r="G440"/>
      <c r="I440" s="823"/>
      <c r="J440" s="824"/>
      <c r="N440" t="s">
        <v>132</v>
      </c>
      <c r="O440" s="1088">
        <v>45953</v>
      </c>
      <c r="P440" t="s">
        <v>45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</row>
    <row r="441" spans="1:54">
      <c r="A441"/>
      <c r="B441"/>
      <c r="C441"/>
      <c r="D441"/>
      <c r="E441"/>
      <c r="F441"/>
      <c r="G441"/>
      <c r="I441" s="823"/>
      <c r="J441" s="824"/>
      <c r="N441" t="s">
        <v>132</v>
      </c>
      <c r="O441" s="1088">
        <v>45960</v>
      </c>
      <c r="P441" t="s">
        <v>45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</row>
    <row r="442" spans="1:54">
      <c r="A442"/>
      <c r="B442"/>
      <c r="C442"/>
      <c r="D442"/>
      <c r="E442"/>
      <c r="F442"/>
      <c r="G442"/>
      <c r="I442" s="823"/>
      <c r="J442" s="824"/>
      <c r="N442" t="s">
        <v>132</v>
      </c>
      <c r="O442" s="1088">
        <v>46156</v>
      </c>
      <c r="P442" t="s">
        <v>60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</row>
    <row r="443" spans="1:54">
      <c r="A443"/>
      <c r="B443"/>
      <c r="C443"/>
      <c r="D443"/>
      <c r="E443"/>
      <c r="F443"/>
      <c r="G443"/>
      <c r="I443" s="823"/>
      <c r="J443" s="824"/>
      <c r="N443" t="s">
        <v>132</v>
      </c>
      <c r="O443" s="1088">
        <v>46328</v>
      </c>
      <c r="P443" t="s">
        <v>45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</row>
    <row r="444" spans="1:54">
      <c r="A444"/>
      <c r="B444"/>
      <c r="C444"/>
      <c r="D444"/>
      <c r="E444"/>
      <c r="F444"/>
      <c r="G444"/>
      <c r="I444" s="823"/>
      <c r="J444" s="824"/>
      <c r="N444" t="s">
        <v>132</v>
      </c>
      <c r="O444" s="1088">
        <v>46530</v>
      </c>
      <c r="P444" t="s">
        <v>60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</row>
    <row r="445" spans="1:54">
      <c r="A445"/>
      <c r="B445"/>
      <c r="C445"/>
      <c r="D445"/>
      <c r="E445"/>
      <c r="F445"/>
      <c r="G445"/>
      <c r="I445" s="823"/>
      <c r="J445" s="824"/>
      <c r="N445" t="s">
        <v>132</v>
      </c>
      <c r="O445" s="1088">
        <v>46700</v>
      </c>
      <c r="P445" t="s">
        <v>45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</row>
    <row r="446" spans="1:54">
      <c r="A446"/>
      <c r="B446"/>
      <c r="C446"/>
      <c r="D446"/>
      <c r="E446"/>
      <c r="F446"/>
      <c r="G446"/>
      <c r="I446" s="823"/>
      <c r="J446" s="824"/>
      <c r="N446" t="s">
        <v>79</v>
      </c>
      <c r="O446" s="1088">
        <v>45773</v>
      </c>
      <c r="P446" t="s">
        <v>60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</row>
    <row r="447" spans="1:54">
      <c r="A447"/>
      <c r="B447"/>
      <c r="C447"/>
      <c r="D447"/>
      <c r="E447"/>
      <c r="F447"/>
      <c r="G447"/>
      <c r="I447" s="823"/>
      <c r="J447" s="824"/>
      <c r="N447" t="s">
        <v>79</v>
      </c>
      <c r="O447" s="1088">
        <v>45934</v>
      </c>
      <c r="P447" t="s">
        <v>45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</row>
    <row r="448" spans="1:54">
      <c r="A448"/>
      <c r="B448"/>
      <c r="C448"/>
      <c r="D448"/>
      <c r="E448"/>
      <c r="F448"/>
      <c r="G448"/>
      <c r="I448" s="823"/>
      <c r="J448" s="824"/>
      <c r="N448" t="s">
        <v>79</v>
      </c>
      <c r="O448" s="1088">
        <v>46134</v>
      </c>
      <c r="P448" t="s">
        <v>60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</row>
    <row r="449" spans="1:54">
      <c r="A449"/>
      <c r="B449"/>
      <c r="C449"/>
      <c r="D449"/>
      <c r="E449"/>
      <c r="F449"/>
      <c r="G449"/>
      <c r="I449" s="823"/>
      <c r="J449" s="824"/>
      <c r="N449" t="s">
        <v>79</v>
      </c>
      <c r="O449" s="1088">
        <v>46304</v>
      </c>
      <c r="P449" t="s">
        <v>45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</row>
    <row r="450" spans="1:54">
      <c r="A450"/>
      <c r="B450"/>
      <c r="C450"/>
      <c r="D450"/>
      <c r="E450"/>
      <c r="F450"/>
      <c r="G450"/>
      <c r="I450" s="823"/>
      <c r="J450" s="824"/>
      <c r="N450" t="s">
        <v>79</v>
      </c>
      <c r="O450" s="1088">
        <v>46500</v>
      </c>
      <c r="P450" t="s">
        <v>60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</row>
    <row r="451" spans="1:54">
      <c r="A451"/>
      <c r="B451"/>
      <c r="C451"/>
      <c r="D451"/>
      <c r="E451"/>
      <c r="F451"/>
      <c r="G451"/>
      <c r="I451" s="823"/>
      <c r="J451" s="824"/>
      <c r="N451" t="s">
        <v>79</v>
      </c>
      <c r="O451" s="1088">
        <v>46672</v>
      </c>
      <c r="P451" t="s">
        <v>45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</row>
    <row r="452" spans="1:54">
      <c r="A452"/>
      <c r="B452"/>
      <c r="C452"/>
      <c r="D452"/>
      <c r="E452"/>
      <c r="F452"/>
      <c r="G452"/>
      <c r="I452" s="823"/>
      <c r="J452" s="824"/>
      <c r="N452" t="s">
        <v>83</v>
      </c>
      <c r="O452" s="1088">
        <v>45771</v>
      </c>
      <c r="P452" t="s">
        <v>60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</row>
    <row r="453" spans="1:54">
      <c r="A453"/>
      <c r="B453"/>
      <c r="C453"/>
      <c r="D453"/>
      <c r="E453"/>
      <c r="F453"/>
      <c r="G453"/>
      <c r="I453" s="823"/>
      <c r="J453" s="824"/>
      <c r="N453" t="s">
        <v>83</v>
      </c>
      <c r="O453" s="1088">
        <v>45780</v>
      </c>
      <c r="P453" t="s">
        <v>60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</row>
    <row r="454" spans="1:54">
      <c r="A454"/>
      <c r="B454"/>
      <c r="C454"/>
      <c r="D454"/>
      <c r="E454"/>
      <c r="F454"/>
      <c r="G454"/>
      <c r="I454" s="823"/>
      <c r="J454" s="824"/>
      <c r="N454" t="s">
        <v>83</v>
      </c>
      <c r="O454" s="1088">
        <v>45953</v>
      </c>
      <c r="P454" t="s">
        <v>20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</row>
    <row r="455" spans="1:54">
      <c r="A455"/>
      <c r="B455"/>
      <c r="C455"/>
      <c r="D455"/>
      <c r="E455"/>
      <c r="F455"/>
      <c r="G455"/>
      <c r="I455" s="823"/>
      <c r="J455" s="824"/>
      <c r="N455" t="s">
        <v>83</v>
      </c>
      <c r="O455" s="1088">
        <v>46137</v>
      </c>
      <c r="P455" t="s">
        <v>45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</row>
    <row r="456" spans="1:54">
      <c r="A456"/>
      <c r="B456"/>
      <c r="C456"/>
      <c r="D456"/>
      <c r="E456"/>
      <c r="F456"/>
      <c r="G456"/>
      <c r="I456" s="823"/>
      <c r="J456" s="824"/>
      <c r="N456" t="s">
        <v>83</v>
      </c>
      <c r="O456" s="1088">
        <v>46332</v>
      </c>
      <c r="P456" t="s">
        <v>60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</row>
    <row r="457" spans="1:54">
      <c r="A457"/>
      <c r="B457"/>
      <c r="C457"/>
      <c r="D457"/>
      <c r="E457"/>
      <c r="F457"/>
      <c r="G457"/>
      <c r="H457"/>
      <c r="I457"/>
      <c r="N457" t="s">
        <v>83</v>
      </c>
      <c r="O457" s="1088">
        <v>46504</v>
      </c>
      <c r="P457" t="s">
        <v>20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</row>
    <row r="458" spans="1:54">
      <c r="A458"/>
      <c r="B458"/>
      <c r="C458"/>
      <c r="D458"/>
      <c r="E458"/>
      <c r="F458"/>
      <c r="G458"/>
      <c r="H458"/>
      <c r="I458"/>
      <c r="N458" t="s">
        <v>83</v>
      </c>
      <c r="O458" s="1088">
        <v>46676</v>
      </c>
      <c r="P458" t="s">
        <v>45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</row>
    <row r="459" spans="1:54">
      <c r="A459"/>
      <c r="B459"/>
      <c r="C459"/>
      <c r="D459"/>
      <c r="E459"/>
      <c r="F459"/>
      <c r="G459"/>
      <c r="H459"/>
      <c r="I459"/>
      <c r="N459" t="s">
        <v>216</v>
      </c>
      <c r="O459" s="1088">
        <v>46008</v>
      </c>
      <c r="P459" t="s">
        <v>60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</row>
    <row r="460" spans="1:54">
      <c r="A460"/>
      <c r="B460"/>
      <c r="C460"/>
      <c r="D460"/>
      <c r="E460"/>
      <c r="F460"/>
      <c r="G460"/>
      <c r="H460"/>
      <c r="I460"/>
      <c r="N460" t="s">
        <v>216</v>
      </c>
      <c r="O460" s="1088">
        <v>46175</v>
      </c>
      <c r="P460" t="s">
        <v>45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</row>
    <row r="461" spans="1:54">
      <c r="A461"/>
      <c r="B461"/>
      <c r="C461"/>
      <c r="D461"/>
      <c r="E461"/>
      <c r="F461"/>
      <c r="G461"/>
      <c r="H461"/>
      <c r="I461"/>
      <c r="N461" t="s">
        <v>216</v>
      </c>
      <c r="O461" s="1088">
        <v>46379</v>
      </c>
      <c r="P461" t="s">
        <v>60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</row>
    <row r="462" spans="1:54">
      <c r="A462"/>
      <c r="B462"/>
      <c r="C462"/>
      <c r="D462"/>
      <c r="E462"/>
      <c r="F462"/>
      <c r="G462"/>
      <c r="H462"/>
      <c r="I462"/>
      <c r="N462" t="s">
        <v>216</v>
      </c>
      <c r="O462" s="1088">
        <v>46552</v>
      </c>
      <c r="P462" t="s">
        <v>20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</row>
    <row r="463" spans="1:54">
      <c r="A463"/>
      <c r="B463"/>
      <c r="C463"/>
      <c r="D463"/>
      <c r="E463"/>
      <c r="F463"/>
      <c r="G463"/>
      <c r="H463"/>
      <c r="I463"/>
      <c r="N463" t="s">
        <v>216</v>
      </c>
      <c r="O463" s="1088">
        <v>46719</v>
      </c>
      <c r="P463" t="s">
        <v>45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</row>
    <row r="464" spans="1:54">
      <c r="A464"/>
      <c r="B464"/>
      <c r="C464"/>
      <c r="D464"/>
      <c r="E464"/>
      <c r="F464"/>
      <c r="G464"/>
      <c r="H464"/>
      <c r="I464"/>
      <c r="N464" t="s">
        <v>241</v>
      </c>
      <c r="O464" s="1088">
        <v>46210</v>
      </c>
      <c r="P464" t="s">
        <v>60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</row>
    <row r="465" spans="1:54">
      <c r="A465"/>
      <c r="B465"/>
      <c r="C465"/>
      <c r="D465"/>
      <c r="E465"/>
      <c r="F465"/>
      <c r="G465"/>
      <c r="H465"/>
      <c r="I465"/>
      <c r="N465" t="s">
        <v>241</v>
      </c>
      <c r="O465" s="1088">
        <v>46205</v>
      </c>
      <c r="P465" t="s">
        <v>60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</row>
    <row r="466" spans="1:54">
      <c r="A466"/>
      <c r="B466"/>
      <c r="C466"/>
      <c r="D466"/>
      <c r="E466"/>
      <c r="F466"/>
      <c r="G466"/>
      <c r="H466"/>
      <c r="I466"/>
      <c r="N466" t="s">
        <v>241</v>
      </c>
      <c r="O466" s="1088">
        <v>46377</v>
      </c>
      <c r="P466" t="s">
        <v>45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</row>
    <row r="467" spans="1:54">
      <c r="A467"/>
      <c r="B467"/>
      <c r="C467"/>
      <c r="D467"/>
      <c r="E467"/>
      <c r="F467"/>
      <c r="G467"/>
      <c r="H467"/>
      <c r="I467"/>
      <c r="N467" t="s">
        <v>241</v>
      </c>
      <c r="O467" s="1088">
        <v>46579</v>
      </c>
      <c r="P467" t="s">
        <v>60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</row>
    <row r="468" spans="1:54">
      <c r="A468"/>
      <c r="B468"/>
      <c r="C468"/>
      <c r="D468"/>
      <c r="E468"/>
      <c r="F468"/>
      <c r="G468"/>
      <c r="H468"/>
      <c r="I468"/>
      <c r="N468" t="s">
        <v>241</v>
      </c>
      <c r="O468" s="1088">
        <v>46752</v>
      </c>
      <c r="P468" t="s">
        <v>45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</row>
    <row r="469" spans="1:54">
      <c r="A469"/>
      <c r="B469"/>
      <c r="C469"/>
      <c r="D469"/>
      <c r="E469"/>
      <c r="F469"/>
      <c r="G469"/>
      <c r="H469"/>
      <c r="I469"/>
      <c r="N469" t="s">
        <v>52</v>
      </c>
      <c r="O469" s="1088">
        <v>45744</v>
      </c>
      <c r="P469" t="s">
        <v>20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</row>
    <row r="470" spans="1:54">
      <c r="A470"/>
      <c r="B470"/>
      <c r="C470"/>
      <c r="D470"/>
      <c r="E470"/>
      <c r="F470"/>
      <c r="G470"/>
      <c r="H470"/>
      <c r="I470"/>
      <c r="N470" t="s">
        <v>52</v>
      </c>
      <c r="O470" s="1088">
        <v>45905</v>
      </c>
      <c r="P470" t="s">
        <v>48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</row>
    <row r="471" spans="1:54">
      <c r="A471"/>
      <c r="B471"/>
      <c r="C471"/>
      <c r="D471"/>
      <c r="E471"/>
      <c r="F471"/>
      <c r="G471"/>
      <c r="H471"/>
      <c r="I471"/>
      <c r="N471" t="s">
        <v>52</v>
      </c>
      <c r="O471" s="1088">
        <v>46074</v>
      </c>
      <c r="P471" t="s">
        <v>45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</row>
    <row r="472" spans="1:54">
      <c r="A472"/>
      <c r="B472"/>
      <c r="C472"/>
      <c r="D472"/>
      <c r="E472"/>
      <c r="F472"/>
      <c r="G472"/>
      <c r="H472"/>
      <c r="I472"/>
      <c r="N472" t="s">
        <v>52</v>
      </c>
      <c r="O472" s="1088">
        <v>46449</v>
      </c>
      <c r="P472" t="s">
        <v>20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</row>
    <row r="473" spans="1:54">
      <c r="A473"/>
      <c r="B473"/>
      <c r="C473"/>
      <c r="D473"/>
      <c r="E473"/>
      <c r="F473"/>
      <c r="G473"/>
      <c r="H473"/>
      <c r="I473"/>
      <c r="N473" t="s">
        <v>52</v>
      </c>
      <c r="O473" s="1088">
        <v>46280</v>
      </c>
      <c r="P473" t="s">
        <v>60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</row>
    <row r="474" spans="1:54">
      <c r="A474"/>
      <c r="B474"/>
      <c r="C474"/>
      <c r="D474"/>
      <c r="E474"/>
      <c r="F474"/>
      <c r="G474"/>
      <c r="H474"/>
      <c r="I474"/>
      <c r="N474" t="s">
        <v>52</v>
      </c>
      <c r="O474" s="1088">
        <v>46623</v>
      </c>
      <c r="P474" t="s">
        <v>45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</row>
    <row r="475" spans="1:54">
      <c r="A475"/>
      <c r="B475"/>
      <c r="C475"/>
      <c r="D475"/>
      <c r="E475"/>
      <c r="F475"/>
      <c r="G475"/>
      <c r="H475"/>
      <c r="I475"/>
      <c r="N475" t="s">
        <v>151</v>
      </c>
      <c r="O475" s="1088">
        <v>45862</v>
      </c>
      <c r="P475" t="s">
        <v>20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</row>
    <row r="476" spans="1:54">
      <c r="A476"/>
      <c r="B476"/>
      <c r="C476"/>
      <c r="D476"/>
      <c r="E476"/>
      <c r="F476"/>
      <c r="G476"/>
      <c r="H476"/>
      <c r="I476"/>
      <c r="N476" t="s">
        <v>151</v>
      </c>
      <c r="O476" s="1088">
        <v>46030</v>
      </c>
      <c r="P476" t="s">
        <v>45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</row>
    <row r="477" spans="1:54">
      <c r="A477"/>
      <c r="B477"/>
      <c r="C477"/>
      <c r="D477"/>
      <c r="E477"/>
      <c r="F477"/>
      <c r="G477"/>
      <c r="H477"/>
      <c r="I477"/>
      <c r="N477" t="s">
        <v>151</v>
      </c>
      <c r="O477" s="1088">
        <v>46232</v>
      </c>
      <c r="P477" t="s">
        <v>60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</row>
    <row r="478" spans="1:54">
      <c r="A478"/>
      <c r="B478"/>
      <c r="C478"/>
      <c r="D478"/>
      <c r="E478"/>
      <c r="F478"/>
      <c r="G478"/>
      <c r="H478"/>
      <c r="I478"/>
      <c r="N478" t="s">
        <v>151</v>
      </c>
      <c r="O478" s="1088">
        <v>46400</v>
      </c>
      <c r="P478" t="s">
        <v>45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</row>
    <row r="479" spans="1:54">
      <c r="A479"/>
      <c r="B479"/>
      <c r="C479"/>
      <c r="D479"/>
      <c r="E479"/>
      <c r="F479"/>
      <c r="G479"/>
      <c r="H479"/>
      <c r="I479"/>
      <c r="N479" t="s">
        <v>151</v>
      </c>
      <c r="O479" s="1088">
        <v>46597</v>
      </c>
      <c r="P479" t="s">
        <v>60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</row>
    <row r="480" spans="1:54">
      <c r="A480"/>
      <c r="B480"/>
      <c r="C480"/>
      <c r="D480"/>
      <c r="E480"/>
      <c r="F480"/>
      <c r="G480"/>
      <c r="H480"/>
      <c r="I480"/>
      <c r="N480" t="s">
        <v>111</v>
      </c>
      <c r="O480" s="1088">
        <v>45808</v>
      </c>
      <c r="P480" t="s">
        <v>60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</row>
    <row r="481" spans="1:54">
      <c r="A481"/>
      <c r="B481"/>
      <c r="C481"/>
      <c r="D481"/>
      <c r="E481"/>
      <c r="F481"/>
      <c r="G481"/>
      <c r="H481"/>
      <c r="I481"/>
      <c r="N481" t="s">
        <v>111</v>
      </c>
      <c r="O481" s="1088">
        <v>45973</v>
      </c>
      <c r="P481" t="s">
        <v>20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</row>
    <row r="482" spans="1:54">
      <c r="A482"/>
      <c r="B482"/>
      <c r="C482"/>
      <c r="D482"/>
      <c r="E482"/>
      <c r="F482"/>
      <c r="G482"/>
      <c r="H482"/>
      <c r="I482"/>
      <c r="N482" t="s">
        <v>111</v>
      </c>
      <c r="O482" s="1088">
        <v>46151</v>
      </c>
      <c r="P482" t="s">
        <v>45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</row>
    <row r="483" spans="1:54">
      <c r="A483"/>
      <c r="B483"/>
      <c r="C483"/>
      <c r="D483"/>
      <c r="E483"/>
      <c r="F483"/>
      <c r="G483"/>
      <c r="H483"/>
      <c r="I483"/>
      <c r="N483" t="s">
        <v>111</v>
      </c>
      <c r="O483" s="1088">
        <v>46355</v>
      </c>
      <c r="P483" t="s">
        <v>60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</row>
    <row r="484" spans="1:54">
      <c r="A484"/>
      <c r="B484"/>
      <c r="C484"/>
      <c r="D484"/>
      <c r="E484"/>
      <c r="F484"/>
      <c r="G484"/>
      <c r="H484"/>
      <c r="I484"/>
      <c r="N484" t="s">
        <v>111</v>
      </c>
      <c r="O484" s="1088">
        <v>46721</v>
      </c>
      <c r="P484" t="s">
        <v>60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</row>
    <row r="485" spans="1:54">
      <c r="A485"/>
      <c r="B485"/>
      <c r="C485"/>
      <c r="D485"/>
      <c r="E485"/>
      <c r="F485"/>
      <c r="G485"/>
      <c r="H485"/>
      <c r="I485"/>
      <c r="N485" t="s">
        <v>111</v>
      </c>
      <c r="O485" s="1088">
        <v>46525</v>
      </c>
      <c r="P485" t="s">
        <v>45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</row>
    <row r="486" spans="1:54">
      <c r="A486"/>
      <c r="B486"/>
      <c r="C486"/>
      <c r="D486"/>
      <c r="E486"/>
      <c r="F486"/>
      <c r="G486"/>
      <c r="H486"/>
      <c r="I486"/>
      <c r="N486" t="s">
        <v>148</v>
      </c>
      <c r="O486" s="1088">
        <v>45863</v>
      </c>
      <c r="P486" t="s">
        <v>20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</row>
    <row r="487" spans="1:54">
      <c r="A487"/>
      <c r="B487"/>
      <c r="C487"/>
      <c r="D487"/>
      <c r="E487"/>
      <c r="F487"/>
      <c r="G487"/>
      <c r="H487"/>
      <c r="I487"/>
      <c r="N487" t="s">
        <v>148</v>
      </c>
      <c r="O487" s="1088">
        <v>46032</v>
      </c>
      <c r="P487" t="s">
        <v>45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</row>
    <row r="488" spans="1:54">
      <c r="A488"/>
      <c r="B488"/>
      <c r="C488"/>
      <c r="D488"/>
      <c r="E488"/>
      <c r="F488"/>
      <c r="G488"/>
      <c r="H488"/>
      <c r="I488"/>
      <c r="N488" t="s">
        <v>148</v>
      </c>
      <c r="O488" s="1088">
        <v>46400</v>
      </c>
      <c r="P488" t="s">
        <v>45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</row>
    <row r="489" spans="1:54">
      <c r="A489"/>
      <c r="B489"/>
      <c r="C489"/>
      <c r="D489"/>
      <c r="E489"/>
      <c r="F489"/>
      <c r="G489"/>
      <c r="H489"/>
      <c r="I489"/>
      <c r="N489" t="s">
        <v>148</v>
      </c>
      <c r="O489" s="1088">
        <v>46597</v>
      </c>
      <c r="P489" t="s">
        <v>60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</row>
    <row r="490" spans="1:54">
      <c r="A490"/>
      <c r="B490"/>
      <c r="C490"/>
      <c r="D490"/>
      <c r="E490"/>
      <c r="F490"/>
      <c r="G490"/>
      <c r="H490"/>
      <c r="I490"/>
      <c r="N490" t="s">
        <v>148</v>
      </c>
      <c r="O490" s="1088">
        <v>46235</v>
      </c>
      <c r="P490" t="s">
        <v>60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</row>
    <row r="491" spans="1:54">
      <c r="A491"/>
      <c r="B491"/>
      <c r="C491"/>
      <c r="D491"/>
      <c r="E491"/>
      <c r="F491"/>
      <c r="G491"/>
      <c r="H491"/>
      <c r="I491"/>
      <c r="N491" t="s">
        <v>120</v>
      </c>
      <c r="O491" s="1088">
        <v>45818</v>
      </c>
      <c r="P491" t="s">
        <v>20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</row>
    <row r="492" spans="1:54">
      <c r="A492"/>
      <c r="B492"/>
      <c r="C492"/>
      <c r="D492"/>
      <c r="E492"/>
      <c r="F492"/>
      <c r="G492"/>
      <c r="H492"/>
      <c r="I492"/>
      <c r="N492" t="s">
        <v>120</v>
      </c>
      <c r="O492" s="1088">
        <v>45989</v>
      </c>
      <c r="P492" t="s">
        <v>45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</row>
    <row r="493" spans="1:54">
      <c r="A493"/>
      <c r="B493"/>
      <c r="C493"/>
      <c r="D493"/>
      <c r="E493"/>
      <c r="F493"/>
      <c r="G493"/>
      <c r="H493"/>
      <c r="I493"/>
      <c r="N493" t="s">
        <v>120</v>
      </c>
      <c r="O493" s="1088">
        <v>46563</v>
      </c>
      <c r="P493" t="s">
        <v>60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</row>
    <row r="494" spans="1:54">
      <c r="A494"/>
      <c r="B494"/>
      <c r="C494"/>
      <c r="D494"/>
      <c r="E494"/>
      <c r="F494"/>
      <c r="G494"/>
      <c r="H494"/>
      <c r="I494"/>
      <c r="N494" t="s">
        <v>120</v>
      </c>
      <c r="O494" s="1088">
        <v>46735</v>
      </c>
      <c r="P494" t="s">
        <v>45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</row>
    <row r="495" spans="1:54">
      <c r="A495"/>
      <c r="B495"/>
      <c r="C495"/>
      <c r="D495"/>
      <c r="E495"/>
      <c r="F495"/>
      <c r="G495"/>
      <c r="H495"/>
      <c r="I495"/>
      <c r="N495" t="s">
        <v>120</v>
      </c>
      <c r="O495" s="1088">
        <v>46186</v>
      </c>
      <c r="P495" t="s">
        <v>60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</row>
    <row r="496" spans="1:54">
      <c r="A496"/>
      <c r="B496"/>
      <c r="C496"/>
      <c r="D496"/>
      <c r="E496"/>
      <c r="F496"/>
      <c r="G496"/>
      <c r="H496"/>
      <c r="I496"/>
      <c r="N496" t="s">
        <v>120</v>
      </c>
      <c r="O496" s="1088">
        <v>46361</v>
      </c>
      <c r="P496" t="s">
        <v>45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</row>
    <row r="497" spans="1:54">
      <c r="A497"/>
      <c r="B497"/>
      <c r="C497"/>
      <c r="D497"/>
      <c r="E497"/>
      <c r="F497"/>
      <c r="G497"/>
      <c r="H497"/>
      <c r="I497"/>
      <c r="N497" t="s">
        <v>144</v>
      </c>
      <c r="O497" s="1088">
        <v>45846</v>
      </c>
      <c r="P497" t="s">
        <v>45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</row>
    <row r="498" spans="1:54">
      <c r="A498"/>
      <c r="B498"/>
      <c r="C498"/>
      <c r="D498"/>
      <c r="E498"/>
      <c r="F498"/>
      <c r="G498"/>
      <c r="H498"/>
      <c r="I498"/>
      <c r="N498" t="s">
        <v>144</v>
      </c>
      <c r="O498" s="1088">
        <v>46057</v>
      </c>
      <c r="P498" t="s">
        <v>60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</row>
    <row r="499" spans="1:54">
      <c r="A499"/>
      <c r="B499"/>
      <c r="C499"/>
      <c r="D499"/>
      <c r="E499"/>
      <c r="F499"/>
      <c r="G499"/>
      <c r="H499"/>
      <c r="I499"/>
      <c r="N499" t="s">
        <v>144</v>
      </c>
      <c r="O499" s="1088">
        <v>46225</v>
      </c>
      <c r="P499" t="s">
        <v>45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</row>
    <row r="500" spans="1:54">
      <c r="A500"/>
      <c r="B500"/>
      <c r="C500"/>
      <c r="D500"/>
      <c r="E500"/>
      <c r="F500"/>
      <c r="G500"/>
      <c r="H500"/>
      <c r="I500"/>
      <c r="N500" t="s">
        <v>144</v>
      </c>
      <c r="O500" s="1088">
        <v>46426</v>
      </c>
      <c r="P500" t="s">
        <v>60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</row>
    <row r="501" spans="1:54">
      <c r="A501"/>
      <c r="B501"/>
      <c r="C501"/>
      <c r="D501"/>
      <c r="E501"/>
      <c r="F501"/>
      <c r="G501"/>
      <c r="H501"/>
      <c r="I501"/>
      <c r="N501" t="s">
        <v>144</v>
      </c>
      <c r="O501" s="1088">
        <v>46601</v>
      </c>
      <c r="P501" t="s">
        <v>45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</row>
    <row r="502" spans="1:54">
      <c r="A502"/>
      <c r="B502"/>
      <c r="C502"/>
      <c r="D502"/>
      <c r="E502"/>
      <c r="F502"/>
      <c r="G502"/>
      <c r="H502"/>
      <c r="I502"/>
      <c r="N502" t="s">
        <v>129</v>
      </c>
      <c r="O502" s="1088">
        <v>45828</v>
      </c>
      <c r="P502" t="s">
        <v>20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</row>
    <row r="503" spans="1:54">
      <c r="A503"/>
      <c r="B503"/>
      <c r="C503"/>
      <c r="D503"/>
      <c r="E503"/>
      <c r="F503"/>
      <c r="G503"/>
      <c r="H503"/>
      <c r="I503"/>
      <c r="N503" t="s">
        <v>129</v>
      </c>
      <c r="O503" s="1088">
        <v>45982</v>
      </c>
      <c r="P503" t="s">
        <v>45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</row>
    <row r="504" spans="1:54">
      <c r="A504"/>
      <c r="B504"/>
      <c r="C504"/>
      <c r="D504"/>
      <c r="E504"/>
      <c r="F504"/>
      <c r="G504"/>
      <c r="H504"/>
      <c r="I504"/>
      <c r="N504" t="s">
        <v>129</v>
      </c>
      <c r="O504" s="1088">
        <v>46186</v>
      </c>
      <c r="P504" t="s">
        <v>60</v>
      </c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</row>
    <row r="505" spans="1:54">
      <c r="A505"/>
      <c r="B505"/>
      <c r="C505"/>
      <c r="D505"/>
      <c r="E505"/>
      <c r="F505"/>
      <c r="G505"/>
      <c r="H505"/>
      <c r="I505"/>
      <c r="N505" t="s">
        <v>129</v>
      </c>
      <c r="O505" s="1088">
        <v>46361</v>
      </c>
      <c r="P505" t="s">
        <v>20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</row>
    <row r="506" spans="1:54">
      <c r="A506"/>
      <c r="B506"/>
      <c r="C506"/>
      <c r="D506"/>
      <c r="E506"/>
      <c r="F506"/>
      <c r="G506"/>
      <c r="H506"/>
      <c r="I506"/>
      <c r="N506" t="s">
        <v>129</v>
      </c>
      <c r="O506" s="1088">
        <v>46732</v>
      </c>
      <c r="P506" t="s">
        <v>60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</row>
    <row r="507" spans="1:54">
      <c r="A507"/>
      <c r="B507"/>
      <c r="C507"/>
      <c r="D507"/>
      <c r="E507"/>
      <c r="F507"/>
      <c r="G507"/>
      <c r="H507"/>
      <c r="I507"/>
      <c r="N507" t="s">
        <v>129</v>
      </c>
      <c r="O507" s="1088">
        <v>46530</v>
      </c>
      <c r="P507" t="s">
        <v>45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</row>
    <row r="508" spans="1:54">
      <c r="A508"/>
      <c r="B508"/>
      <c r="C508"/>
      <c r="D508"/>
      <c r="E508"/>
      <c r="F508"/>
      <c r="G508"/>
      <c r="H508"/>
      <c r="I508"/>
      <c r="N508" t="s">
        <v>157</v>
      </c>
      <c r="O508" s="1088">
        <v>46038</v>
      </c>
      <c r="P508" t="s">
        <v>45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</row>
    <row r="509" spans="1:54">
      <c r="A509"/>
      <c r="B509"/>
      <c r="C509"/>
      <c r="D509"/>
      <c r="E509"/>
      <c r="F509"/>
      <c r="G509"/>
      <c r="H509"/>
      <c r="I509"/>
      <c r="N509" t="s">
        <v>157</v>
      </c>
      <c r="O509" s="1088">
        <v>46579</v>
      </c>
      <c r="P509" t="s">
        <v>60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</row>
    <row r="510" spans="1:54">
      <c r="A510"/>
      <c r="B510"/>
      <c r="C510"/>
      <c r="D510"/>
      <c r="E510"/>
      <c r="F510"/>
      <c r="G510"/>
      <c r="H510"/>
      <c r="I510"/>
      <c r="N510" t="s">
        <v>157</v>
      </c>
      <c r="O510" s="1088">
        <v>46239</v>
      </c>
      <c r="P510" t="s">
        <v>60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</row>
    <row r="511" spans="1:54">
      <c r="A511"/>
      <c r="B511"/>
      <c r="C511"/>
      <c r="D511"/>
      <c r="E511"/>
      <c r="F511"/>
      <c r="G511"/>
      <c r="H511"/>
      <c r="I511"/>
      <c r="N511" t="s">
        <v>157</v>
      </c>
      <c r="O511" s="1088">
        <v>46407</v>
      </c>
      <c r="P511" t="s">
        <v>20</v>
      </c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</row>
    <row r="512" spans="1:54">
      <c r="A512"/>
      <c r="B512"/>
      <c r="C512"/>
      <c r="D512"/>
      <c r="E512"/>
      <c r="F512"/>
      <c r="G512"/>
      <c r="H512"/>
      <c r="I512"/>
      <c r="N512" t="s">
        <v>157</v>
      </c>
      <c r="O512" s="1088">
        <v>45869</v>
      </c>
      <c r="P512" t="s">
        <v>60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</row>
    <row r="513" spans="1:54">
      <c r="A513"/>
      <c r="B513"/>
      <c r="C513"/>
      <c r="D513"/>
      <c r="E513"/>
      <c r="F513"/>
      <c r="G513"/>
      <c r="H513"/>
      <c r="I513"/>
      <c r="N513" t="s">
        <v>44</v>
      </c>
      <c r="O513" s="1088">
        <v>45724</v>
      </c>
      <c r="P513" t="s">
        <v>45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</row>
    <row r="514" spans="1:54">
      <c r="A514"/>
      <c r="B514"/>
      <c r="C514"/>
      <c r="D514"/>
      <c r="E514"/>
      <c r="F514"/>
      <c r="G514"/>
      <c r="H514"/>
      <c r="I514"/>
      <c r="N514" t="s">
        <v>44</v>
      </c>
      <c r="O514" s="1088">
        <v>45931</v>
      </c>
      <c r="P514" t="s">
        <v>60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</row>
    <row r="515" spans="1:54">
      <c r="A515"/>
      <c r="B515"/>
      <c r="C515"/>
      <c r="D515"/>
      <c r="E515"/>
      <c r="F515"/>
      <c r="G515"/>
      <c r="H515"/>
      <c r="I515"/>
      <c r="N515" t="s">
        <v>44</v>
      </c>
      <c r="O515" s="1088">
        <v>46101</v>
      </c>
      <c r="P515" t="s">
        <v>45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</row>
    <row r="516" spans="1:54">
      <c r="A516"/>
      <c r="B516"/>
      <c r="C516"/>
      <c r="D516"/>
      <c r="E516"/>
      <c r="F516"/>
      <c r="G516"/>
      <c r="H516"/>
      <c r="I516"/>
      <c r="N516" t="s">
        <v>44</v>
      </c>
      <c r="O516" s="1088">
        <v>46673</v>
      </c>
      <c r="P516" t="s">
        <v>60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</row>
    <row r="517" spans="1:54">
      <c r="A517"/>
      <c r="B517"/>
      <c r="C517"/>
      <c r="D517"/>
      <c r="E517"/>
      <c r="F517"/>
      <c r="G517"/>
      <c r="H517"/>
      <c r="I517"/>
      <c r="N517" t="s">
        <v>44</v>
      </c>
      <c r="O517" s="1088">
        <v>46310</v>
      </c>
      <c r="P517" t="s">
        <v>60</v>
      </c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</row>
    <row r="518" spans="1:54">
      <c r="A518"/>
      <c r="B518"/>
      <c r="C518"/>
      <c r="D518"/>
      <c r="E518"/>
      <c r="F518"/>
      <c r="G518"/>
      <c r="H518"/>
      <c r="I518"/>
      <c r="N518" t="s">
        <v>44</v>
      </c>
      <c r="O518" s="1088">
        <v>46477</v>
      </c>
      <c r="P518" t="s">
        <v>45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</row>
    <row r="519" spans="1:54">
      <c r="A519"/>
      <c r="B519"/>
      <c r="C519"/>
      <c r="D519"/>
      <c r="E519"/>
      <c r="F519"/>
      <c r="G519"/>
      <c r="H519"/>
      <c r="I519"/>
      <c r="N519" t="s">
        <v>75</v>
      </c>
      <c r="O519" s="1088">
        <v>45763</v>
      </c>
      <c r="P519" t="s">
        <v>20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</row>
    <row r="520" spans="1:54">
      <c r="A520"/>
      <c r="B520"/>
      <c r="C520"/>
      <c r="D520"/>
      <c r="E520"/>
      <c r="F520"/>
      <c r="G520"/>
      <c r="H520"/>
      <c r="I520"/>
      <c r="N520" t="s">
        <v>75</v>
      </c>
      <c r="O520" s="1088">
        <v>45948</v>
      </c>
      <c r="P520" t="s">
        <v>45</v>
      </c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</row>
    <row r="521" spans="1:54">
      <c r="A521"/>
      <c r="B521"/>
      <c r="C521"/>
      <c r="D521"/>
      <c r="E521"/>
      <c r="F521"/>
      <c r="G521"/>
      <c r="H521"/>
      <c r="I521"/>
      <c r="N521" t="s">
        <v>75</v>
      </c>
      <c r="O521" s="1088">
        <v>46137</v>
      </c>
      <c r="P521" t="s">
        <v>60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</row>
    <row r="522" spans="1:54">
      <c r="A522"/>
      <c r="B522"/>
      <c r="C522"/>
      <c r="D522"/>
      <c r="E522"/>
      <c r="F522"/>
      <c r="G522"/>
      <c r="H522"/>
      <c r="I522"/>
      <c r="N522" t="s">
        <v>75</v>
      </c>
      <c r="O522" s="1088">
        <v>46323</v>
      </c>
      <c r="P522" t="s">
        <v>45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</row>
    <row r="523" spans="1:54">
      <c r="A523"/>
      <c r="B523"/>
      <c r="C523"/>
      <c r="D523"/>
      <c r="E523"/>
      <c r="F523"/>
      <c r="G523"/>
      <c r="H523"/>
      <c r="I523"/>
      <c r="N523" t="s">
        <v>75</v>
      </c>
      <c r="O523" s="1088">
        <v>46518</v>
      </c>
      <c r="P523" t="s">
        <v>60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</row>
    <row r="524" spans="1:54">
      <c r="A524"/>
      <c r="B524"/>
      <c r="C524"/>
      <c r="D524"/>
      <c r="E524"/>
      <c r="F524"/>
      <c r="G524"/>
      <c r="H524"/>
      <c r="I524"/>
      <c r="N524" t="s">
        <v>75</v>
      </c>
      <c r="O524" s="1088">
        <v>46690</v>
      </c>
      <c r="P524" t="s">
        <v>45</v>
      </c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</row>
    <row r="525" spans="1:54">
      <c r="A525"/>
      <c r="B525"/>
      <c r="C525"/>
      <c r="D525"/>
      <c r="E525"/>
      <c r="F525"/>
      <c r="G525"/>
      <c r="H525"/>
      <c r="I525"/>
      <c r="N525" t="s">
        <v>115</v>
      </c>
      <c r="O525" s="1088">
        <v>45814</v>
      </c>
      <c r="P525" t="s">
        <v>20</v>
      </c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</row>
    <row r="526" spans="1:54">
      <c r="A526"/>
      <c r="B526"/>
      <c r="C526"/>
      <c r="D526"/>
      <c r="E526"/>
      <c r="F526"/>
      <c r="G526"/>
      <c r="H526"/>
      <c r="I526"/>
      <c r="N526" t="s">
        <v>115</v>
      </c>
      <c r="O526" s="1088">
        <v>45821</v>
      </c>
      <c r="P526" t="s">
        <v>20</v>
      </c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</row>
    <row r="527" spans="1:54">
      <c r="A527"/>
      <c r="B527"/>
      <c r="C527"/>
      <c r="D527"/>
      <c r="E527"/>
      <c r="F527"/>
      <c r="G527"/>
      <c r="H527"/>
      <c r="I527"/>
      <c r="N527" t="s">
        <v>115</v>
      </c>
      <c r="O527" s="1088">
        <v>45988</v>
      </c>
      <c r="P527" t="s">
        <v>45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</row>
    <row r="528" spans="1:54">
      <c r="A528"/>
      <c r="B528"/>
      <c r="C528"/>
      <c r="D528"/>
      <c r="E528"/>
      <c r="F528"/>
      <c r="G528"/>
      <c r="H528"/>
      <c r="I528"/>
      <c r="N528" t="s">
        <v>115</v>
      </c>
      <c r="O528" s="1088">
        <v>45996</v>
      </c>
      <c r="P528" t="s">
        <v>45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</row>
    <row r="529" spans="1:54">
      <c r="A529"/>
      <c r="B529"/>
      <c r="C529"/>
      <c r="D529"/>
      <c r="E529"/>
      <c r="F529"/>
      <c r="G529"/>
      <c r="H529"/>
      <c r="I529"/>
      <c r="N529" t="s">
        <v>115</v>
      </c>
      <c r="O529" s="1088">
        <v>46363</v>
      </c>
      <c r="P529" t="s">
        <v>45</v>
      </c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</row>
    <row r="530" spans="1:54">
      <c r="A530"/>
      <c r="B530"/>
      <c r="C530"/>
      <c r="D530"/>
      <c r="E530"/>
      <c r="F530"/>
      <c r="G530"/>
      <c r="H530"/>
      <c r="I530"/>
      <c r="N530" t="s">
        <v>115</v>
      </c>
      <c r="O530" s="1088">
        <v>46560</v>
      </c>
      <c r="P530" t="s">
        <v>60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</row>
    <row r="531" spans="1:54">
      <c r="A531"/>
      <c r="B531"/>
      <c r="C531"/>
      <c r="D531"/>
      <c r="E531"/>
      <c r="F531"/>
      <c r="G531"/>
      <c r="H531"/>
      <c r="I531"/>
      <c r="N531" t="s">
        <v>115</v>
      </c>
      <c r="O531" s="1088">
        <v>46732</v>
      </c>
      <c r="P531" t="s">
        <v>45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</row>
    <row r="532" spans="1:54">
      <c r="A532"/>
      <c r="B532"/>
      <c r="C532"/>
      <c r="D532"/>
      <c r="E532"/>
      <c r="F532"/>
      <c r="G532"/>
      <c r="H532"/>
      <c r="I532"/>
      <c r="N532" t="s">
        <v>115</v>
      </c>
      <c r="O532" s="1088">
        <v>46734</v>
      </c>
      <c r="P532" t="s">
        <v>45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</row>
    <row r="533" spans="1:54">
      <c r="A533"/>
      <c r="B533"/>
      <c r="C533"/>
      <c r="D533"/>
      <c r="E533"/>
      <c r="F533"/>
      <c r="G533"/>
      <c r="H533"/>
      <c r="I533"/>
      <c r="N533" t="s">
        <v>115</v>
      </c>
      <c r="O533" s="1088">
        <v>46192</v>
      </c>
      <c r="P533" t="s">
        <v>60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</row>
    <row r="534" spans="1:54">
      <c r="A534"/>
      <c r="B534"/>
      <c r="C534"/>
      <c r="D534"/>
      <c r="E534"/>
      <c r="F534"/>
      <c r="G534"/>
      <c r="H534"/>
      <c r="I534"/>
      <c r="N534" t="s">
        <v>248</v>
      </c>
      <c r="O534" s="1088">
        <v>46349</v>
      </c>
      <c r="P534" t="s">
        <v>60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</row>
    <row r="535" spans="1:54">
      <c r="A535"/>
      <c r="B535"/>
      <c r="C535"/>
      <c r="D535"/>
      <c r="E535"/>
      <c r="F535"/>
      <c r="G535"/>
      <c r="H535"/>
      <c r="I535"/>
      <c r="N535" t="s">
        <v>248</v>
      </c>
      <c r="O535" s="1088">
        <v>46526</v>
      </c>
      <c r="P535" t="s">
        <v>45</v>
      </c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</row>
    <row r="536" spans="1:54">
      <c r="A536"/>
      <c r="B536"/>
      <c r="C536"/>
      <c r="D536"/>
      <c r="E536"/>
      <c r="F536"/>
      <c r="G536"/>
      <c r="H536"/>
      <c r="I536"/>
      <c r="N536" t="s">
        <v>248</v>
      </c>
      <c r="O536" s="1088">
        <v>46722</v>
      </c>
      <c r="P536" t="s">
        <v>60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</row>
    <row r="537" spans="1:54">
      <c r="A537"/>
      <c r="B537"/>
      <c r="C537"/>
      <c r="D537"/>
      <c r="E537"/>
      <c r="F537"/>
      <c r="G537"/>
      <c r="H537"/>
      <c r="I537"/>
      <c r="N537" t="s">
        <v>248</v>
      </c>
      <c r="O537" s="1088">
        <v>46894</v>
      </c>
      <c r="P537" t="s">
        <v>45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</row>
    <row r="538" spans="1:54">
      <c r="A538"/>
      <c r="B538"/>
      <c r="C538"/>
      <c r="D538"/>
      <c r="E538"/>
      <c r="F538"/>
      <c r="G538"/>
      <c r="H538"/>
      <c r="I538"/>
      <c r="N538" t="s">
        <v>107</v>
      </c>
      <c r="O538" s="1088">
        <v>45807</v>
      </c>
      <c r="P538" t="s">
        <v>45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</row>
    <row r="539" spans="1:54">
      <c r="A539"/>
      <c r="B539"/>
      <c r="C539"/>
      <c r="D539"/>
      <c r="E539"/>
      <c r="F539"/>
      <c r="G539"/>
      <c r="H539"/>
      <c r="I539"/>
      <c r="N539" t="s">
        <v>107</v>
      </c>
      <c r="O539" s="1088">
        <v>45997</v>
      </c>
      <c r="P539" t="s">
        <v>60</v>
      </c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</row>
    <row r="540" spans="1:54">
      <c r="A540"/>
      <c r="B540"/>
      <c r="C540"/>
      <c r="D540"/>
      <c r="E540"/>
      <c r="F540"/>
      <c r="G540"/>
      <c r="H540"/>
      <c r="I540"/>
      <c r="N540" t="s">
        <v>107</v>
      </c>
      <c r="O540" s="1088">
        <v>46175</v>
      </c>
      <c r="P540" t="s">
        <v>20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</row>
    <row r="541" spans="1:54">
      <c r="A541"/>
      <c r="B541"/>
      <c r="C541"/>
      <c r="D541"/>
      <c r="E541"/>
      <c r="F541"/>
      <c r="G541"/>
      <c r="H541"/>
      <c r="I541"/>
      <c r="N541" t="s">
        <v>107</v>
      </c>
      <c r="O541" s="1088">
        <v>46349</v>
      </c>
      <c r="P541" t="s">
        <v>45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</row>
    <row r="542" spans="1:54">
      <c r="A542"/>
      <c r="B542"/>
      <c r="C542"/>
      <c r="D542"/>
      <c r="E542"/>
      <c r="F542"/>
      <c r="G542"/>
      <c r="H542"/>
      <c r="I542"/>
      <c r="N542" t="s">
        <v>107</v>
      </c>
      <c r="O542" s="1088">
        <v>46546</v>
      </c>
      <c r="P542" t="s">
        <v>60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</row>
    <row r="543" spans="1:54">
      <c r="A543"/>
      <c r="B543"/>
      <c r="C543"/>
      <c r="D543"/>
      <c r="E543"/>
      <c r="F543"/>
      <c r="G543"/>
      <c r="H543"/>
      <c r="I543"/>
      <c r="N543" t="s">
        <v>107</v>
      </c>
      <c r="O543" s="1088">
        <v>46713</v>
      </c>
      <c r="P543" t="s">
        <v>45</v>
      </c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</row>
    <row r="544" spans="1:54">
      <c r="A544"/>
      <c r="B544"/>
      <c r="C544"/>
      <c r="D544"/>
      <c r="E544"/>
      <c r="F544"/>
      <c r="G544"/>
      <c r="H544"/>
      <c r="I544"/>
      <c r="N544" t="s">
        <v>47</v>
      </c>
      <c r="O544" s="1088">
        <v>45730</v>
      </c>
      <c r="P544" t="s">
        <v>48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</row>
    <row r="545" spans="1:54">
      <c r="A545"/>
      <c r="B545"/>
      <c r="C545"/>
      <c r="D545"/>
      <c r="E545"/>
      <c r="F545"/>
      <c r="G545"/>
      <c r="H545"/>
      <c r="I545"/>
      <c r="N545" t="s">
        <v>47</v>
      </c>
      <c r="O545" s="1088">
        <v>45904</v>
      </c>
      <c r="P545" t="s">
        <v>45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</row>
    <row r="546" spans="1:54">
      <c r="A546"/>
      <c r="B546"/>
      <c r="C546"/>
      <c r="D546"/>
      <c r="E546"/>
      <c r="F546"/>
      <c r="G546"/>
      <c r="H546"/>
      <c r="I546"/>
      <c r="N546" t="s">
        <v>47</v>
      </c>
      <c r="O546" s="1088">
        <v>46115</v>
      </c>
      <c r="P546" t="s">
        <v>60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</row>
    <row r="547" spans="1:54">
      <c r="A547"/>
      <c r="B547"/>
      <c r="C547"/>
      <c r="D547"/>
      <c r="E547"/>
      <c r="F547"/>
      <c r="G547"/>
      <c r="H547"/>
      <c r="I547"/>
      <c r="N547" t="s">
        <v>47</v>
      </c>
      <c r="O547" s="1088">
        <v>46290</v>
      </c>
      <c r="P547" t="s">
        <v>20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</row>
    <row r="548" spans="1:54">
      <c r="A548"/>
      <c r="B548"/>
      <c r="C548"/>
      <c r="D548"/>
      <c r="E548"/>
      <c r="F548"/>
      <c r="G548"/>
      <c r="H548"/>
      <c r="I548"/>
      <c r="N548" t="s">
        <v>47</v>
      </c>
      <c r="O548" s="1088">
        <v>46459</v>
      </c>
      <c r="P548" t="s">
        <v>45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</row>
    <row r="549" spans="1:54">
      <c r="A549"/>
      <c r="B549"/>
      <c r="C549"/>
      <c r="D549"/>
      <c r="E549"/>
      <c r="F549"/>
      <c r="G549"/>
      <c r="H549"/>
      <c r="I549"/>
      <c r="N549" t="s">
        <v>47</v>
      </c>
      <c r="O549" s="1088">
        <v>46655</v>
      </c>
      <c r="P549" t="s">
        <v>60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</row>
    <row r="550" spans="1:54">
      <c r="A550"/>
      <c r="B550"/>
      <c r="C550"/>
      <c r="D550"/>
      <c r="E550"/>
      <c r="F550"/>
      <c r="G550"/>
      <c r="H550"/>
      <c r="I550"/>
      <c r="N550" t="s">
        <v>243</v>
      </c>
      <c r="O550" s="1088">
        <v>46263</v>
      </c>
      <c r="P550" t="s">
        <v>60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</row>
    <row r="551" spans="1:54">
      <c r="A551"/>
      <c r="B551"/>
      <c r="C551"/>
      <c r="D551"/>
      <c r="E551"/>
      <c r="F551"/>
      <c r="G551"/>
      <c r="H551"/>
      <c r="I551"/>
      <c r="N551" t="s">
        <v>245</v>
      </c>
      <c r="O551" s="1088">
        <v>46292</v>
      </c>
      <c r="P551" t="s">
        <v>45</v>
      </c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</row>
    <row r="552" spans="1:54">
      <c r="A552"/>
      <c r="B552"/>
      <c r="C552"/>
      <c r="D552"/>
      <c r="E552"/>
      <c r="F552"/>
      <c r="G552"/>
      <c r="H552"/>
      <c r="I552"/>
      <c r="N552" t="s">
        <v>255</v>
      </c>
      <c r="O552" s="1088">
        <v>46275</v>
      </c>
      <c r="P552" t="s">
        <v>1678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</row>
    <row r="553" spans="1:54">
      <c r="A553"/>
      <c r="B553"/>
      <c r="C553"/>
      <c r="D553"/>
      <c r="E553"/>
      <c r="F553"/>
      <c r="G553"/>
      <c r="H553"/>
      <c r="I553"/>
      <c r="N553" t="s">
        <v>282</v>
      </c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</row>
    <row r="554" spans="1:54">
      <c r="A554"/>
      <c r="B554"/>
      <c r="C554"/>
      <c r="D554"/>
      <c r="E554"/>
      <c r="F554"/>
      <c r="G554"/>
      <c r="H554"/>
      <c r="I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</row>
    <row r="555" spans="1:54">
      <c r="A555"/>
      <c r="B555"/>
      <c r="C555"/>
      <c r="D555"/>
      <c r="E555"/>
      <c r="F555"/>
      <c r="G555"/>
      <c r="H555"/>
      <c r="I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</row>
    <row r="556" spans="1:54">
      <c r="A556"/>
      <c r="B556"/>
      <c r="C556"/>
      <c r="D556"/>
      <c r="E556"/>
      <c r="F556"/>
      <c r="G556"/>
      <c r="H556"/>
      <c r="I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</row>
    <row r="557" spans="1:54">
      <c r="A557"/>
      <c r="B557"/>
      <c r="C557"/>
      <c r="D557"/>
      <c r="E557"/>
      <c r="F557"/>
      <c r="G557"/>
      <c r="H557"/>
      <c r="I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</row>
    <row r="558" spans="1:54">
      <c r="A558"/>
      <c r="B558"/>
      <c r="C558"/>
      <c r="D558"/>
      <c r="E558"/>
      <c r="F558"/>
      <c r="G558"/>
      <c r="H558"/>
      <c r="I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</row>
    <row r="559" spans="1:54">
      <c r="A559"/>
      <c r="B559"/>
      <c r="C559"/>
      <c r="D559"/>
      <c r="E559"/>
      <c r="F559"/>
      <c r="G559"/>
      <c r="H559"/>
      <c r="I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</row>
    <row r="560" spans="1:54">
      <c r="A560"/>
      <c r="B560"/>
      <c r="C560"/>
      <c r="D560"/>
      <c r="E560"/>
      <c r="F560"/>
      <c r="G560"/>
      <c r="H560"/>
      <c r="I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</row>
    <row r="561" spans="1:54">
      <c r="A561"/>
      <c r="B561"/>
      <c r="C561"/>
      <c r="D561"/>
      <c r="E561"/>
      <c r="F561"/>
      <c r="G561"/>
      <c r="H561"/>
      <c r="I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</row>
    <row r="562" spans="1:54">
      <c r="A562"/>
      <c r="B562"/>
      <c r="C562"/>
      <c r="D562"/>
      <c r="E562"/>
      <c r="F562"/>
      <c r="G562"/>
      <c r="H562"/>
      <c r="I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</row>
    <row r="563" spans="1:54">
      <c r="A563"/>
      <c r="B563"/>
      <c r="C563"/>
      <c r="D563"/>
      <c r="E563"/>
      <c r="F563"/>
      <c r="G563"/>
      <c r="H563"/>
      <c r="I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</row>
    <row r="564" spans="1:54">
      <c r="A564"/>
      <c r="B564"/>
      <c r="C564"/>
      <c r="D564"/>
      <c r="E564"/>
      <c r="F564"/>
      <c r="G564"/>
      <c r="H564"/>
      <c r="I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</row>
    <row r="565" spans="1:54">
      <c r="A565"/>
      <c r="B565"/>
      <c r="C565"/>
      <c r="D565"/>
      <c r="E565"/>
      <c r="F565"/>
      <c r="G565"/>
      <c r="H565"/>
      <c r="I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</row>
    <row r="566" spans="1:54">
      <c r="A566"/>
      <c r="B566"/>
      <c r="C566"/>
      <c r="D566"/>
      <c r="E566"/>
      <c r="F566"/>
      <c r="G566"/>
      <c r="H566"/>
      <c r="I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</row>
    <row r="567" spans="1:54">
      <c r="A567"/>
      <c r="B567"/>
      <c r="C567"/>
      <c r="D567"/>
      <c r="E567"/>
      <c r="F567"/>
      <c r="G567"/>
      <c r="H567"/>
      <c r="I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</row>
    <row r="568" spans="1:54">
      <c r="A568"/>
      <c r="B568"/>
      <c r="C568"/>
      <c r="D568"/>
      <c r="E568"/>
      <c r="F568"/>
      <c r="G568"/>
      <c r="H568"/>
      <c r="I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</row>
    <row r="569" spans="1:54">
      <c r="A569"/>
      <c r="B569"/>
      <c r="C569"/>
      <c r="D569"/>
      <c r="E569"/>
      <c r="F569"/>
      <c r="G569"/>
      <c r="H569"/>
      <c r="I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</row>
    <row r="570" spans="1:54">
      <c r="A570"/>
      <c r="B570"/>
      <c r="C570"/>
      <c r="D570"/>
      <c r="E570"/>
      <c r="F570"/>
      <c r="G570"/>
      <c r="H570"/>
      <c r="I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</row>
    <row r="571" spans="1:54">
      <c r="A571"/>
      <c r="B571"/>
      <c r="C571"/>
      <c r="D571"/>
      <c r="E571"/>
      <c r="F571"/>
      <c r="G571"/>
      <c r="H571"/>
      <c r="I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</row>
    <row r="572" spans="1:54">
      <c r="A572"/>
      <c r="B572"/>
      <c r="C572"/>
      <c r="D572"/>
      <c r="E572"/>
      <c r="F572"/>
      <c r="G572"/>
      <c r="H572"/>
      <c r="I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</row>
    <row r="573" spans="1:54">
      <c r="A573"/>
      <c r="B573"/>
      <c r="C573"/>
      <c r="D573"/>
      <c r="E573"/>
      <c r="F573"/>
      <c r="G573"/>
      <c r="H573"/>
      <c r="I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</row>
    <row r="574" spans="1:54">
      <c r="A574"/>
      <c r="B574"/>
      <c r="C574"/>
      <c r="D574"/>
      <c r="E574"/>
      <c r="F574"/>
      <c r="G574"/>
      <c r="H574"/>
      <c r="I574"/>
      <c r="K574"/>
      <c r="L574"/>
      <c r="M574"/>
      <c r="N574"/>
      <c r="O574"/>
      <c r="P574"/>
      <c r="Q574"/>
      <c r="R574"/>
    </row>
    <row r="575" spans="1:54">
      <c r="A575"/>
      <c r="B575"/>
      <c r="C575"/>
      <c r="D575"/>
      <c r="E575"/>
      <c r="F575"/>
      <c r="G575"/>
      <c r="H575"/>
      <c r="I575"/>
      <c r="K575"/>
      <c r="L575"/>
      <c r="M575"/>
      <c r="N575"/>
      <c r="O575"/>
      <c r="P575"/>
      <c r="Q575"/>
      <c r="R575"/>
    </row>
    <row r="576" spans="1:54">
      <c r="A576"/>
      <c r="B576"/>
      <c r="C576"/>
      <c r="D576"/>
      <c r="E576"/>
      <c r="F576"/>
      <c r="G576"/>
      <c r="H576"/>
      <c r="I576"/>
      <c r="K576"/>
      <c r="L576"/>
      <c r="M576"/>
      <c r="N576"/>
      <c r="O576"/>
      <c r="P576"/>
      <c r="Q576"/>
      <c r="R576"/>
    </row>
    <row r="577" spans="1:18">
      <c r="A577"/>
      <c r="B577"/>
      <c r="C577"/>
      <c r="D577"/>
      <c r="E577"/>
      <c r="F577"/>
      <c r="G577"/>
      <c r="H577"/>
      <c r="I577"/>
      <c r="K577"/>
      <c r="L577"/>
      <c r="M577"/>
      <c r="N577"/>
      <c r="O577"/>
      <c r="P577"/>
      <c r="Q577"/>
      <c r="R577"/>
    </row>
    <row r="578" spans="1:18">
      <c r="A578"/>
      <c r="B578"/>
      <c r="C578"/>
      <c r="D578"/>
      <c r="E578"/>
      <c r="F578"/>
      <c r="G578"/>
      <c r="H578"/>
      <c r="I578"/>
      <c r="K578"/>
      <c r="L578"/>
      <c r="M578"/>
      <c r="N578"/>
      <c r="O578"/>
      <c r="P578"/>
      <c r="Q578"/>
      <c r="R578"/>
    </row>
    <row r="579" spans="1:18">
      <c r="A579"/>
      <c r="B579"/>
      <c r="C579"/>
      <c r="D579"/>
      <c r="E579"/>
      <c r="F579"/>
      <c r="G579"/>
      <c r="K579"/>
      <c r="L579"/>
      <c r="M579"/>
      <c r="N579"/>
      <c r="O579"/>
      <c r="P579"/>
      <c r="Q579"/>
      <c r="R579"/>
    </row>
    <row r="580" spans="1:18">
      <c r="A580"/>
      <c r="B580"/>
      <c r="C580"/>
      <c r="D580"/>
      <c r="E580"/>
      <c r="F580"/>
      <c r="G580"/>
      <c r="K580"/>
      <c r="L580"/>
      <c r="M580"/>
      <c r="N580"/>
      <c r="O580"/>
      <c r="P580"/>
      <c r="Q580"/>
      <c r="R580"/>
    </row>
    <row r="581" spans="1:18">
      <c r="A581"/>
      <c r="B581"/>
      <c r="C581"/>
      <c r="D581"/>
      <c r="E581"/>
      <c r="F581"/>
      <c r="G581"/>
      <c r="K581"/>
      <c r="L581"/>
      <c r="M581"/>
      <c r="N581"/>
      <c r="O581"/>
      <c r="P581"/>
      <c r="Q581"/>
      <c r="R581"/>
    </row>
    <row r="582" spans="1:18">
      <c r="A582"/>
      <c r="B582"/>
      <c r="C582"/>
      <c r="D582"/>
      <c r="E582"/>
      <c r="F582"/>
      <c r="G582"/>
      <c r="K582"/>
      <c r="L582"/>
      <c r="M582"/>
      <c r="N582"/>
      <c r="O582"/>
      <c r="P582"/>
      <c r="Q582"/>
      <c r="R582"/>
    </row>
    <row r="583" spans="1:18">
      <c r="A583"/>
      <c r="B583"/>
      <c r="C583"/>
      <c r="D583"/>
      <c r="E583"/>
      <c r="F583"/>
      <c r="G583"/>
      <c r="K583"/>
      <c r="L583"/>
      <c r="M583"/>
      <c r="N583"/>
      <c r="O583"/>
      <c r="P583"/>
      <c r="Q583"/>
      <c r="R583"/>
    </row>
    <row r="584" spans="1:18">
      <c r="A584"/>
      <c r="B584"/>
      <c r="C584"/>
      <c r="D584"/>
      <c r="E584"/>
      <c r="F584"/>
      <c r="G584"/>
      <c r="K584"/>
      <c r="L584"/>
      <c r="M584"/>
      <c r="N584"/>
      <c r="O584"/>
      <c r="P584"/>
      <c r="Q584"/>
      <c r="R584"/>
    </row>
    <row r="585" spans="1:18">
      <c r="A585"/>
      <c r="B585"/>
      <c r="C585"/>
      <c r="D585"/>
      <c r="E585"/>
      <c r="F585"/>
      <c r="G585"/>
      <c r="K585"/>
      <c r="L585"/>
      <c r="M585"/>
      <c r="N585"/>
      <c r="O585"/>
      <c r="P585"/>
      <c r="Q585"/>
      <c r="R585"/>
    </row>
    <row r="586" spans="1:18">
      <c r="A586"/>
      <c r="B586"/>
      <c r="C586"/>
      <c r="D586"/>
      <c r="E586"/>
      <c r="F586"/>
      <c r="G586"/>
      <c r="K586"/>
      <c r="L586"/>
      <c r="M586"/>
      <c r="N586"/>
      <c r="O586"/>
      <c r="P586"/>
      <c r="Q586"/>
      <c r="R586"/>
    </row>
    <row r="587" spans="1:18">
      <c r="A587"/>
      <c r="B587"/>
      <c r="C587"/>
      <c r="D587"/>
      <c r="E587"/>
      <c r="F587"/>
      <c r="G587"/>
      <c r="K587"/>
      <c r="L587"/>
      <c r="M587"/>
      <c r="N587"/>
      <c r="O587"/>
      <c r="P587"/>
      <c r="Q587"/>
      <c r="R587"/>
    </row>
    <row r="588" spans="1:18">
      <c r="A588"/>
      <c r="B588"/>
      <c r="C588"/>
      <c r="D588"/>
      <c r="E588"/>
      <c r="F588"/>
      <c r="G588"/>
      <c r="K588"/>
      <c r="L588"/>
      <c r="M588"/>
      <c r="N588"/>
      <c r="O588"/>
      <c r="P588"/>
      <c r="Q588"/>
      <c r="R588"/>
    </row>
    <row r="589" spans="1:18">
      <c r="A589"/>
      <c r="B589"/>
      <c r="C589"/>
      <c r="D589"/>
      <c r="E589"/>
      <c r="F589"/>
      <c r="G589"/>
      <c r="K589"/>
      <c r="L589"/>
      <c r="M589"/>
      <c r="N589"/>
      <c r="O589"/>
      <c r="P589"/>
      <c r="Q589"/>
      <c r="R589"/>
    </row>
    <row r="590" spans="1:18">
      <c r="A590"/>
      <c r="B590"/>
      <c r="C590"/>
      <c r="D590"/>
      <c r="E590"/>
      <c r="F590"/>
      <c r="G590"/>
      <c r="K590"/>
      <c r="L590"/>
      <c r="M590"/>
      <c r="N590"/>
      <c r="O590"/>
      <c r="P590"/>
      <c r="Q590"/>
      <c r="R590"/>
    </row>
    <row r="591" spans="1:18">
      <c r="A591"/>
      <c r="B591"/>
      <c r="C591"/>
      <c r="D591"/>
      <c r="E591"/>
      <c r="F591"/>
      <c r="G591"/>
      <c r="K591"/>
      <c r="L591"/>
      <c r="M591"/>
      <c r="N591"/>
      <c r="O591"/>
      <c r="P591"/>
      <c r="Q591"/>
      <c r="R591"/>
    </row>
    <row r="592" spans="1:18">
      <c r="A592"/>
      <c r="B592"/>
      <c r="C592"/>
      <c r="D592"/>
      <c r="E592"/>
      <c r="F592"/>
      <c r="G592"/>
      <c r="K592"/>
      <c r="L592"/>
      <c r="M592"/>
      <c r="N592"/>
      <c r="O592"/>
      <c r="P592"/>
      <c r="Q592"/>
      <c r="R592"/>
    </row>
    <row r="593" spans="1:18">
      <c r="A593"/>
      <c r="B593"/>
      <c r="C593"/>
      <c r="D593"/>
      <c r="E593"/>
      <c r="F593"/>
      <c r="G593"/>
      <c r="K593"/>
      <c r="L593"/>
      <c r="M593"/>
      <c r="N593"/>
      <c r="O593"/>
      <c r="P593"/>
      <c r="Q593"/>
      <c r="R593"/>
    </row>
    <row r="594" spans="1:18">
      <c r="K594"/>
      <c r="L594"/>
      <c r="M594"/>
      <c r="N594"/>
      <c r="O594"/>
      <c r="P594"/>
      <c r="Q594"/>
      <c r="R594"/>
    </row>
    <row r="595" spans="1:18">
      <c r="K595"/>
      <c r="L595"/>
      <c r="M595"/>
      <c r="N595"/>
      <c r="O595"/>
      <c r="P595"/>
      <c r="Q595"/>
      <c r="R595"/>
    </row>
    <row r="596" spans="1:18">
      <c r="K596"/>
      <c r="L596"/>
      <c r="M596"/>
      <c r="N596"/>
      <c r="O596"/>
      <c r="P596"/>
      <c r="Q596"/>
      <c r="R596"/>
    </row>
    <row r="597" spans="1:18">
      <c r="K597"/>
      <c r="L597"/>
      <c r="M597"/>
      <c r="N597"/>
      <c r="O597"/>
      <c r="P597"/>
      <c r="Q597"/>
      <c r="R597"/>
    </row>
    <row r="598" spans="1:18">
      <c r="K598"/>
      <c r="L598"/>
      <c r="M598"/>
      <c r="N598"/>
      <c r="O598"/>
      <c r="P598"/>
      <c r="Q598"/>
      <c r="R598"/>
    </row>
    <row r="599" spans="1:18">
      <c r="K599"/>
      <c r="L599"/>
      <c r="M599"/>
      <c r="N599"/>
      <c r="O599"/>
      <c r="P599"/>
      <c r="Q599"/>
      <c r="R599"/>
    </row>
    <row r="600" spans="1:18">
      <c r="K600"/>
      <c r="L600"/>
      <c r="M600"/>
      <c r="N600"/>
      <c r="O600"/>
      <c r="P600"/>
      <c r="Q600"/>
      <c r="R600"/>
    </row>
    <row r="601" spans="1:18">
      <c r="K601"/>
      <c r="L601"/>
      <c r="M601"/>
      <c r="N601"/>
      <c r="O601"/>
      <c r="P601"/>
      <c r="Q601"/>
      <c r="R601"/>
    </row>
    <row r="602" spans="1:18">
      <c r="K602"/>
      <c r="L602"/>
      <c r="M602"/>
      <c r="N602"/>
      <c r="O602"/>
      <c r="P602"/>
      <c r="Q602"/>
      <c r="R602"/>
    </row>
    <row r="603" spans="1:18">
      <c r="K603"/>
      <c r="L603"/>
      <c r="M603"/>
      <c r="N603"/>
      <c r="O603"/>
      <c r="P603"/>
      <c r="Q603"/>
      <c r="R603"/>
    </row>
    <row r="604" spans="1:18">
      <c r="K604"/>
      <c r="L604"/>
      <c r="M604"/>
      <c r="N604"/>
      <c r="O604"/>
      <c r="P604"/>
      <c r="Q604"/>
      <c r="R604"/>
    </row>
    <row r="605" spans="1:18">
      <c r="K605"/>
      <c r="L605"/>
      <c r="M605"/>
      <c r="N605"/>
      <c r="O605"/>
      <c r="P605"/>
      <c r="Q605"/>
      <c r="R605"/>
    </row>
    <row r="606" spans="1:18">
      <c r="K606"/>
      <c r="L606"/>
      <c r="M606"/>
      <c r="N606"/>
      <c r="O606"/>
      <c r="P606"/>
      <c r="Q606"/>
      <c r="R606"/>
    </row>
    <row r="607" spans="1:18">
      <c r="K607"/>
      <c r="L607"/>
      <c r="M607"/>
      <c r="N607"/>
      <c r="O607"/>
      <c r="P607"/>
      <c r="Q607"/>
      <c r="R607"/>
    </row>
    <row r="608" spans="1:18">
      <c r="K608"/>
      <c r="L608"/>
      <c r="M608"/>
      <c r="N608"/>
      <c r="O608"/>
      <c r="P608"/>
      <c r="Q608"/>
      <c r="R608"/>
    </row>
    <row r="609" spans="11:18">
      <c r="K609"/>
      <c r="L609"/>
      <c r="M609"/>
      <c r="N609"/>
      <c r="O609"/>
      <c r="P609"/>
      <c r="Q609"/>
      <c r="R609"/>
    </row>
    <row r="610" spans="11:18">
      <c r="K610"/>
      <c r="L610"/>
      <c r="M610"/>
      <c r="N610"/>
      <c r="O610"/>
      <c r="P610"/>
      <c r="Q610"/>
      <c r="R610"/>
    </row>
    <row r="611" spans="11:18">
      <c r="K611"/>
      <c r="L611"/>
      <c r="M611"/>
      <c r="N611"/>
      <c r="O611"/>
      <c r="P611"/>
      <c r="Q611"/>
      <c r="R611"/>
    </row>
    <row r="612" spans="11:18">
      <c r="K612"/>
      <c r="L612"/>
      <c r="M612"/>
      <c r="N612"/>
      <c r="O612"/>
      <c r="P612"/>
      <c r="Q612"/>
      <c r="R612"/>
    </row>
    <row r="613" spans="11:18">
      <c r="K613"/>
      <c r="L613"/>
      <c r="M613"/>
    </row>
    <row r="614" spans="11:18">
      <c r="K614"/>
      <c r="L614"/>
      <c r="M614"/>
    </row>
    <row r="615" spans="11:18">
      <c r="K615"/>
      <c r="L615"/>
      <c r="M615"/>
    </row>
    <row r="616" spans="11:18">
      <c r="K616"/>
      <c r="L616"/>
      <c r="M616"/>
    </row>
    <row r="617" spans="11:18">
      <c r="K617"/>
      <c r="L617"/>
      <c r="M617"/>
    </row>
    <row r="618" spans="11:18">
      <c r="K618"/>
      <c r="L618"/>
      <c r="M618"/>
    </row>
    <row r="619" spans="11:18">
      <c r="K619"/>
      <c r="L619"/>
      <c r="M619"/>
    </row>
    <row r="620" spans="11:18">
      <c r="K620"/>
      <c r="L620"/>
      <c r="M620"/>
    </row>
    <row r="621" spans="11:18">
      <c r="K621"/>
      <c r="L621"/>
      <c r="M621"/>
    </row>
    <row r="622" spans="11:18">
      <c r="K622"/>
      <c r="L622"/>
      <c r="M622"/>
    </row>
    <row r="623" spans="11:18">
      <c r="K623"/>
      <c r="L623"/>
      <c r="M623"/>
    </row>
    <row r="624" spans="11:18">
      <c r="K624"/>
      <c r="L624"/>
      <c r="M624"/>
    </row>
    <row r="625" spans="11:13">
      <c r="K625"/>
      <c r="L625"/>
      <c r="M625"/>
    </row>
    <row r="626" spans="11:13">
      <c r="K626"/>
      <c r="L626"/>
      <c r="M626"/>
    </row>
    <row r="627" spans="11:13">
      <c r="K627"/>
      <c r="L627"/>
      <c r="M627"/>
    </row>
    <row r="628" spans="11:13">
      <c r="K628"/>
      <c r="L628"/>
      <c r="M628"/>
    </row>
    <row r="629" spans="11:13">
      <c r="K629"/>
      <c r="L629"/>
      <c r="M629"/>
    </row>
    <row r="630" spans="11:13">
      <c r="K630"/>
      <c r="L630"/>
      <c r="M630"/>
    </row>
    <row r="631" spans="11:13">
      <c r="K631"/>
      <c r="L631"/>
      <c r="M631"/>
    </row>
    <row r="632" spans="11:13">
      <c r="K632"/>
      <c r="L632"/>
      <c r="M632"/>
    </row>
    <row r="633" spans="11:13">
      <c r="K633"/>
      <c r="L633"/>
      <c r="M633"/>
    </row>
    <row r="634" spans="11:13">
      <c r="K634"/>
      <c r="L634"/>
      <c r="M634"/>
    </row>
    <row r="635" spans="11:13">
      <c r="K635"/>
      <c r="L635"/>
      <c r="M635"/>
    </row>
    <row r="636" spans="11:13">
      <c r="K636"/>
      <c r="L636"/>
      <c r="M636"/>
    </row>
    <row r="637" spans="11:13">
      <c r="K637"/>
      <c r="L637"/>
      <c r="M637"/>
    </row>
    <row r="638" spans="11:13">
      <c r="K638"/>
      <c r="L638"/>
      <c r="M638"/>
    </row>
    <row r="639" spans="11:13">
      <c r="K639"/>
      <c r="L639"/>
      <c r="M639"/>
    </row>
    <row r="640" spans="11:13">
      <c r="K640"/>
      <c r="L640"/>
      <c r="M640"/>
    </row>
    <row r="641" spans="11:13">
      <c r="K641"/>
      <c r="L641"/>
      <c r="M641"/>
    </row>
    <row r="642" spans="11:13">
      <c r="K642"/>
      <c r="L642"/>
      <c r="M642"/>
    </row>
    <row r="643" spans="11:13">
      <c r="K643"/>
      <c r="L643"/>
      <c r="M643"/>
    </row>
    <row r="644" spans="11:13">
      <c r="K644"/>
      <c r="L644"/>
      <c r="M644"/>
    </row>
    <row r="645" spans="11:13">
      <c r="K645"/>
      <c r="L645"/>
      <c r="M645"/>
    </row>
    <row r="646" spans="11:13">
      <c r="K646"/>
      <c r="L646"/>
      <c r="M646"/>
    </row>
    <row r="647" spans="11:13">
      <c r="K647"/>
      <c r="L647"/>
      <c r="M647"/>
    </row>
    <row r="648" spans="11:13">
      <c r="K648"/>
      <c r="L648"/>
      <c r="M648"/>
    </row>
    <row r="649" spans="11:13">
      <c r="K649"/>
      <c r="L649"/>
      <c r="M649"/>
    </row>
    <row r="650" spans="11:13">
      <c r="K650"/>
      <c r="L650"/>
      <c r="M650"/>
    </row>
    <row r="651" spans="11:13">
      <c r="K651"/>
      <c r="L651"/>
      <c r="M651"/>
    </row>
    <row r="652" spans="11:13">
      <c r="K652"/>
      <c r="L652"/>
      <c r="M652"/>
    </row>
    <row r="653" spans="11:13">
      <c r="K653"/>
      <c r="L653"/>
      <c r="M653"/>
    </row>
    <row r="654" spans="11:13">
      <c r="K654"/>
      <c r="L654"/>
      <c r="M654"/>
    </row>
    <row r="655" spans="11:13">
      <c r="K655"/>
      <c r="L655"/>
      <c r="M655"/>
    </row>
    <row r="656" spans="11:13">
      <c r="K656"/>
      <c r="L656"/>
      <c r="M656"/>
    </row>
    <row r="657" spans="11:13">
      <c r="K657"/>
      <c r="L657"/>
      <c r="M657"/>
    </row>
    <row r="658" spans="11:13">
      <c r="K658"/>
      <c r="L658"/>
      <c r="M658"/>
    </row>
    <row r="659" spans="11:13">
      <c r="K659"/>
      <c r="L659"/>
      <c r="M659"/>
    </row>
    <row r="660" spans="11:13">
      <c r="K660"/>
      <c r="L660"/>
      <c r="M660"/>
    </row>
    <row r="661" spans="11:13">
      <c r="K661"/>
      <c r="L661"/>
      <c r="M661"/>
    </row>
    <row r="662" spans="11:13">
      <c r="K662"/>
      <c r="L662"/>
      <c r="M662"/>
    </row>
    <row r="663" spans="11:13">
      <c r="K663"/>
      <c r="L663"/>
      <c r="M663"/>
    </row>
    <row r="664" spans="11:13">
      <c r="K664"/>
      <c r="L664"/>
      <c r="M664"/>
    </row>
    <row r="665" spans="11:13">
      <c r="K665"/>
      <c r="L665"/>
      <c r="M665"/>
    </row>
    <row r="666" spans="11:13">
      <c r="K666"/>
      <c r="L666"/>
      <c r="M666"/>
    </row>
    <row r="667" spans="11:13">
      <c r="K667"/>
      <c r="L667"/>
      <c r="M667"/>
    </row>
    <row r="668" spans="11:13">
      <c r="K668"/>
      <c r="L668"/>
      <c r="M668"/>
    </row>
    <row r="669" spans="11:13">
      <c r="K669"/>
      <c r="L669"/>
      <c r="M669"/>
    </row>
    <row r="670" spans="11:13">
      <c r="K670"/>
      <c r="L670"/>
      <c r="M670"/>
    </row>
    <row r="671" spans="11:13">
      <c r="K671"/>
      <c r="L671"/>
      <c r="M671"/>
    </row>
    <row r="672" spans="11:13">
      <c r="K672"/>
      <c r="L672"/>
      <c r="M672"/>
    </row>
    <row r="673" spans="11:13">
      <c r="K673"/>
      <c r="L673"/>
      <c r="M673"/>
    </row>
    <row r="674" spans="11:13">
      <c r="K674"/>
      <c r="L674"/>
      <c r="M674"/>
    </row>
    <row r="675" spans="11:13">
      <c r="K675"/>
      <c r="L675"/>
      <c r="M675"/>
    </row>
    <row r="676" spans="11:13">
      <c r="K676"/>
      <c r="L676"/>
      <c r="M676"/>
    </row>
    <row r="677" spans="11:13">
      <c r="K677"/>
      <c r="L677"/>
      <c r="M677"/>
    </row>
    <row r="678" spans="11:13">
      <c r="K678"/>
      <c r="L678"/>
      <c r="M678"/>
    </row>
    <row r="679" spans="11:13">
      <c r="K679"/>
      <c r="L679"/>
      <c r="M679"/>
    </row>
    <row r="680" spans="11:13">
      <c r="K680"/>
      <c r="L680"/>
      <c r="M680"/>
    </row>
    <row r="681" spans="11:13">
      <c r="K681"/>
      <c r="L681"/>
      <c r="M681"/>
    </row>
    <row r="682" spans="11:13">
      <c r="K682"/>
      <c r="L682"/>
      <c r="M682"/>
    </row>
    <row r="683" spans="11:13">
      <c r="K683"/>
      <c r="L683"/>
      <c r="M683"/>
    </row>
    <row r="684" spans="11:13">
      <c r="K684"/>
      <c r="L684"/>
      <c r="M684"/>
    </row>
    <row r="685" spans="11:13">
      <c r="K685"/>
      <c r="L685"/>
      <c r="M685"/>
    </row>
    <row r="686" spans="11:13">
      <c r="K686"/>
      <c r="L686"/>
      <c r="M686"/>
    </row>
    <row r="687" spans="11:13">
      <c r="K687"/>
      <c r="L687"/>
      <c r="M687"/>
    </row>
    <row r="688" spans="11:13">
      <c r="K688"/>
      <c r="L688"/>
      <c r="M688"/>
    </row>
    <row r="689" spans="11:13">
      <c r="K689"/>
      <c r="L689"/>
      <c r="M689"/>
    </row>
    <row r="690" spans="11:13">
      <c r="K690"/>
      <c r="L690"/>
      <c r="M690"/>
    </row>
    <row r="691" spans="11:13">
      <c r="K691"/>
      <c r="L691"/>
      <c r="M691"/>
    </row>
    <row r="692" spans="11:13">
      <c r="K692"/>
      <c r="L692"/>
      <c r="M692"/>
    </row>
    <row r="693" spans="11:13">
      <c r="K693"/>
      <c r="L693"/>
      <c r="M693"/>
    </row>
    <row r="694" spans="11:13">
      <c r="K694"/>
      <c r="L694"/>
      <c r="M694"/>
    </row>
    <row r="695" spans="11:13">
      <c r="K695"/>
      <c r="L695"/>
      <c r="M695"/>
    </row>
    <row r="696" spans="11:13">
      <c r="K696"/>
      <c r="L696"/>
      <c r="M696"/>
    </row>
    <row r="697" spans="11:13">
      <c r="K697"/>
      <c r="L697"/>
      <c r="M697"/>
    </row>
    <row r="698" spans="11:13">
      <c r="K698"/>
      <c r="L698"/>
      <c r="M698"/>
    </row>
    <row r="699" spans="11:13">
      <c r="K699"/>
      <c r="L699"/>
      <c r="M699"/>
    </row>
    <row r="700" spans="11:13">
      <c r="K700"/>
      <c r="L700"/>
      <c r="M700"/>
    </row>
    <row r="701" spans="11:13">
      <c r="K701"/>
      <c r="L701"/>
      <c r="M701"/>
    </row>
    <row r="702" spans="11:13">
      <c r="K702"/>
      <c r="L702"/>
      <c r="M702"/>
    </row>
    <row r="703" spans="11:13">
      <c r="K703"/>
      <c r="L703"/>
      <c r="M703"/>
    </row>
    <row r="704" spans="11:13">
      <c r="K704"/>
      <c r="L704"/>
      <c r="M704"/>
    </row>
    <row r="705" spans="11:13">
      <c r="K705"/>
      <c r="L705"/>
      <c r="M705"/>
    </row>
    <row r="706" spans="11:13">
      <c r="K706"/>
      <c r="L706"/>
      <c r="M706"/>
    </row>
    <row r="707" spans="11:13">
      <c r="K707"/>
      <c r="L707"/>
      <c r="M707"/>
    </row>
    <row r="708" spans="11:13">
      <c r="K708"/>
      <c r="L708"/>
      <c r="M708"/>
    </row>
    <row r="709" spans="11:13">
      <c r="K709"/>
      <c r="L709"/>
      <c r="M709"/>
    </row>
    <row r="710" spans="11:13">
      <c r="K710"/>
      <c r="L710"/>
      <c r="M710"/>
    </row>
    <row r="711" spans="11:13">
      <c r="K711"/>
      <c r="L711"/>
      <c r="M711"/>
    </row>
    <row r="712" spans="11:13">
      <c r="K712"/>
      <c r="L712"/>
      <c r="M712"/>
    </row>
    <row r="713" spans="11:13">
      <c r="K713"/>
      <c r="L713"/>
      <c r="M713"/>
    </row>
    <row r="714" spans="11:13">
      <c r="K714"/>
      <c r="L714"/>
      <c r="M714"/>
    </row>
    <row r="715" spans="11:13">
      <c r="K715"/>
      <c r="L715"/>
      <c r="M715"/>
    </row>
    <row r="716" spans="11:13">
      <c r="K716"/>
      <c r="L716"/>
      <c r="M716"/>
    </row>
    <row r="717" spans="11:13">
      <c r="K717"/>
      <c r="L717"/>
      <c r="M717"/>
    </row>
    <row r="718" spans="11:13">
      <c r="K718"/>
      <c r="L718"/>
      <c r="M718"/>
    </row>
    <row r="719" spans="11:13">
      <c r="K719"/>
      <c r="L719"/>
      <c r="M719"/>
    </row>
    <row r="720" spans="11:13">
      <c r="K720"/>
      <c r="L720"/>
      <c r="M720"/>
    </row>
    <row r="721" spans="11:13">
      <c r="K721"/>
      <c r="L721"/>
      <c r="M721"/>
    </row>
    <row r="722" spans="11:13">
      <c r="K722"/>
      <c r="L722"/>
      <c r="M722"/>
    </row>
    <row r="723" spans="11:13">
      <c r="K723"/>
      <c r="L723"/>
      <c r="M723"/>
    </row>
    <row r="724" spans="11:13">
      <c r="K724"/>
      <c r="L724"/>
      <c r="M724"/>
    </row>
    <row r="725" spans="11:13">
      <c r="K725"/>
      <c r="L725"/>
      <c r="M725"/>
    </row>
    <row r="726" spans="11:13">
      <c r="K726"/>
      <c r="L726"/>
      <c r="M726"/>
    </row>
    <row r="727" spans="11:13">
      <c r="K727"/>
      <c r="L727"/>
      <c r="M727"/>
    </row>
    <row r="728" spans="11:13">
      <c r="K728"/>
      <c r="L728"/>
      <c r="M728"/>
    </row>
    <row r="729" spans="11:13">
      <c r="K729"/>
      <c r="L729"/>
      <c r="M729"/>
    </row>
    <row r="730" spans="11:13">
      <c r="K730"/>
      <c r="L730"/>
      <c r="M730"/>
    </row>
    <row r="731" spans="11:13">
      <c r="K731"/>
      <c r="L731"/>
      <c r="M731"/>
    </row>
    <row r="732" spans="11:13">
      <c r="K732"/>
      <c r="L732"/>
      <c r="M732"/>
    </row>
    <row r="733" spans="11:13">
      <c r="K733"/>
      <c r="L733"/>
      <c r="M733"/>
    </row>
    <row r="734" spans="11:13">
      <c r="K734"/>
      <c r="L734"/>
      <c r="M734"/>
    </row>
    <row r="735" spans="11:13">
      <c r="K735"/>
      <c r="L735"/>
      <c r="M735"/>
    </row>
    <row r="736" spans="11:13">
      <c r="K736"/>
      <c r="L736"/>
      <c r="M736"/>
    </row>
    <row r="737" spans="11:13">
      <c r="K737"/>
      <c r="L737"/>
      <c r="M737"/>
    </row>
    <row r="738" spans="11:13">
      <c r="K738"/>
      <c r="L738"/>
      <c r="M738"/>
    </row>
    <row r="739" spans="11:13">
      <c r="K739"/>
      <c r="L739"/>
      <c r="M739"/>
    </row>
    <row r="740" spans="11:13">
      <c r="K740"/>
      <c r="L740"/>
      <c r="M740"/>
    </row>
    <row r="741" spans="11:13">
      <c r="K741"/>
      <c r="L741"/>
      <c r="M741"/>
    </row>
    <row r="742" spans="11:13">
      <c r="K742"/>
      <c r="L742"/>
      <c r="M742"/>
    </row>
    <row r="743" spans="11:13">
      <c r="K743"/>
      <c r="L743"/>
      <c r="M743"/>
    </row>
    <row r="744" spans="11:13">
      <c r="K744"/>
      <c r="L744"/>
      <c r="M744"/>
    </row>
    <row r="745" spans="11:13">
      <c r="K745"/>
      <c r="L745"/>
      <c r="M745"/>
    </row>
    <row r="746" spans="11:13">
      <c r="K746"/>
      <c r="L746"/>
      <c r="M746"/>
    </row>
    <row r="747" spans="11:13">
      <c r="K747"/>
      <c r="L747"/>
      <c r="M747"/>
    </row>
    <row r="748" spans="11:13">
      <c r="K748"/>
      <c r="L748"/>
      <c r="M748"/>
    </row>
    <row r="749" spans="11:13">
      <c r="K749"/>
      <c r="L749"/>
      <c r="M749"/>
    </row>
    <row r="750" spans="11:13">
      <c r="K750"/>
      <c r="L750"/>
      <c r="M750"/>
    </row>
    <row r="751" spans="11:13">
      <c r="K751"/>
      <c r="L751"/>
      <c r="M751"/>
    </row>
    <row r="752" spans="11:13">
      <c r="K752"/>
      <c r="L752"/>
      <c r="M752"/>
    </row>
    <row r="753" spans="11:13">
      <c r="K753"/>
      <c r="L753"/>
      <c r="M753"/>
    </row>
    <row r="754" spans="11:13">
      <c r="K754"/>
      <c r="L754"/>
      <c r="M754"/>
    </row>
    <row r="755" spans="11:13">
      <c r="K755"/>
      <c r="L755"/>
      <c r="M755"/>
    </row>
    <row r="756" spans="11:13">
      <c r="K756"/>
      <c r="L756"/>
      <c r="M756"/>
    </row>
    <row r="757" spans="11:13">
      <c r="K757"/>
      <c r="L757"/>
      <c r="M757"/>
    </row>
    <row r="758" spans="11:13">
      <c r="K758"/>
      <c r="L758"/>
      <c r="M758"/>
    </row>
    <row r="759" spans="11:13">
      <c r="K759"/>
      <c r="L759"/>
      <c r="M759"/>
    </row>
    <row r="760" spans="11:13">
      <c r="K760"/>
      <c r="L760"/>
      <c r="M760"/>
    </row>
    <row r="761" spans="11:13">
      <c r="K761"/>
      <c r="L761"/>
      <c r="M761"/>
    </row>
    <row r="762" spans="11:13">
      <c r="K762"/>
      <c r="L762"/>
      <c r="M762"/>
    </row>
    <row r="763" spans="11:13">
      <c r="K763"/>
      <c r="L763"/>
      <c r="M763"/>
    </row>
    <row r="764" spans="11:13">
      <c r="K764"/>
      <c r="L764"/>
      <c r="M764"/>
    </row>
    <row r="765" spans="11:13">
      <c r="K765"/>
      <c r="L765"/>
      <c r="M765"/>
    </row>
    <row r="766" spans="11:13">
      <c r="K766"/>
      <c r="L766"/>
      <c r="M766"/>
    </row>
    <row r="767" spans="11:13">
      <c r="K767"/>
      <c r="L767"/>
      <c r="M767"/>
    </row>
    <row r="768" spans="11:13">
      <c r="K768"/>
      <c r="L768"/>
      <c r="M768"/>
    </row>
    <row r="769" spans="11:13">
      <c r="K769"/>
      <c r="L769"/>
      <c r="M769"/>
    </row>
    <row r="770" spans="11:13">
      <c r="K770"/>
      <c r="L770"/>
      <c r="M770"/>
    </row>
    <row r="771" spans="11:13">
      <c r="K771"/>
      <c r="L771"/>
      <c r="M771"/>
    </row>
    <row r="772" spans="11:13">
      <c r="K772"/>
      <c r="L772"/>
      <c r="M772"/>
    </row>
    <row r="773" spans="11:13">
      <c r="K773"/>
      <c r="L773"/>
      <c r="M773"/>
    </row>
    <row r="774" spans="11:13">
      <c r="K774"/>
      <c r="L774"/>
      <c r="M774"/>
    </row>
    <row r="775" spans="11:13">
      <c r="K775"/>
      <c r="L775"/>
      <c r="M775"/>
    </row>
    <row r="776" spans="11:13">
      <c r="K776"/>
      <c r="L776"/>
      <c r="M776"/>
    </row>
    <row r="777" spans="11:13">
      <c r="K777"/>
      <c r="L777"/>
      <c r="M777"/>
    </row>
    <row r="778" spans="11:13">
      <c r="K778"/>
      <c r="L778"/>
      <c r="M778"/>
    </row>
    <row r="779" spans="11:13">
      <c r="K779"/>
      <c r="L779"/>
      <c r="M779"/>
    </row>
    <row r="780" spans="11:13">
      <c r="K780"/>
      <c r="L780"/>
      <c r="M780"/>
    </row>
    <row r="781" spans="11:13">
      <c r="K781"/>
      <c r="L781"/>
      <c r="M781"/>
    </row>
    <row r="782" spans="11:13">
      <c r="K782"/>
      <c r="L782"/>
      <c r="M782"/>
    </row>
    <row r="783" spans="11:13">
      <c r="K783"/>
      <c r="L783"/>
      <c r="M783"/>
    </row>
    <row r="784" spans="11:13">
      <c r="K784"/>
      <c r="L784"/>
      <c r="M784"/>
    </row>
    <row r="785" spans="11:13">
      <c r="K785"/>
      <c r="L785"/>
      <c r="M785"/>
    </row>
    <row r="786" spans="11:13">
      <c r="K786"/>
      <c r="L786"/>
      <c r="M786"/>
    </row>
    <row r="787" spans="11:13">
      <c r="K787"/>
      <c r="L787"/>
      <c r="M787"/>
    </row>
    <row r="788" spans="11:13">
      <c r="K788"/>
      <c r="L788"/>
      <c r="M788"/>
    </row>
    <row r="789" spans="11:13">
      <c r="K789"/>
      <c r="L789"/>
      <c r="M789"/>
    </row>
    <row r="790" spans="11:13">
      <c r="K790"/>
      <c r="L790"/>
      <c r="M790"/>
    </row>
    <row r="791" spans="11:13">
      <c r="K791"/>
      <c r="L791"/>
      <c r="M791"/>
    </row>
    <row r="792" spans="11:13">
      <c r="K792"/>
      <c r="L792"/>
      <c r="M792"/>
    </row>
    <row r="793" spans="11:13">
      <c r="K793"/>
      <c r="L793"/>
      <c r="M793"/>
    </row>
    <row r="794" spans="11:13">
      <c r="K794"/>
      <c r="L794"/>
      <c r="M794"/>
    </row>
    <row r="795" spans="11:13">
      <c r="K795"/>
      <c r="L795"/>
      <c r="M795"/>
    </row>
    <row r="796" spans="11:13">
      <c r="K796"/>
      <c r="L796"/>
      <c r="M796"/>
    </row>
    <row r="797" spans="11:13">
      <c r="K797"/>
      <c r="L797"/>
      <c r="M797"/>
    </row>
    <row r="798" spans="11:13">
      <c r="K798"/>
      <c r="L798"/>
      <c r="M798"/>
    </row>
    <row r="799" spans="11:13">
      <c r="K799"/>
      <c r="L799"/>
      <c r="M799"/>
    </row>
    <row r="800" spans="11:13">
      <c r="K800"/>
      <c r="L800"/>
      <c r="M800"/>
    </row>
    <row r="801" spans="11:13">
      <c r="K801"/>
      <c r="L801"/>
      <c r="M801"/>
    </row>
    <row r="802" spans="11:13">
      <c r="K802"/>
      <c r="L802"/>
      <c r="M802"/>
    </row>
    <row r="803" spans="11:13">
      <c r="K803"/>
      <c r="L803"/>
      <c r="M803"/>
    </row>
    <row r="804" spans="11:13">
      <c r="K804"/>
      <c r="L804"/>
      <c r="M804"/>
    </row>
    <row r="805" spans="11:13">
      <c r="K805"/>
      <c r="L805"/>
      <c r="M805"/>
    </row>
    <row r="806" spans="11:13">
      <c r="K806"/>
      <c r="L806"/>
      <c r="M806"/>
    </row>
    <row r="807" spans="11:13">
      <c r="K807"/>
      <c r="L807"/>
      <c r="M807"/>
    </row>
    <row r="808" spans="11:13">
      <c r="K808"/>
      <c r="L808"/>
      <c r="M808"/>
    </row>
    <row r="809" spans="11:13">
      <c r="K809"/>
      <c r="L809"/>
      <c r="M809"/>
    </row>
    <row r="810" spans="11:13">
      <c r="K810"/>
      <c r="L810"/>
      <c r="M810"/>
    </row>
    <row r="811" spans="11:13">
      <c r="K811"/>
      <c r="L811"/>
      <c r="M811"/>
    </row>
    <row r="812" spans="11:13">
      <c r="K812"/>
      <c r="L812"/>
      <c r="M812"/>
    </row>
    <row r="813" spans="11:13">
      <c r="K813"/>
      <c r="L813"/>
      <c r="M813"/>
    </row>
    <row r="814" spans="11:13">
      <c r="K814"/>
      <c r="L814"/>
      <c r="M814"/>
    </row>
    <row r="815" spans="11:13">
      <c r="K815"/>
      <c r="L815"/>
      <c r="M815"/>
    </row>
    <row r="816" spans="11:13">
      <c r="K816"/>
      <c r="L816"/>
      <c r="M816"/>
    </row>
    <row r="817" spans="11:13">
      <c r="K817"/>
      <c r="L817"/>
      <c r="M817"/>
    </row>
    <row r="818" spans="11:13">
      <c r="K818"/>
      <c r="L818"/>
      <c r="M818"/>
    </row>
    <row r="819" spans="11:13">
      <c r="K819"/>
      <c r="L819"/>
      <c r="M819"/>
    </row>
    <row r="820" spans="11:13">
      <c r="K820"/>
      <c r="L820"/>
      <c r="M820"/>
    </row>
    <row r="821" spans="11:13">
      <c r="K821"/>
      <c r="L821"/>
      <c r="M821"/>
    </row>
    <row r="822" spans="11:13">
      <c r="K822"/>
      <c r="L822"/>
      <c r="M822"/>
    </row>
    <row r="823" spans="11:13">
      <c r="K823"/>
      <c r="L823"/>
      <c r="M823"/>
    </row>
    <row r="824" spans="11:13">
      <c r="K824"/>
      <c r="L824"/>
      <c r="M824"/>
    </row>
    <row r="825" spans="11:13">
      <c r="K825"/>
      <c r="L825"/>
      <c r="M825"/>
    </row>
    <row r="826" spans="11:13">
      <c r="K826"/>
      <c r="L826"/>
      <c r="M826"/>
    </row>
    <row r="827" spans="11:13">
      <c r="K827"/>
      <c r="L827"/>
      <c r="M827"/>
    </row>
    <row r="828" spans="11:13">
      <c r="K828"/>
      <c r="L828"/>
      <c r="M828"/>
    </row>
    <row r="829" spans="11:13">
      <c r="K829"/>
      <c r="L829"/>
      <c r="M829"/>
    </row>
    <row r="830" spans="11:13">
      <c r="K830"/>
      <c r="L830"/>
      <c r="M830"/>
    </row>
    <row r="831" spans="11:13">
      <c r="K831"/>
      <c r="L831"/>
      <c r="M831"/>
    </row>
    <row r="832" spans="11:13">
      <c r="K832"/>
      <c r="L832"/>
      <c r="M832"/>
    </row>
    <row r="833" spans="11:13">
      <c r="K833"/>
      <c r="L833"/>
      <c r="M833"/>
    </row>
    <row r="834" spans="11:13">
      <c r="K834"/>
      <c r="L834"/>
      <c r="M834"/>
    </row>
    <row r="835" spans="11:13">
      <c r="K835"/>
      <c r="L835"/>
      <c r="M835"/>
    </row>
    <row r="836" spans="11:13">
      <c r="K836"/>
      <c r="L836"/>
      <c r="M836"/>
    </row>
    <row r="837" spans="11:13">
      <c r="K837"/>
      <c r="L837"/>
      <c r="M837"/>
    </row>
    <row r="838" spans="11:13">
      <c r="K838"/>
      <c r="L838"/>
      <c r="M838"/>
    </row>
    <row r="839" spans="11:13">
      <c r="K839"/>
      <c r="L839"/>
      <c r="M839"/>
    </row>
    <row r="840" spans="11:13">
      <c r="K840"/>
      <c r="L840"/>
      <c r="M840"/>
    </row>
    <row r="841" spans="11:13">
      <c r="K841"/>
      <c r="L841"/>
      <c r="M841"/>
    </row>
    <row r="842" spans="11:13">
      <c r="K842"/>
      <c r="L842"/>
      <c r="M842"/>
    </row>
    <row r="843" spans="11:13">
      <c r="K843"/>
      <c r="L843"/>
      <c r="M843"/>
    </row>
    <row r="844" spans="11:13">
      <c r="K844"/>
      <c r="L844"/>
      <c r="M844"/>
    </row>
    <row r="845" spans="11:13">
      <c r="K845"/>
      <c r="L845"/>
      <c r="M845"/>
    </row>
    <row r="846" spans="11:13">
      <c r="K846"/>
      <c r="L846"/>
      <c r="M846"/>
    </row>
    <row r="847" spans="11:13">
      <c r="K847"/>
      <c r="L847"/>
      <c r="M847"/>
    </row>
    <row r="848" spans="11:13">
      <c r="K848"/>
      <c r="L848"/>
      <c r="M848"/>
    </row>
    <row r="849" spans="11:13">
      <c r="K849"/>
      <c r="L849"/>
      <c r="M849"/>
    </row>
    <row r="850" spans="11:13">
      <c r="K850"/>
      <c r="L850"/>
      <c r="M850"/>
    </row>
    <row r="851" spans="11:13">
      <c r="K851"/>
      <c r="L851"/>
      <c r="M851"/>
    </row>
    <row r="852" spans="11:13">
      <c r="K852"/>
      <c r="L852"/>
      <c r="M852"/>
    </row>
    <row r="853" spans="11:13">
      <c r="K853"/>
      <c r="L853"/>
      <c r="M853"/>
    </row>
  </sheetData>
  <sheetProtection formatColumns="0" autoFilter="0" pivotTables="0"/>
  <autoFilter ref="A1:IV314" xr:uid="{8B91D2F3-69DD-49EA-B945-66DC477A5DDA}"/>
  <conditionalFormatting sqref="D344:D345 D352:D355 O457:O570 L571:L1048576 L1:L318">
    <cfRule type="cellIs" dxfId="423" priority="49" operator="equal">
      <formula>"HUBB"</formula>
    </cfRule>
    <cfRule type="cellIs" dxfId="422" priority="53" operator="equal">
      <formula>"ROSS"</formula>
    </cfRule>
    <cfRule type="cellIs" dxfId="421" priority="55" operator="equal">
      <formula>"COBB"</formula>
    </cfRule>
  </conditionalFormatting>
  <conditionalFormatting sqref="D368">
    <cfRule type="cellIs" dxfId="420" priority="36" operator="equal">
      <formula>"HUBB"</formula>
    </cfRule>
    <cfRule type="cellIs" dxfId="419" priority="40" operator="equal">
      <formula>"ROSS"</formula>
    </cfRule>
    <cfRule type="cellIs" dxfId="418" priority="42" operator="equal">
      <formula>"COBB"</formula>
    </cfRule>
  </conditionalFormatting>
  <conditionalFormatting sqref="E344:E345 E352:E355 M1:M318">
    <cfRule type="cellIs" dxfId="417" priority="46" operator="equal">
      <formula>"500 SLOW - MV"</formula>
    </cfRule>
    <cfRule type="cellIs" dxfId="416" priority="47" operator="equal">
      <formula>"500 FAST - MALE"</formula>
    </cfRule>
    <cfRule type="cellIs" dxfId="415" priority="48" operator="equal">
      <formula>"500 SLOW - MX"</formula>
    </cfRule>
    <cfRule type="cellIs" dxfId="414" priority="50" operator="equal">
      <formula>"EFFICIENCY PLUS_M77"</formula>
    </cfRule>
    <cfRule type="cellIs" dxfId="413" priority="51" operator="equal">
      <formula>"AP95 - 344  JBS"</formula>
    </cfRule>
    <cfRule type="cellIs" dxfId="412" priority="52" operator="equal">
      <formula>"500 SLOW - MALE JBS"</formula>
    </cfRule>
    <cfRule type="cellIs" dxfId="411" priority="54" operator="equal">
      <formula>"AP95 - 344"</formula>
    </cfRule>
    <cfRule type="cellIs" dxfId="410" priority="56" operator="equal">
      <formula>"800 SLOW CDP4 - MALE"</formula>
    </cfRule>
    <cfRule type="cellIs" dxfId="409" priority="57" operator="equal">
      <formula>"800 SLOW CDP4 - MX"</formula>
    </cfRule>
    <cfRule type="cellIs" dxfId="408" priority="58" operator="equal">
      <formula>"500 SLOW - MALE"</formula>
    </cfRule>
  </conditionalFormatting>
  <conditionalFormatting sqref="E368:E369">
    <cfRule type="cellIs" dxfId="407" priority="33" operator="equal">
      <formula>"500 SLOW - MV"</formula>
    </cfRule>
    <cfRule type="cellIs" dxfId="406" priority="34" operator="equal">
      <formula>"500 FAST - MALE"</formula>
    </cfRule>
    <cfRule type="cellIs" dxfId="405" priority="35" operator="equal">
      <formula>"500 SLOW - MX"</formula>
    </cfRule>
    <cfRule type="cellIs" dxfId="404" priority="37" operator="equal">
      <formula>"EFFICIENCY PLUS_M77"</formula>
    </cfRule>
    <cfRule type="cellIs" dxfId="403" priority="38" operator="equal">
      <formula>"AP95 - 344  JBS"</formula>
    </cfRule>
    <cfRule type="cellIs" dxfId="402" priority="39" operator="equal">
      <formula>"500 SLOW - MALE JBS"</formula>
    </cfRule>
    <cfRule type="cellIs" dxfId="401" priority="41" operator="equal">
      <formula>"AP95 - 344"</formula>
    </cfRule>
    <cfRule type="cellIs" dxfId="400" priority="43" operator="equal">
      <formula>"800 SLOW CDP4 - MALE"</formula>
    </cfRule>
    <cfRule type="cellIs" dxfId="399" priority="44" operator="equal">
      <formula>"800 SLOW CDP4 - MX"</formula>
    </cfRule>
    <cfRule type="cellIs" dxfId="398" priority="45" operator="equal">
      <formula>"500 SLOW - MALE"</formula>
    </cfRule>
  </conditionalFormatting>
  <conditionalFormatting sqref="D319:D325 D339:D341">
    <cfRule type="cellIs" dxfId="397" priority="62" operator="equal">
      <formula>"HUBB"</formula>
    </cfRule>
    <cfRule type="cellIs" dxfId="396" priority="66" operator="equal">
      <formula>"ROSS"</formula>
    </cfRule>
    <cfRule type="cellIs" dxfId="395" priority="68" operator="equal">
      <formula>"COBB"</formula>
    </cfRule>
  </conditionalFormatting>
  <conditionalFormatting sqref="P327 M613:M1048576 M1:M183 M185:M326">
    <cfRule type="cellIs" dxfId="394" priority="32" operator="equal">
      <formula>"800 SLOW - MX"</formula>
    </cfRule>
  </conditionalFormatting>
  <conditionalFormatting sqref="M1:M183 M185:M1048576">
    <cfRule type="cellIs" dxfId="393" priority="30" operator="equal">
      <formula>"CDP4 SF - MALE"</formula>
    </cfRule>
    <cfRule type="cellIs" dxfId="392" priority="31" operator="equal">
      <formula>"CDP4 SF - MX"</formula>
    </cfRule>
  </conditionalFormatting>
  <conditionalFormatting sqref="E319:E325 E339:E341 M613:M1048576">
    <cfRule type="cellIs" dxfId="391" priority="59" operator="equal">
      <formula>"500 SLOW - MV"</formula>
    </cfRule>
    <cfRule type="cellIs" dxfId="390" priority="60" operator="equal">
      <formula>"500 FAST - MALE"</formula>
    </cfRule>
    <cfRule type="cellIs" dxfId="389" priority="61" operator="equal">
      <formula>"500 SLOW - MX"</formula>
    </cfRule>
    <cfRule type="cellIs" dxfId="388" priority="63" operator="equal">
      <formula>"EFFICIENCY PLUS_M77"</formula>
    </cfRule>
    <cfRule type="cellIs" dxfId="387" priority="64" operator="equal">
      <formula>"AP95 - 344  JBS"</formula>
    </cfRule>
    <cfRule type="cellIs" dxfId="386" priority="65" operator="equal">
      <formula>"500 SLOW - MALE JBS"</formula>
    </cfRule>
    <cfRule type="cellIs" dxfId="385" priority="67" operator="equal">
      <formula>"AP95 - 344"</formula>
    </cfRule>
    <cfRule type="cellIs" dxfId="384" priority="69" operator="equal">
      <formula>"800 SLOW CDP4 - MALE"</formula>
    </cfRule>
    <cfRule type="cellIs" dxfId="383" priority="70" operator="equal">
      <formula>"800 SLOW CDP4 - MX"</formula>
    </cfRule>
    <cfRule type="cellIs" dxfId="382" priority="71" operator="equal">
      <formula>"500 SLOW - MALE"</formula>
    </cfRule>
  </conditionalFormatting>
  <conditionalFormatting sqref="M1:M1048576">
    <cfRule type="cellIs" dxfId="381" priority="2" operator="equal">
      <formula>"800 SLOW - MALE"</formula>
    </cfRule>
  </conditionalFormatting>
  <printOptions horizontalCentered="1"/>
  <pageMargins left="0" right="0" top="0" bottom="0" header="0" footer="0"/>
  <pageSetup paperSize="9" scale="32" fitToHeight="3" orientation="landscape" horizontalDpi="4294967293" verticalDpi="4294967293" r:id="rId6"/>
  <headerFooter>
    <oddFooter>&amp;L&amp;D&amp;T</oddFooter>
  </headerFooter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702B-82EA-4902-969A-50D02F83798C}">
  <sheetPr codeName="Planilha5">
    <tabColor rgb="FF0070C0"/>
    <pageSetUpPr fitToPage="1"/>
  </sheetPr>
  <dimension ref="A1:AG997"/>
  <sheetViews>
    <sheetView showGridLines="0" zoomScale="70" zoomScaleNormal="70" workbookViewId="0">
      <pane ySplit="1" topLeftCell="A35" activePane="bottomLeft" state="frozen"/>
      <selection activeCell="H260" sqref="H260"/>
      <selection pane="bottomLeft" activeCell="G50" sqref="G50"/>
    </sheetView>
  </sheetViews>
  <sheetFormatPr defaultColWidth="14.3984375" defaultRowHeight="15" customHeight="1"/>
  <cols>
    <col min="1" max="1" width="12" style="477" bestFit="1" customWidth="1"/>
    <col min="2" max="2" width="21.69921875" style="477" bestFit="1" customWidth="1"/>
    <col min="3" max="3" width="21.09765625" style="1004" customWidth="1"/>
    <col min="4" max="4" width="11.8984375" style="1004" bestFit="1" customWidth="1"/>
    <col min="5" max="5" width="13.09765625" style="477" bestFit="1" customWidth="1"/>
    <col min="6" max="6" width="12" style="477" bestFit="1" customWidth="1"/>
    <col min="7" max="7" width="21.3984375" style="477" bestFit="1" customWidth="1"/>
    <col min="8" max="8" width="13.09765625" style="1004" bestFit="1" customWidth="1"/>
    <col min="9" max="9" width="12.3984375" style="1004" customWidth="1"/>
    <col min="10" max="10" width="15.3984375" style="477" customWidth="1"/>
    <col min="11" max="11" width="14.3984375" style="477" customWidth="1"/>
    <col min="12" max="12" width="11.3984375" style="477" bestFit="1" customWidth="1"/>
    <col min="13" max="13" width="27.3984375" style="477" bestFit="1" customWidth="1"/>
    <col min="14" max="14" width="22.8984375" style="1004" customWidth="1"/>
    <col min="15" max="15" width="9.69921875" style="477" bestFit="1" customWidth="1"/>
    <col min="16" max="16" width="20" style="477" customWidth="1"/>
    <col min="17" max="17" width="20.69921875" style="477" bestFit="1" customWidth="1"/>
    <col min="18" max="18" width="13.09765625" style="1004" bestFit="1" customWidth="1"/>
    <col min="19" max="19" width="12.69921875" style="1004" bestFit="1" customWidth="1"/>
    <col min="20" max="20" width="18.8984375" style="477" bestFit="1" customWidth="1"/>
    <col min="21" max="21" width="10.296875" style="477" bestFit="1" customWidth="1"/>
    <col min="22" max="22" width="13.3984375" style="477" bestFit="1" customWidth="1"/>
    <col min="23" max="23" width="13.8984375" style="477" bestFit="1" customWidth="1"/>
    <col min="24" max="24" width="23.09765625" style="477" customWidth="1"/>
    <col min="25" max="25" width="7.8984375" style="477" bestFit="1" customWidth="1"/>
    <col min="26" max="26" width="5" style="477" bestFit="1" customWidth="1"/>
    <col min="27" max="27" width="7.8984375" style="477" bestFit="1" customWidth="1"/>
    <col min="28" max="28" width="5" style="477" bestFit="1" customWidth="1"/>
    <col min="29" max="29" width="13.3984375" style="477" bestFit="1" customWidth="1"/>
    <col min="30" max="16384" width="14.3984375" style="477"/>
  </cols>
  <sheetData>
    <row r="1" spans="1:28" s="904" customFormat="1" ht="31.2">
      <c r="A1" s="898" t="s">
        <v>0</v>
      </c>
      <c r="B1" s="899" t="s">
        <v>1</v>
      </c>
      <c r="C1" s="899" t="s">
        <v>2</v>
      </c>
      <c r="D1" s="899" t="s">
        <v>3</v>
      </c>
      <c r="E1" s="797" t="s">
        <v>4</v>
      </c>
      <c r="F1" s="797" t="s">
        <v>5</v>
      </c>
      <c r="G1" s="900" t="s">
        <v>293</v>
      </c>
      <c r="H1" s="797" t="s">
        <v>7</v>
      </c>
      <c r="I1" s="899" t="s">
        <v>8</v>
      </c>
      <c r="J1" s="899" t="s">
        <v>9</v>
      </c>
      <c r="K1" s="899" t="s">
        <v>294</v>
      </c>
      <c r="L1" s="797" t="s">
        <v>11</v>
      </c>
      <c r="M1" s="797" t="s">
        <v>12</v>
      </c>
      <c r="N1" s="899" t="s">
        <v>13</v>
      </c>
      <c r="O1" s="899" t="s">
        <v>3</v>
      </c>
      <c r="P1" s="899" t="s">
        <v>5</v>
      </c>
      <c r="Q1" s="900" t="s">
        <v>295</v>
      </c>
      <c r="R1" s="797" t="s">
        <v>7</v>
      </c>
      <c r="S1" s="901" t="s">
        <v>8</v>
      </c>
      <c r="T1" s="899" t="s">
        <v>14</v>
      </c>
      <c r="U1" s="899" t="s">
        <v>15</v>
      </c>
      <c r="V1" s="902" t="s">
        <v>296</v>
      </c>
      <c r="W1" s="902" t="s">
        <v>16</v>
      </c>
      <c r="X1" s="476"/>
      <c r="Y1" s="903"/>
      <c r="Z1" s="903"/>
      <c r="AA1" s="903"/>
    </row>
    <row r="2" spans="1:28" s="923" customFormat="1" ht="15" customHeight="1">
      <c r="A2" s="924" t="s">
        <v>177</v>
      </c>
      <c r="B2" s="945">
        <v>45660</v>
      </c>
      <c r="C2" s="925">
        <v>45666</v>
      </c>
      <c r="D2" s="926" t="s">
        <v>297</v>
      </c>
      <c r="E2" s="927">
        <f t="shared" ref="E2:E33" ca="1" si="0">IF((TODAY()-C2)/7&gt;U2,U2,(TODAY()-C2)/7)</f>
        <v>61</v>
      </c>
      <c r="F2" s="927" t="str">
        <f>IFERROR(VLOOKUP(G2,Recria[[Granja Recria]:[Emp+CC]],4,0),"")</f>
        <v>39_479</v>
      </c>
      <c r="G2" s="946" t="s">
        <v>298</v>
      </c>
      <c r="H2" s="947" t="str">
        <f>IFERROR(VLOOKUP(G2,Recria[[Granja Recria]:[Núcleo]],2,0),"")</f>
        <v>(N1)</v>
      </c>
      <c r="I2" s="927">
        <v>65000</v>
      </c>
      <c r="J2" s="924" t="s">
        <v>45</v>
      </c>
      <c r="K2" s="924">
        <v>55</v>
      </c>
      <c r="L2" s="803" t="str">
        <f>VLOOKUP(M2,Raca_Linhagem[],2,0)</f>
        <v>ROSS</v>
      </c>
      <c r="M2" s="816" t="s">
        <v>31</v>
      </c>
      <c r="N2" s="925">
        <f t="shared" ref="N2:N27" si="1">C2+(22*7)-7</f>
        <v>45813</v>
      </c>
      <c r="O2" s="924" t="s">
        <v>299</v>
      </c>
      <c r="P2" s="924" t="str">
        <f>IFERROR(VLOOKUP(Q2,Producao[[Granja Produção]:[Emp+CC]],4,0),"")</f>
        <v>18_476</v>
      </c>
      <c r="Q2" s="914" t="s">
        <v>300</v>
      </c>
      <c r="R2" s="913" t="str">
        <f>IFERROR(VLOOKUP(Q2,Producao[[Granja Produção]:[Núcleo]],2,0),"")</f>
        <v>(N1)</v>
      </c>
      <c r="S2" s="927">
        <v>62000</v>
      </c>
      <c r="T2" s="916">
        <f t="shared" ref="T2:T61" si="2">C2+(U2*7)-1</f>
        <v>46092</v>
      </c>
      <c r="U2" s="917">
        <v>61</v>
      </c>
      <c r="V2" s="918">
        <f>N30-T2</f>
        <v>85</v>
      </c>
      <c r="W2" s="919">
        <f t="shared" ref="W2:W27" si="3">IFERROR(T2+V2," ")</f>
        <v>46177</v>
      </c>
      <c r="X2" s="802" t="str">
        <f>VLOOKUP(Q2,Q21:Q54,1,0)</f>
        <v>Pardinho 1 - SP</v>
      </c>
      <c r="Y2" s="920"/>
      <c r="Z2" s="921"/>
      <c r="AA2" s="921"/>
      <c r="AB2" s="922"/>
    </row>
    <row r="3" spans="1:28" s="923" customFormat="1" ht="17.399999999999999">
      <c r="A3" s="905" t="s">
        <v>17</v>
      </c>
      <c r="B3" s="906">
        <v>45686</v>
      </c>
      <c r="C3" s="907">
        <v>45687</v>
      </c>
      <c r="D3" s="908">
        <v>45748</v>
      </c>
      <c r="E3" s="927">
        <f t="shared" ca="1" si="0"/>
        <v>70</v>
      </c>
      <c r="F3" s="909" t="str">
        <f>IFERROR(VLOOKUP(G3,Recria[[Granja Recria]:[Emp+CC]],4,0),"")</f>
        <v>10_1405</v>
      </c>
      <c r="G3" s="910" t="s">
        <v>148</v>
      </c>
      <c r="H3" s="911" t="str">
        <f>IFERROR(VLOOKUP(G3,Recria[[Granja Recria]:[Núcleo]],2,0),"")</f>
        <v>(N1)</v>
      </c>
      <c r="I3" s="909"/>
      <c r="J3" s="905" t="s">
        <v>60</v>
      </c>
      <c r="K3" s="905">
        <v>28</v>
      </c>
      <c r="L3" s="803" t="str">
        <f>VLOOKUP(M3,Raca_Linhagem[],2,0)</f>
        <v>COBB</v>
      </c>
      <c r="M3" s="816" t="s">
        <v>21</v>
      </c>
      <c r="N3" s="912">
        <f t="shared" si="1"/>
        <v>45834</v>
      </c>
      <c r="O3" s="913" t="s">
        <v>301</v>
      </c>
      <c r="P3" s="913" t="str">
        <f>IFERROR(VLOOKUP(Q3,Producao[[Granja Produção]:[Emp+CC]],4,0),"")</f>
        <v>18_473</v>
      </c>
      <c r="Q3" s="914" t="s">
        <v>234</v>
      </c>
      <c r="R3" s="913" t="str">
        <f>IFERROR(VLOOKUP(Q3,Producao[[Granja Produção]:[Núcleo]],2,0),"")</f>
        <v>(N2)</v>
      </c>
      <c r="S3" s="915">
        <v>20000</v>
      </c>
      <c r="T3" s="933">
        <f t="shared" si="2"/>
        <v>46176</v>
      </c>
      <c r="U3" s="934">
        <v>70</v>
      </c>
      <c r="V3" s="935">
        <f>N33-T3</f>
        <v>64</v>
      </c>
      <c r="W3" s="936">
        <f t="shared" si="3"/>
        <v>46240</v>
      </c>
      <c r="X3" s="802" t="str">
        <f>VLOOKUP(Q3,Q22:Q59,1,0)</f>
        <v>Pardinho 2 - SP</v>
      </c>
      <c r="Y3" s="920"/>
      <c r="Z3" s="921"/>
      <c r="AA3" s="921"/>
      <c r="AB3" s="922"/>
    </row>
    <row r="4" spans="1:28" s="923" customFormat="1" ht="15" customHeight="1">
      <c r="A4" s="937" t="s">
        <v>17</v>
      </c>
      <c r="B4" s="938">
        <v>45688</v>
      </c>
      <c r="C4" s="939">
        <v>45701</v>
      </c>
      <c r="D4" s="948" t="s">
        <v>18</v>
      </c>
      <c r="E4" s="927">
        <f t="shared" ca="1" si="0"/>
        <v>69</v>
      </c>
      <c r="F4" s="941" t="str">
        <f>IFERROR(VLOOKUP(G4,Recria[[Granja Recria]:[Emp+CC]],4,0),"")</f>
        <v>10_1295</v>
      </c>
      <c r="G4" s="942" t="s">
        <v>19</v>
      </c>
      <c r="H4" s="943" t="str">
        <f>IFERROR(VLOOKUP(G4,Recria[[Granja Recria]:[Núcleo]],2,0),"")</f>
        <v>(N3)</v>
      </c>
      <c r="I4" s="941"/>
      <c r="J4" s="937" t="s">
        <v>20</v>
      </c>
      <c r="K4" s="937">
        <v>17</v>
      </c>
      <c r="L4" s="803" t="str">
        <f>VLOOKUP(M4,Raca_Linhagem[],2,0)</f>
        <v>COBB</v>
      </c>
      <c r="M4" s="816" t="s">
        <v>21</v>
      </c>
      <c r="N4" s="930">
        <f t="shared" si="1"/>
        <v>45848</v>
      </c>
      <c r="O4" s="460" t="s">
        <v>302</v>
      </c>
      <c r="P4" s="460" t="str">
        <f>IFERROR(VLOOKUP(Q4,Producao[[Granja Produção]:[Emp+CC]],4,0),"")</f>
        <v>126_2244</v>
      </c>
      <c r="Q4" s="461" t="s">
        <v>22</v>
      </c>
      <c r="R4" s="455" t="str">
        <f>IFERROR(VLOOKUP(Q4,Producao[[Granja Produção]:[Núcleo]],2,0),"")</f>
        <v>(N1)</v>
      </c>
      <c r="S4" s="949">
        <v>11000</v>
      </c>
      <c r="T4" s="933">
        <f t="shared" si="2"/>
        <v>46183</v>
      </c>
      <c r="U4" s="934">
        <v>69</v>
      </c>
      <c r="V4" s="935">
        <f>N31-T4</f>
        <v>36</v>
      </c>
      <c r="W4" s="936">
        <f t="shared" si="3"/>
        <v>46219</v>
      </c>
      <c r="X4" s="802" t="str">
        <f>VLOOKUP(Q4,Q23:Q55,1,0)</f>
        <v>Beltrame - SP</v>
      </c>
      <c r="Y4" s="920"/>
      <c r="Z4" s="921"/>
      <c r="AA4" s="921"/>
      <c r="AB4" s="922"/>
    </row>
    <row r="5" spans="1:28" s="923" customFormat="1" ht="15" customHeight="1">
      <c r="A5" s="937" t="s">
        <v>17</v>
      </c>
      <c r="B5" s="938">
        <v>45714</v>
      </c>
      <c r="C5" s="939">
        <v>45715</v>
      </c>
      <c r="D5" s="948" t="s">
        <v>29</v>
      </c>
      <c r="E5" s="927">
        <f t="shared" ca="1" si="0"/>
        <v>67</v>
      </c>
      <c r="F5" s="941" t="str">
        <f>IFERROR(VLOOKUP(G5,Recria[[Granja Recria]:[Emp+CC]],4,0),"")</f>
        <v/>
      </c>
      <c r="G5" s="942" t="s">
        <v>303</v>
      </c>
      <c r="H5" s="943" t="str">
        <f>IFERROR(VLOOKUP(G5,Recria[[Granja Recria]:[Núcleo]],2,0),"")</f>
        <v/>
      </c>
      <c r="I5" s="941"/>
      <c r="J5" s="937" t="s">
        <v>45</v>
      </c>
      <c r="K5" s="937">
        <v>55</v>
      </c>
      <c r="L5" s="803" t="str">
        <f>VLOOKUP(M5,Raca_Linhagem[],2,0)</f>
        <v>ROSS</v>
      </c>
      <c r="M5" s="816" t="s">
        <v>31</v>
      </c>
      <c r="N5" s="930">
        <f t="shared" si="1"/>
        <v>45862</v>
      </c>
      <c r="O5" s="460" t="s">
        <v>304</v>
      </c>
      <c r="P5" s="460" t="str">
        <f>IFERROR(VLOOKUP(Q5,Producao[[Granja Produção]:[Emp+CC]],4,0),"")</f>
        <v>126_2244</v>
      </c>
      <c r="Q5" s="461" t="s">
        <v>22</v>
      </c>
      <c r="R5" s="455" t="str">
        <f>IFERROR(VLOOKUP(Q5,Producao[[Granja Produção]:[Núcleo]],2,0),"")</f>
        <v>(N1)</v>
      </c>
      <c r="S5" s="949">
        <v>13000</v>
      </c>
      <c r="T5" s="933">
        <f t="shared" si="2"/>
        <v>46183</v>
      </c>
      <c r="U5" s="934">
        <v>67</v>
      </c>
      <c r="V5" s="935">
        <f>N31-T4</f>
        <v>36</v>
      </c>
      <c r="W5" s="936">
        <f t="shared" si="3"/>
        <v>46219</v>
      </c>
      <c r="X5" s="802" t="str">
        <f>VLOOKUP(Q5,Q26:Q60,1,0)</f>
        <v>Beltrame - SP</v>
      </c>
      <c r="Y5" s="920"/>
      <c r="Z5" s="921"/>
      <c r="AA5" s="921"/>
      <c r="AB5" s="922"/>
    </row>
    <row r="6" spans="1:28" ht="14.25" customHeight="1">
      <c r="A6" s="225" t="s">
        <v>177</v>
      </c>
      <c r="B6" s="226">
        <v>45737</v>
      </c>
      <c r="C6" s="227">
        <v>45736</v>
      </c>
      <c r="D6" s="169" t="s">
        <v>305</v>
      </c>
      <c r="E6" s="927">
        <f t="shared" ca="1" si="0"/>
        <v>64</v>
      </c>
      <c r="F6" s="228" t="str">
        <f>IFERROR(VLOOKUP(G6,Recria[[Granja Recria]:[Emp+CC]],4,0),"")</f>
        <v>29_2238</v>
      </c>
      <c r="G6" s="229" t="s">
        <v>243</v>
      </c>
      <c r="H6" s="829" t="str">
        <f>IFERROR(VLOOKUP(G6,Recria[[Granja Recria]:[Núcleo]],2,0),"")</f>
        <v>(N1)</v>
      </c>
      <c r="I6" s="228">
        <v>60000</v>
      </c>
      <c r="J6" s="225" t="s">
        <v>60</v>
      </c>
      <c r="K6" s="225">
        <v>22</v>
      </c>
      <c r="L6" s="803" t="str">
        <f>VLOOKUP(M6,Raca_Linhagem[],2,0)</f>
        <v>COBB</v>
      </c>
      <c r="M6" s="816" t="s">
        <v>37</v>
      </c>
      <c r="N6" s="925">
        <f t="shared" si="1"/>
        <v>45883</v>
      </c>
      <c r="O6" s="924" t="s">
        <v>306</v>
      </c>
      <c r="P6" s="924" t="str">
        <f>IFERROR(VLOOKUP(Q6,Producao[[Granja Produção]:[Emp+CC]],4,0),"")</f>
        <v>127_2243</v>
      </c>
      <c r="Q6" s="950" t="s">
        <v>307</v>
      </c>
      <c r="R6" s="924" t="str">
        <f>IFERROR(VLOOKUP(Q6,Producao[[Granja Produção]:[Núcleo]],2,0),"")</f>
        <v>(N1)</v>
      </c>
      <c r="S6" s="927">
        <v>57000</v>
      </c>
      <c r="T6" s="933">
        <f t="shared" si="2"/>
        <v>46183</v>
      </c>
      <c r="U6" s="934">
        <v>64</v>
      </c>
      <c r="V6" s="935">
        <f>N34-T6</f>
        <v>36</v>
      </c>
      <c r="W6" s="936">
        <f t="shared" si="3"/>
        <v>46219</v>
      </c>
      <c r="X6" s="802" t="str">
        <f>VLOOKUP(Q6,Q27:Q61,1,0)</f>
        <v>São gabriel - SP</v>
      </c>
      <c r="Y6" s="476"/>
      <c r="Z6" s="476"/>
      <c r="AA6" s="476"/>
    </row>
    <row r="7" spans="1:28" ht="14.4" customHeight="1">
      <c r="A7" s="225" t="s">
        <v>244</v>
      </c>
      <c r="B7" s="226">
        <v>45743</v>
      </c>
      <c r="C7" s="227">
        <v>45743</v>
      </c>
      <c r="D7" s="169" t="s">
        <v>308</v>
      </c>
      <c r="E7" s="927">
        <f t="shared" ca="1" si="0"/>
        <v>68</v>
      </c>
      <c r="F7" s="228" t="str">
        <f>IFERROR(VLOOKUP(G7,Recria[[Granja Recria]:[Emp+CC]],4,0),"")</f>
        <v>22_494</v>
      </c>
      <c r="G7" s="229" t="s">
        <v>245</v>
      </c>
      <c r="H7" s="829" t="str">
        <f>IFERROR(VLOOKUP(G7,Recria[[Granja Recria]:[Núcleo]],2,0),"")</f>
        <v>(N1)</v>
      </c>
      <c r="I7" s="228">
        <v>30000</v>
      </c>
      <c r="J7" s="225" t="s">
        <v>60</v>
      </c>
      <c r="K7" s="225">
        <v>22</v>
      </c>
      <c r="L7" s="803" t="str">
        <f>VLOOKUP(M7,Raca_Linhagem[],2,0)</f>
        <v>COBB</v>
      </c>
      <c r="M7" s="816" t="s">
        <v>21</v>
      </c>
      <c r="N7" s="925">
        <f t="shared" si="1"/>
        <v>45890</v>
      </c>
      <c r="O7" s="924" t="s">
        <v>309</v>
      </c>
      <c r="P7" s="924" t="str">
        <f>IFERROR(VLOOKUP(Q7,Producao[[Granja Produção]:[Emp+CC]],4,0),"")</f>
        <v>130_451</v>
      </c>
      <c r="Q7" s="950" t="s">
        <v>65</v>
      </c>
      <c r="R7" s="924" t="str">
        <f>IFERROR(VLOOKUP(Q7,Producao[[Granja Produção]:[Núcleo]],2,0),"")</f>
        <v>(N1)</v>
      </c>
      <c r="S7" s="927">
        <v>28000</v>
      </c>
      <c r="T7" s="933">
        <f t="shared" si="2"/>
        <v>46218</v>
      </c>
      <c r="U7" s="934">
        <v>68</v>
      </c>
      <c r="V7" s="935">
        <f>N37-T7</f>
        <v>50</v>
      </c>
      <c r="W7" s="936">
        <f t="shared" si="3"/>
        <v>46268</v>
      </c>
      <c r="X7" s="802" t="str">
        <f>VLOOKUP(Q7,Q29:Q63,1,0)</f>
        <v>Brodoski - SP</v>
      </c>
      <c r="Y7" s="476"/>
      <c r="Z7" s="476"/>
      <c r="AA7" s="476"/>
    </row>
    <row r="8" spans="1:28" ht="14.4" customHeight="1">
      <c r="A8" s="937" t="s">
        <v>17</v>
      </c>
      <c r="B8" s="938">
        <v>45750</v>
      </c>
      <c r="C8" s="939">
        <v>45750</v>
      </c>
      <c r="D8" s="940" t="s">
        <v>58</v>
      </c>
      <c r="E8" s="927">
        <f t="shared" ca="1" si="0"/>
        <v>66</v>
      </c>
      <c r="F8" s="941" t="str">
        <f>IFERROR(VLOOKUP(G8,Recria[[Granja Recria]:[Emp+CC]],4,0),"")</f>
        <v>139_49</v>
      </c>
      <c r="G8" s="942" t="s">
        <v>59</v>
      </c>
      <c r="H8" s="943" t="str">
        <f>IFERROR(VLOOKUP(G8,Recria[[Granja Recria]:[Núcleo]],2,0),"")</f>
        <v>(N1)</v>
      </c>
      <c r="I8" s="951"/>
      <c r="J8" s="937" t="s">
        <v>60</v>
      </c>
      <c r="K8" s="937">
        <v>26</v>
      </c>
      <c r="L8" s="803" t="str">
        <f>VLOOKUP(M8,Raca_Linhagem[],2,0)</f>
        <v>COBB</v>
      </c>
      <c r="M8" s="816" t="s">
        <v>21</v>
      </c>
      <c r="N8" s="925">
        <f t="shared" si="1"/>
        <v>45897</v>
      </c>
      <c r="O8" s="924" t="s">
        <v>309</v>
      </c>
      <c r="P8" s="924" t="str">
        <f>IFERROR(VLOOKUP(Q8,Producao[[Granja Produção]:[Emp+CC]],4,0),"")</f>
        <v>130_451</v>
      </c>
      <c r="Q8" s="950" t="s">
        <v>65</v>
      </c>
      <c r="R8" s="924" t="str">
        <f>IFERROR(VLOOKUP(Q8,Producao[[Granja Produção]:[Núcleo]],2,0),"")</f>
        <v>(N1)</v>
      </c>
      <c r="S8" s="927">
        <v>6000</v>
      </c>
      <c r="T8" s="933">
        <f t="shared" si="2"/>
        <v>46211</v>
      </c>
      <c r="U8" s="934">
        <v>66</v>
      </c>
      <c r="V8" s="935">
        <f>N37-T7</f>
        <v>50</v>
      </c>
      <c r="W8" s="936">
        <f t="shared" si="3"/>
        <v>46261</v>
      </c>
      <c r="X8" s="802" t="str">
        <f>VLOOKUP(Q8,Q30:Q64,1,0)</f>
        <v>Brodoski - SP</v>
      </c>
      <c r="Y8" s="476"/>
      <c r="Z8" s="476"/>
      <c r="AA8" s="476"/>
    </row>
    <row r="9" spans="1:28" ht="15.6" customHeight="1">
      <c r="A9" s="225" t="s">
        <v>177</v>
      </c>
      <c r="B9" s="226">
        <v>45741</v>
      </c>
      <c r="C9" s="227">
        <v>45743</v>
      </c>
      <c r="D9" s="169" t="s">
        <v>310</v>
      </c>
      <c r="E9" s="927">
        <f t="shared" ca="1" si="0"/>
        <v>66</v>
      </c>
      <c r="F9" s="228" t="str">
        <f>IFERROR(VLOOKUP(G9,Recria[[Granja Recria]:[Emp+CC]],4,0),"")</f>
        <v>39_464</v>
      </c>
      <c r="G9" s="229" t="s">
        <v>178</v>
      </c>
      <c r="H9" s="829" t="str">
        <f>IFERROR(VLOOKUP(G9,Recria[[Granja Recria]:[Núcleo]],2,0),"")</f>
        <v>(N2)</v>
      </c>
      <c r="I9" s="228">
        <v>45000</v>
      </c>
      <c r="J9" s="225" t="s">
        <v>60</v>
      </c>
      <c r="K9" s="225">
        <v>23</v>
      </c>
      <c r="L9" s="803" t="str">
        <f>VLOOKUP(M9,Raca_Linhagem[],2,0)</f>
        <v>COBB</v>
      </c>
      <c r="M9" s="816" t="s">
        <v>37</v>
      </c>
      <c r="N9" s="930">
        <f t="shared" si="1"/>
        <v>45890</v>
      </c>
      <c r="O9" s="460" t="s">
        <v>311</v>
      </c>
      <c r="P9" s="460" t="str">
        <f>IFERROR(VLOOKUP(Q9,Producao[[Granja Produção]:[Emp+CC]],4,0),"")</f>
        <v>125_2245</v>
      </c>
      <c r="Q9" s="461" t="s">
        <v>312</v>
      </c>
      <c r="R9" s="455" t="str">
        <f>IFERROR(VLOOKUP(Q9,Producao[[Granja Produção]:[Núcleo]],2,0),"")</f>
        <v>(N1)</v>
      </c>
      <c r="S9" s="949">
        <v>24000</v>
      </c>
      <c r="T9" s="933">
        <f t="shared" si="2"/>
        <v>46204</v>
      </c>
      <c r="U9" s="934">
        <v>66</v>
      </c>
      <c r="V9" s="935">
        <f>N35-T9</f>
        <v>57</v>
      </c>
      <c r="W9" s="936">
        <f t="shared" si="3"/>
        <v>46261</v>
      </c>
      <c r="X9" s="802" t="str">
        <f>VLOOKUP(Q9,Q31:Q72,1,0)</f>
        <v>Olivio Serra - SP</v>
      </c>
      <c r="Y9" s="476"/>
      <c r="Z9" s="476"/>
      <c r="AA9" s="476"/>
    </row>
    <row r="10" spans="1:28" s="923" customFormat="1" ht="15" customHeight="1">
      <c r="A10" s="225" t="s">
        <v>177</v>
      </c>
      <c r="B10" s="226">
        <v>45741</v>
      </c>
      <c r="C10" s="227">
        <v>45743</v>
      </c>
      <c r="D10" s="169" t="s">
        <v>310</v>
      </c>
      <c r="E10" s="927">
        <f t="shared" ca="1" si="0"/>
        <v>66</v>
      </c>
      <c r="F10" s="228" t="str">
        <f>IFERROR(VLOOKUP(G10,Recria[[Granja Recria]:[Emp+CC]],4,0),"")</f>
        <v>39_464</v>
      </c>
      <c r="G10" s="229" t="s">
        <v>178</v>
      </c>
      <c r="H10" s="829" t="str">
        <f>IFERROR(VLOOKUP(G10,Recria[[Granja Recria]:[Núcleo]],2,0),"")</f>
        <v>(N2)</v>
      </c>
      <c r="I10" s="941"/>
      <c r="J10" s="937" t="s">
        <v>60</v>
      </c>
      <c r="K10" s="937">
        <v>28</v>
      </c>
      <c r="L10" s="803" t="str">
        <f>VLOOKUP(M10,Raca_Linhagem[],2,0)</f>
        <v>COBB</v>
      </c>
      <c r="M10" s="816" t="s">
        <v>37</v>
      </c>
      <c r="N10" s="930">
        <f t="shared" si="1"/>
        <v>45890</v>
      </c>
      <c r="O10" s="460" t="s">
        <v>313</v>
      </c>
      <c r="P10" s="460" t="str">
        <f>IFERROR(VLOOKUP(Q10,Producao[[Granja Produção]:[Emp+CC]],4,0),"")</f>
        <v>81_826</v>
      </c>
      <c r="Q10" s="461" t="s">
        <v>257</v>
      </c>
      <c r="R10" s="455" t="str">
        <f>IFERROR(VLOOKUP(Q10,Producao[[Granja Produção]:[Núcleo]],2,0),"")</f>
        <v>(N4)</v>
      </c>
      <c r="S10" s="949">
        <v>18000</v>
      </c>
      <c r="T10" s="933">
        <f t="shared" si="2"/>
        <v>46204</v>
      </c>
      <c r="U10" s="934">
        <v>66</v>
      </c>
      <c r="V10" s="935">
        <f>N36-T10</f>
        <v>57</v>
      </c>
      <c r="W10" s="936">
        <f t="shared" si="3"/>
        <v>46261</v>
      </c>
      <c r="X10" s="802" t="str">
        <f>VLOOKUP(Q10,Q33:Q67,1,0)</f>
        <v>Potreiro 4 - SP</v>
      </c>
      <c r="Y10" s="920"/>
      <c r="Z10" s="921"/>
      <c r="AA10" s="921"/>
      <c r="AB10" s="922"/>
    </row>
    <row r="11" spans="1:28" ht="15" customHeight="1">
      <c r="A11" s="225" t="s">
        <v>17</v>
      </c>
      <c r="B11" s="226">
        <v>45799</v>
      </c>
      <c r="C11" s="227">
        <v>45799</v>
      </c>
      <c r="D11" s="169" t="s">
        <v>314</v>
      </c>
      <c r="E11" s="927">
        <f t="shared" ca="1" si="0"/>
        <v>66</v>
      </c>
      <c r="F11" s="228" t="str">
        <f>IFERROR(VLOOKUP(G11,Recria[[Granja Recria]:[Emp+CC]],4,0),"")</f>
        <v>10-115</v>
      </c>
      <c r="G11" s="229" t="s">
        <v>315</v>
      </c>
      <c r="H11" s="829" t="str">
        <f>IFERROR(VLOOKUP(G11,Recria[[Granja Recria]:[Núcleo]],2,0),"")</f>
        <v>(N1)</v>
      </c>
      <c r="I11" s="228">
        <v>60000</v>
      </c>
      <c r="J11" s="225" t="s">
        <v>60</v>
      </c>
      <c r="K11" s="225">
        <v>22</v>
      </c>
      <c r="L11" s="803" t="str">
        <f>VLOOKUP(M11,Raca_Linhagem[],2,0)</f>
        <v>ROSS</v>
      </c>
      <c r="M11" s="812" t="s">
        <v>26</v>
      </c>
      <c r="N11" s="925">
        <f t="shared" si="1"/>
        <v>45946</v>
      </c>
      <c r="O11" s="952">
        <v>230025</v>
      </c>
      <c r="P11" s="924" t="str">
        <f>IFERROR(VLOOKUP(Q11,Producao[[Granja Produção]:[Emp+CC]],4,0),"")</f>
        <v>19_495</v>
      </c>
      <c r="Q11" s="950" t="s">
        <v>316</v>
      </c>
      <c r="R11" s="924" t="str">
        <f>IFERROR(VLOOKUP(Q11,Producao[[Granja Produção]:[Núcleo]],2,0),"")</f>
        <v>(N1)</v>
      </c>
      <c r="S11" s="927">
        <v>57000</v>
      </c>
      <c r="T11" s="933">
        <f t="shared" si="2"/>
        <v>46260</v>
      </c>
      <c r="U11" s="934">
        <v>66</v>
      </c>
      <c r="V11" s="953">
        <f>N40-T11</f>
        <v>43</v>
      </c>
      <c r="W11" s="936">
        <f t="shared" si="3"/>
        <v>46303</v>
      </c>
      <c r="X11" s="802" t="str">
        <f>VLOOKUP(Q11,Q34:Q70,1,0)</f>
        <v>Faz. Santa Rosa - SP</v>
      </c>
      <c r="Y11" s="476"/>
      <c r="Z11" s="476"/>
      <c r="AA11" s="476"/>
    </row>
    <row r="12" spans="1:28" ht="15" customHeight="1">
      <c r="A12" s="225" t="s">
        <v>244</v>
      </c>
      <c r="B12" s="226">
        <v>45813</v>
      </c>
      <c r="C12" s="227">
        <v>45813</v>
      </c>
      <c r="D12" s="169" t="s">
        <v>317</v>
      </c>
      <c r="E12" s="927">
        <f t="shared" ca="1" si="0"/>
        <v>64</v>
      </c>
      <c r="F12" s="228" t="str">
        <f>IFERROR(VLOOKUP(G12,Recria[[Granja Recria]:[Emp+CC]],4,0),"")</f>
        <v>22_481</v>
      </c>
      <c r="G12" s="229" t="s">
        <v>318</v>
      </c>
      <c r="H12" s="829" t="str">
        <f>IFERROR(VLOOKUP(G12,Recria[[Granja Recria]:[Núcleo]],2,0),"")</f>
        <v>(N2)</v>
      </c>
      <c r="I12" s="228">
        <v>30000</v>
      </c>
      <c r="J12" s="225" t="s">
        <v>60</v>
      </c>
      <c r="K12" s="225">
        <v>16</v>
      </c>
      <c r="L12" s="803" t="str">
        <f>VLOOKUP(M12,Raca_Linhagem[],2,0)</f>
        <v>COBB</v>
      </c>
      <c r="M12" s="816" t="s">
        <v>319</v>
      </c>
      <c r="N12" s="925">
        <f t="shared" si="1"/>
        <v>45960</v>
      </c>
      <c r="O12" s="952">
        <v>230125</v>
      </c>
      <c r="P12" s="924" t="str">
        <f>IFERROR(VLOOKUP(Q12,Producao[[Granja Produção]:[Emp+CC]],4,0),"")</f>
        <v>87_855</v>
      </c>
      <c r="Q12" s="950" t="s">
        <v>260</v>
      </c>
      <c r="R12" s="924" t="str">
        <f>IFERROR(VLOOKUP(Q12,Producao[[Granja Produção]:[Núcleo]],2,0),"")</f>
        <v>(N3)</v>
      </c>
      <c r="S12" s="927">
        <v>28000</v>
      </c>
      <c r="T12" s="933">
        <f t="shared" si="2"/>
        <v>46260</v>
      </c>
      <c r="U12" s="934">
        <v>64</v>
      </c>
      <c r="V12" s="953">
        <f>N39-T12</f>
        <v>36</v>
      </c>
      <c r="W12" s="936">
        <f t="shared" si="3"/>
        <v>46296</v>
      </c>
      <c r="X12" s="802" t="str">
        <f>VLOOKUP(Q12,Q35:Q73,1,0)</f>
        <v>Samambaia 3 - SP</v>
      </c>
      <c r="Y12" s="476"/>
      <c r="Z12" s="476"/>
      <c r="AA12" s="476"/>
    </row>
    <row r="13" spans="1:28" ht="15" customHeight="1">
      <c r="A13" s="225" t="s">
        <v>177</v>
      </c>
      <c r="B13" s="226">
        <f>N2+K2</f>
        <v>45868</v>
      </c>
      <c r="C13" s="227">
        <v>45869</v>
      </c>
      <c r="D13" s="169" t="s">
        <v>320</v>
      </c>
      <c r="E13" s="228">
        <f t="shared" ca="1" si="0"/>
        <v>60.714285714285715</v>
      </c>
      <c r="F13" s="228" t="str">
        <f>IFERROR(VLOOKUP(G13,Recria[[Granja Recria]:[Emp+CC]],4,0),"")</f>
        <v>39_479</v>
      </c>
      <c r="G13" s="229" t="s">
        <v>298</v>
      </c>
      <c r="H13" s="829" t="str">
        <f>IFERROR(VLOOKUP(G13,Recria[[Granja Recria]:[Núcleo]],2,0),"")</f>
        <v>(N1)</v>
      </c>
      <c r="I13" s="228">
        <v>65000</v>
      </c>
      <c r="J13" s="225" t="s">
        <v>60</v>
      </c>
      <c r="K13" s="225">
        <v>16</v>
      </c>
      <c r="L13" s="803" t="str">
        <f>VLOOKUP(M13,Raca_Linhagem[],2,0)</f>
        <v>ROSS</v>
      </c>
      <c r="M13" s="816" t="s">
        <v>31</v>
      </c>
      <c r="N13" s="925">
        <f t="shared" si="1"/>
        <v>46016</v>
      </c>
      <c r="O13" s="952">
        <v>230225</v>
      </c>
      <c r="P13" s="924" t="str">
        <f>IFERROR(VLOOKUP(Q13,Producao[[Granja Produção]:[Emp+CC]],4,0),"")</f>
        <v>87_853</v>
      </c>
      <c r="Q13" s="950" t="s">
        <v>321</v>
      </c>
      <c r="R13" s="924" t="str">
        <f>IFERROR(VLOOKUP(Q13,Producao[[Granja Produção]:[Núcleo]],2,0),"")</f>
        <v>(N1)</v>
      </c>
      <c r="S13" s="927">
        <v>45000</v>
      </c>
      <c r="T13" s="933">
        <f t="shared" si="2"/>
        <v>46330</v>
      </c>
      <c r="U13" s="934">
        <v>66</v>
      </c>
      <c r="V13" s="953">
        <f>N43-T13</f>
        <v>50</v>
      </c>
      <c r="W13" s="936">
        <f t="shared" si="3"/>
        <v>46380</v>
      </c>
      <c r="X13" s="802" t="str">
        <f>VLOOKUP(Q13,Q36:Q74,1,0)</f>
        <v>Samambaia 1 - SP</v>
      </c>
      <c r="Y13" s="476"/>
      <c r="Z13" s="476"/>
      <c r="AA13" s="476"/>
    </row>
    <row r="14" spans="1:28" ht="15" customHeight="1">
      <c r="A14" s="225" t="s">
        <v>177</v>
      </c>
      <c r="B14" s="226">
        <f>N2+K2</f>
        <v>45868</v>
      </c>
      <c r="C14" s="227">
        <v>45869</v>
      </c>
      <c r="D14" s="169" t="s">
        <v>320</v>
      </c>
      <c r="E14" s="228">
        <f t="shared" ca="1" si="0"/>
        <v>60.714285714285715</v>
      </c>
      <c r="F14" s="228" t="str">
        <f>IFERROR(VLOOKUP(G14,Recria[[Granja Recria]:[Emp+CC]],4,0),"")</f>
        <v>39_479</v>
      </c>
      <c r="G14" s="229" t="s">
        <v>298</v>
      </c>
      <c r="H14" s="829" t="str">
        <f>IFERROR(VLOOKUP(G14,Recria[[Granja Recria]:[Núcleo]],2,0),"")</f>
        <v>(N1)</v>
      </c>
      <c r="I14" s="228"/>
      <c r="J14" s="225" t="s">
        <v>60</v>
      </c>
      <c r="K14" s="225">
        <v>21</v>
      </c>
      <c r="L14" s="803" t="str">
        <f>VLOOKUP(M14,Raca_Linhagem[],2,0)</f>
        <v>ROSS</v>
      </c>
      <c r="M14" s="816" t="s">
        <v>31</v>
      </c>
      <c r="N14" s="925">
        <f t="shared" si="1"/>
        <v>46016</v>
      </c>
      <c r="O14" s="952">
        <v>230325</v>
      </c>
      <c r="P14" s="924" t="str">
        <f>IFERROR(VLOOKUP(Q14,Producao[[Granja Produção]:[Emp+CC]],4,0),"")</f>
        <v>87_854</v>
      </c>
      <c r="Q14" s="950" t="s">
        <v>165</v>
      </c>
      <c r="R14" s="924" t="str">
        <f>IFERROR(VLOOKUP(Q14,Producao[[Granja Produção]:[Núcleo]],2,0),"")</f>
        <v>(N2)</v>
      </c>
      <c r="S14" s="927">
        <v>17000</v>
      </c>
      <c r="T14" s="933">
        <f t="shared" si="2"/>
        <v>46330</v>
      </c>
      <c r="U14" s="934">
        <v>66</v>
      </c>
      <c r="V14" s="953">
        <f>N41-T14</f>
        <v>43</v>
      </c>
      <c r="W14" s="936">
        <f t="shared" si="3"/>
        <v>46373</v>
      </c>
      <c r="X14" s="802" t="str">
        <f>VLOOKUP(Q14,Q37:Q77,1,0)</f>
        <v>Samambaia 2 - SP</v>
      </c>
      <c r="Y14" s="476"/>
      <c r="Z14" s="476"/>
      <c r="AA14" s="476"/>
    </row>
    <row r="15" spans="1:28" s="960" customFormat="1" ht="15.6" customHeight="1">
      <c r="A15" s="269" t="s">
        <v>17</v>
      </c>
      <c r="B15" s="270">
        <v>45891</v>
      </c>
      <c r="C15" s="271">
        <v>45890</v>
      </c>
      <c r="D15" s="272" t="s">
        <v>164</v>
      </c>
      <c r="E15" s="273">
        <f t="shared" ca="1" si="0"/>
        <v>57.714285714285715</v>
      </c>
      <c r="F15" s="273" t="str">
        <f>IFERROR(VLOOKUP(G15,Recria[[Granja Recria]:[Emp+CC]],4,0),"")</f>
        <v>10_1295</v>
      </c>
      <c r="G15" s="954" t="s">
        <v>19</v>
      </c>
      <c r="H15" s="905" t="str">
        <f>IFERROR(VLOOKUP(G15,Recria[[Granja Recria]:[Núcleo]],2,0),"")</f>
        <v>(N3)</v>
      </c>
      <c r="I15" s="273"/>
      <c r="J15" s="269" t="s">
        <v>45</v>
      </c>
      <c r="K15" s="269">
        <v>57</v>
      </c>
      <c r="L15" s="803" t="str">
        <f>VLOOKUP(M15,Raca_Linhagem[],2,0)</f>
        <v>COBB</v>
      </c>
      <c r="M15" s="638" t="s">
        <v>149</v>
      </c>
      <c r="N15" s="912">
        <f t="shared" si="1"/>
        <v>46037</v>
      </c>
      <c r="O15" s="952">
        <v>230425</v>
      </c>
      <c r="P15" s="913" t="str">
        <f>IFERROR(VLOOKUP(Q15,Producao[[Granja Produção]:[Emp+CC]],4,0),"")</f>
        <v>87_854</v>
      </c>
      <c r="Q15" s="914" t="s">
        <v>165</v>
      </c>
      <c r="R15" s="913" t="str">
        <f>IFERROR(VLOOKUP(Q15,Producao[[Granja Produção]:[Núcleo]],2,0),"")</f>
        <v>(N2)</v>
      </c>
      <c r="S15" s="915">
        <v>19000</v>
      </c>
      <c r="T15" s="955">
        <f t="shared" si="2"/>
        <v>46330</v>
      </c>
      <c r="U15" s="956">
        <v>63</v>
      </c>
      <c r="V15" s="957">
        <f>N41-T14</f>
        <v>43</v>
      </c>
      <c r="W15" s="958">
        <f t="shared" si="3"/>
        <v>46373</v>
      </c>
      <c r="X15" s="802" t="str">
        <f>VLOOKUP(Q15,Q37:Q78,1,0)</f>
        <v>Samambaia 2 - SP</v>
      </c>
      <c r="Y15" s="959"/>
      <c r="Z15" s="959"/>
      <c r="AA15" s="959"/>
    </row>
    <row r="16" spans="1:28" ht="15.6" customHeight="1">
      <c r="A16" s="225" t="s">
        <v>177</v>
      </c>
      <c r="B16" s="226">
        <v>45905</v>
      </c>
      <c r="C16" s="227">
        <v>45904</v>
      </c>
      <c r="D16" s="169" t="s">
        <v>322</v>
      </c>
      <c r="E16" s="228">
        <f t="shared" ca="1" si="0"/>
        <v>55.714285714285715</v>
      </c>
      <c r="F16" s="228" t="str">
        <f>IFERROR(VLOOKUP(G16,Recria[[Granja Recria]:[Emp+CC]],4,0),"")</f>
        <v>29_2238</v>
      </c>
      <c r="G16" s="229" t="s">
        <v>243</v>
      </c>
      <c r="H16" s="829" t="str">
        <f>IFERROR(VLOOKUP(G16,Recria[[Granja Recria]:[Núcleo]],2,0),"")</f>
        <v>(N1)</v>
      </c>
      <c r="I16" s="228">
        <v>60000</v>
      </c>
      <c r="J16" s="225" t="s">
        <v>20</v>
      </c>
      <c r="K16" s="225">
        <v>19</v>
      </c>
      <c r="L16" s="803" t="str">
        <f>VLOOKUP(M16,Raca_Linhagem[],2,0)</f>
        <v>COBB</v>
      </c>
      <c r="M16" s="816" t="s">
        <v>37</v>
      </c>
      <c r="N16" s="925">
        <f t="shared" si="1"/>
        <v>46051</v>
      </c>
      <c r="O16" s="952">
        <v>230026</v>
      </c>
      <c r="P16" s="924" t="str">
        <f>IFERROR(VLOOKUP(Q16,Producao[[Granja Produção]:[Emp+CC]],4,0),"")</f>
        <v>81_483</v>
      </c>
      <c r="Q16" s="950" t="s">
        <v>323</v>
      </c>
      <c r="R16" s="924" t="str">
        <f>IFERROR(VLOOKUP(Q16,Producao[[Granja Produção]:[Núcleo]],2,0),"")</f>
        <v>(N2)</v>
      </c>
      <c r="S16" s="927">
        <v>23000</v>
      </c>
      <c r="T16" s="933">
        <f t="shared" si="2"/>
        <v>46372</v>
      </c>
      <c r="U16" s="934">
        <v>67</v>
      </c>
      <c r="V16" s="953">
        <f>N44-T16</f>
        <v>36</v>
      </c>
      <c r="W16" s="936">
        <f t="shared" si="3"/>
        <v>46408</v>
      </c>
      <c r="X16" s="802" t="str">
        <f>VLOOKUP(Q16,Q39:Q79,1,0)</f>
        <v>Potreiro 2 - SP</v>
      </c>
      <c r="Y16" s="476"/>
      <c r="Z16" s="476"/>
      <c r="AA16" s="476"/>
    </row>
    <row r="17" spans="1:27" ht="15.6" customHeight="1">
      <c r="A17" s="225" t="s">
        <v>177</v>
      </c>
      <c r="B17" s="226">
        <v>45905</v>
      </c>
      <c r="C17" s="227">
        <v>45904</v>
      </c>
      <c r="D17" s="169" t="s">
        <v>322</v>
      </c>
      <c r="E17" s="228">
        <f t="shared" ca="1" si="0"/>
        <v>55.714285714285715</v>
      </c>
      <c r="F17" s="228" t="str">
        <f>IFERROR(VLOOKUP(G17,Recria[[Granja Recria]:[Emp+CC]],4,0),"")</f>
        <v>29_2238</v>
      </c>
      <c r="G17" s="229" t="s">
        <v>243</v>
      </c>
      <c r="H17" s="829" t="str">
        <f>IFERROR(VLOOKUP(G17,Recria[[Granja Recria]:[Núcleo]],2,0),"")</f>
        <v>(N1)</v>
      </c>
      <c r="I17" s="228"/>
      <c r="J17" s="225" t="s">
        <v>20</v>
      </c>
      <c r="K17" s="225">
        <v>19</v>
      </c>
      <c r="L17" s="803" t="str">
        <f>VLOOKUP(M17,Raca_Linhagem[],2,0)</f>
        <v>COBB</v>
      </c>
      <c r="M17" s="816" t="s">
        <v>37</v>
      </c>
      <c r="N17" s="925">
        <f t="shared" si="1"/>
        <v>46051</v>
      </c>
      <c r="O17" s="952">
        <v>230226</v>
      </c>
      <c r="P17" s="924" t="str">
        <f>IFERROR(VLOOKUP(Q17,Producao[[Granja Produção]:[Emp+CC]],4,0),"")</f>
        <v>81_482</v>
      </c>
      <c r="Q17" s="931" t="s">
        <v>324</v>
      </c>
      <c r="R17" s="460" t="str">
        <f>IFERROR(VLOOKUP(Q17,Producao[[Granja Produção]:[Núcleo]],2,0),"")</f>
        <v>(N1)</v>
      </c>
      <c r="S17" s="927">
        <v>23000</v>
      </c>
      <c r="T17" s="933">
        <f t="shared" si="2"/>
        <v>46372</v>
      </c>
      <c r="U17" s="934">
        <v>67</v>
      </c>
      <c r="V17" s="953">
        <f>N45-T17</f>
        <v>36</v>
      </c>
      <c r="W17" s="936">
        <f t="shared" si="3"/>
        <v>46408</v>
      </c>
      <c r="X17" s="802" t="str">
        <f>VLOOKUP(Q17,Q40:Q80,1,0)</f>
        <v>Potreiro 1 - SP</v>
      </c>
      <c r="Y17" s="476"/>
      <c r="Z17" s="476"/>
      <c r="AA17" s="476"/>
    </row>
    <row r="18" spans="1:27" ht="15.6" customHeight="1">
      <c r="A18" s="225" t="s">
        <v>177</v>
      </c>
      <c r="B18" s="226">
        <v>45905</v>
      </c>
      <c r="C18" s="227">
        <v>45904</v>
      </c>
      <c r="D18" s="169" t="s">
        <v>322</v>
      </c>
      <c r="E18" s="228">
        <f t="shared" ca="1" si="0"/>
        <v>55.714285714285715</v>
      </c>
      <c r="F18" s="228" t="str">
        <f>IFERROR(VLOOKUP(G18,Recria[[Granja Recria]:[Emp+CC]],4,0),"")</f>
        <v>29_2238</v>
      </c>
      <c r="G18" s="229" t="s">
        <v>243</v>
      </c>
      <c r="H18" s="829" t="str">
        <f>IFERROR(VLOOKUP(G18,Recria[[Granja Recria]:[Núcleo]],2,0),"")</f>
        <v>(N1)</v>
      </c>
      <c r="I18" s="228"/>
      <c r="J18" s="225" t="s">
        <v>20</v>
      </c>
      <c r="K18" s="225">
        <v>19</v>
      </c>
      <c r="L18" s="803" t="str">
        <f>VLOOKUP(M18,Raca_Linhagem[],2,0)</f>
        <v>COBB</v>
      </c>
      <c r="M18" s="816" t="s">
        <v>37</v>
      </c>
      <c r="N18" s="925">
        <f t="shared" si="1"/>
        <v>46051</v>
      </c>
      <c r="O18" s="952">
        <v>230126</v>
      </c>
      <c r="P18" s="924" t="str">
        <f>IFERROR(VLOOKUP(Q18,Producao[[Granja Produção]:[Emp+CC]],4,0),"")</f>
        <v>81_484</v>
      </c>
      <c r="Q18" s="931" t="s">
        <v>325</v>
      </c>
      <c r="R18" s="924" t="str">
        <f>IFERROR(VLOOKUP(Q18,Producao[[Granja Produção]:[Núcleo]],2,0),"")</f>
        <v>(N3)</v>
      </c>
      <c r="S18" s="927">
        <v>6800</v>
      </c>
      <c r="T18" s="933">
        <f t="shared" si="2"/>
        <v>46379</v>
      </c>
      <c r="U18" s="934">
        <v>68</v>
      </c>
      <c r="V18" s="953">
        <f>N47-T18</f>
        <v>57</v>
      </c>
      <c r="W18" s="936">
        <f t="shared" si="3"/>
        <v>46436</v>
      </c>
      <c r="X18" s="802" t="str">
        <f>VLOOKUP(Q18,Q42:Q81,1,0)</f>
        <v>Potreiro 3 - SP</v>
      </c>
      <c r="Y18" s="476"/>
      <c r="Z18" s="476"/>
      <c r="AA18" s="476"/>
    </row>
    <row r="19" spans="1:27" ht="15" customHeight="1">
      <c r="A19" s="225" t="s">
        <v>244</v>
      </c>
      <c r="B19" s="226">
        <f>N7+K7</f>
        <v>45912</v>
      </c>
      <c r="C19" s="227">
        <v>45911</v>
      </c>
      <c r="D19" s="169" t="s">
        <v>326</v>
      </c>
      <c r="E19" s="228">
        <f t="shared" ca="1" si="0"/>
        <v>54.714285714285715</v>
      </c>
      <c r="F19" s="228" t="str">
        <f>IFERROR(VLOOKUP(G19,Recria[[Granja Recria]:[Emp+CC]],4,0),"")</f>
        <v>22_494</v>
      </c>
      <c r="G19" s="229" t="s">
        <v>245</v>
      </c>
      <c r="H19" s="829" t="str">
        <f>IFERROR(VLOOKUP(G19,Recria[[Granja Recria]:[Núcleo]],2,0),"")</f>
        <v>(N1)</v>
      </c>
      <c r="I19" s="228">
        <v>30000</v>
      </c>
      <c r="J19" s="225" t="s">
        <v>45</v>
      </c>
      <c r="K19" s="225">
        <v>68</v>
      </c>
      <c r="L19" s="803" t="str">
        <f>VLOOKUP(M19,Raca_Linhagem[],2,0)</f>
        <v>COBB</v>
      </c>
      <c r="M19" s="638" t="s">
        <v>149</v>
      </c>
      <c r="N19" s="925">
        <f t="shared" si="1"/>
        <v>46058</v>
      </c>
      <c r="O19" s="952">
        <v>230126</v>
      </c>
      <c r="P19" s="924" t="str">
        <f>IFERROR(VLOOKUP(Q19,Producao[[Granja Produção]:[Emp+CC]],4,0),"")</f>
        <v>81_484</v>
      </c>
      <c r="Q19" s="950" t="s">
        <v>325</v>
      </c>
      <c r="R19" s="924" t="str">
        <f>IFERROR(VLOOKUP(Q19,Producao[[Granja Produção]:[Núcleo]],2,0),"")</f>
        <v>(N3)</v>
      </c>
      <c r="S19" s="927">
        <v>14000</v>
      </c>
      <c r="T19" s="933">
        <f t="shared" si="2"/>
        <v>46379</v>
      </c>
      <c r="U19" s="934">
        <v>67</v>
      </c>
      <c r="V19" s="953">
        <f>N48-T19</f>
        <v>57</v>
      </c>
      <c r="W19" s="936">
        <f t="shared" si="3"/>
        <v>46436</v>
      </c>
      <c r="X19" s="802" t="str">
        <f>VLOOKUP(Q19,Q43:Q82,1,0)</f>
        <v>Potreiro 3 - SP</v>
      </c>
      <c r="Y19" s="476"/>
      <c r="Z19" s="476"/>
      <c r="AA19" s="476"/>
    </row>
    <row r="20" spans="1:27" ht="15" customHeight="1">
      <c r="A20" s="225" t="s">
        <v>244</v>
      </c>
      <c r="B20" s="226">
        <f>N7+K7</f>
        <v>45912</v>
      </c>
      <c r="C20" s="227">
        <v>45911</v>
      </c>
      <c r="D20" s="169" t="s">
        <v>326</v>
      </c>
      <c r="E20" s="228">
        <f t="shared" ca="1" si="0"/>
        <v>54.714285714285715</v>
      </c>
      <c r="F20" s="228" t="str">
        <f>IFERROR(VLOOKUP(G20,Recria[[Granja Recria]:[Emp+CC]],4,0),"")</f>
        <v>22_494</v>
      </c>
      <c r="G20" s="229" t="s">
        <v>245</v>
      </c>
      <c r="H20" s="829" t="str">
        <f>IFERROR(VLOOKUP(G20,Recria[[Granja Recria]:[Núcleo]],2,0),"")</f>
        <v>(N1)</v>
      </c>
      <c r="I20" s="228"/>
      <c r="J20" s="225" t="s">
        <v>45</v>
      </c>
      <c r="K20" s="225">
        <v>68</v>
      </c>
      <c r="L20" s="803" t="str">
        <f>VLOOKUP(M20,Raca_Linhagem[],2,0)</f>
        <v>COBB</v>
      </c>
      <c r="M20" s="638" t="s">
        <v>149</v>
      </c>
      <c r="N20" s="925">
        <f t="shared" si="1"/>
        <v>46058</v>
      </c>
      <c r="O20" s="952">
        <v>230326</v>
      </c>
      <c r="P20" s="924" t="str">
        <f>IFERROR(VLOOKUP(Q20,Producao[[Granja Produção]:[Emp+CC]],4,0),"")</f>
        <v>81_786</v>
      </c>
      <c r="Q20" s="950" t="s">
        <v>327</v>
      </c>
      <c r="R20" s="924" t="str">
        <f>IFERROR(VLOOKUP(Q20,Producao[[Granja Produção]:[Núcleo]],2,0),"")</f>
        <v>(N6)</v>
      </c>
      <c r="S20" s="927">
        <v>14000</v>
      </c>
      <c r="T20" s="933">
        <f t="shared" si="2"/>
        <v>46386</v>
      </c>
      <c r="U20" s="934">
        <v>68</v>
      </c>
      <c r="V20" s="953">
        <f>N48-T20</f>
        <v>50</v>
      </c>
      <c r="W20" s="936">
        <f t="shared" si="3"/>
        <v>46436</v>
      </c>
      <c r="X20" s="802" t="str">
        <f>VLOOKUP(Q20,Q41:Q83,1,0)</f>
        <v>Potreiro 6 - SP</v>
      </c>
      <c r="Y20" s="476"/>
      <c r="Z20" s="476"/>
      <c r="AA20" s="476"/>
    </row>
    <row r="21" spans="1:27" ht="15" customHeight="1">
      <c r="A21" s="225" t="s">
        <v>177</v>
      </c>
      <c r="B21" s="226">
        <f>N9+K9</f>
        <v>45913</v>
      </c>
      <c r="C21" s="227">
        <v>45911</v>
      </c>
      <c r="D21" s="169" t="s">
        <v>328</v>
      </c>
      <c r="E21" s="228">
        <f t="shared" ca="1" si="0"/>
        <v>54.714285714285715</v>
      </c>
      <c r="F21" s="228" t="str">
        <f>IFERROR(VLOOKUP(G21,Recria[[Granja Recria]:[Emp+CC]],4,0),"")</f>
        <v>39_464</v>
      </c>
      <c r="G21" s="229" t="s">
        <v>178</v>
      </c>
      <c r="H21" s="829" t="str">
        <f>IFERROR(VLOOKUP(G21,Recria[[Granja Recria]:[Núcleo]],2,0),"")</f>
        <v>(N2)</v>
      </c>
      <c r="I21" s="228">
        <v>45000</v>
      </c>
      <c r="J21" s="225" t="s">
        <v>45</v>
      </c>
      <c r="K21" s="225">
        <v>54</v>
      </c>
      <c r="L21" s="803" t="str">
        <f>VLOOKUP(M21,Raca_Linhagem[],2,0)</f>
        <v>COBB</v>
      </c>
      <c r="M21" s="816" t="s">
        <v>37</v>
      </c>
      <c r="N21" s="925">
        <f t="shared" si="1"/>
        <v>46058</v>
      </c>
      <c r="O21" s="952">
        <v>230326</v>
      </c>
      <c r="P21" s="924" t="str">
        <f>IFERROR(VLOOKUP(Q21,Producao[[Granja Produção]:[Emp+CC]],4,0),"")</f>
        <v>81_786</v>
      </c>
      <c r="Q21" s="950" t="s">
        <v>327</v>
      </c>
      <c r="R21" s="924" t="str">
        <f>IFERROR(VLOOKUP(Q21,Producao[[Granja Produção]:[Núcleo]],2,0),"")</f>
        <v>(N6)</v>
      </c>
      <c r="S21" s="927">
        <v>4000</v>
      </c>
      <c r="T21" s="933">
        <f t="shared" si="2"/>
        <v>46379</v>
      </c>
      <c r="U21" s="934">
        <v>67</v>
      </c>
      <c r="V21" s="953">
        <f>N48-T20</f>
        <v>50</v>
      </c>
      <c r="W21" s="936">
        <f t="shared" si="3"/>
        <v>46429</v>
      </c>
      <c r="X21" s="802" t="str">
        <f>VLOOKUP(Q21,Q44:Q84,1,0)</f>
        <v>Potreiro 6 - SP</v>
      </c>
      <c r="Y21" s="476"/>
      <c r="Z21" s="476"/>
      <c r="AA21" s="476"/>
    </row>
    <row r="22" spans="1:27" s="960" customFormat="1" ht="15" customHeight="1">
      <c r="A22" s="274" t="s">
        <v>177</v>
      </c>
      <c r="B22" s="275">
        <f>N9+K9</f>
        <v>45913</v>
      </c>
      <c r="C22" s="1064">
        <v>45911</v>
      </c>
      <c r="D22" s="169" t="s">
        <v>328</v>
      </c>
      <c r="E22" s="276">
        <f t="shared" ca="1" si="0"/>
        <v>54.714285714285715</v>
      </c>
      <c r="F22" s="276" t="str">
        <f>IFERROR(VLOOKUP(G22,Recria[[Granja Recria]:[Emp+CC]],4,0),"")</f>
        <v>39_464</v>
      </c>
      <c r="G22" s="170" t="s">
        <v>178</v>
      </c>
      <c r="H22" s="1065" t="str">
        <f>IFERROR(VLOOKUP(G22,Recria[[Granja Recria]:[Núcleo]],2,0),"")</f>
        <v>(N2)</v>
      </c>
      <c r="I22" s="276"/>
      <c r="J22" s="274" t="s">
        <v>45</v>
      </c>
      <c r="K22" s="274">
        <v>54</v>
      </c>
      <c r="L22" s="803" t="str">
        <f>VLOOKUP(M22,Raca_Linhagem[],2,0)</f>
        <v>COBB</v>
      </c>
      <c r="M22" s="1066" t="s">
        <v>37</v>
      </c>
      <c r="N22" s="907">
        <f t="shared" si="1"/>
        <v>46058</v>
      </c>
      <c r="O22" s="905"/>
      <c r="P22" s="905" t="str">
        <f>IFERROR(VLOOKUP(Q22,Producao[[Granja Produção]:[Emp+CC]],4,0),"")</f>
        <v/>
      </c>
      <c r="Q22" s="954" t="s">
        <v>329</v>
      </c>
      <c r="R22" s="1057" t="str">
        <f>IFERROR(VLOOKUP(Q22,Producao[[Granja Produção]:[Núcleo]],2,0),"")</f>
        <v/>
      </c>
      <c r="S22" s="909">
        <v>39000</v>
      </c>
      <c r="T22" s="933">
        <f t="shared" si="2"/>
        <v>46372</v>
      </c>
      <c r="U22" s="934">
        <v>66</v>
      </c>
      <c r="V22" s="953"/>
      <c r="W22" s="936">
        <f t="shared" si="3"/>
        <v>46372</v>
      </c>
      <c r="X22" s="1067" t="str">
        <f>VLOOKUP(Q22,Q45:Q85,1,0)</f>
        <v>Pluma - PR</v>
      </c>
      <c r="Y22" s="959"/>
      <c r="Z22" s="959"/>
      <c r="AA22" s="959"/>
    </row>
    <row r="23" spans="1:27" s="960" customFormat="1" ht="15" customHeight="1">
      <c r="A23" s="274" t="s">
        <v>17</v>
      </c>
      <c r="B23" s="275">
        <f>N11+K11</f>
        <v>45968</v>
      </c>
      <c r="C23" s="1064">
        <v>45967</v>
      </c>
      <c r="D23" s="970">
        <v>100625</v>
      </c>
      <c r="E23" s="276">
        <f t="shared" ca="1" si="0"/>
        <v>46.714285714285715</v>
      </c>
      <c r="F23" s="276" t="str">
        <f>IFERROR(VLOOKUP(G23,Recria[[Granja Recria]:[Emp+CC]],4,0),"")</f>
        <v>10-115</v>
      </c>
      <c r="G23" s="170" t="s">
        <v>315</v>
      </c>
      <c r="H23" s="1065" t="str">
        <f>IFERROR(VLOOKUP(G23,Recria[[Granja Recria]:[Núcleo]],2,0),"")</f>
        <v>(N1)</v>
      </c>
      <c r="I23" s="276">
        <v>60000</v>
      </c>
      <c r="J23" s="274" t="s">
        <v>20</v>
      </c>
      <c r="K23" s="274">
        <v>43</v>
      </c>
      <c r="L23" s="803" t="str">
        <f>VLOOKUP(M23,Raca_Linhagem[],2,0)</f>
        <v>COBB</v>
      </c>
      <c r="M23" s="803" t="s">
        <v>21</v>
      </c>
      <c r="N23" s="907">
        <f t="shared" si="1"/>
        <v>46114</v>
      </c>
      <c r="O23" s="905"/>
      <c r="P23" s="905" t="str">
        <f>IFERROR(VLOOKUP(Q23,Producao[[Granja Produção]:[Emp+CC]],4,0),"")</f>
        <v/>
      </c>
      <c r="Q23" s="1062" t="s">
        <v>330</v>
      </c>
      <c r="R23" s="1057" t="str">
        <f>IFERROR(VLOOKUP(Q23,Producao[[Granja Produção]:[Núcleo]],2,0),"")</f>
        <v/>
      </c>
      <c r="S23" s="1063">
        <v>44440</v>
      </c>
      <c r="T23" s="1058">
        <f t="shared" si="2"/>
        <v>46442</v>
      </c>
      <c r="U23" s="1059">
        <v>68</v>
      </c>
      <c r="V23" s="1060">
        <f>N51-T23</f>
        <v>58</v>
      </c>
      <c r="W23" s="1061">
        <f t="shared" si="3"/>
        <v>46500</v>
      </c>
      <c r="X23" s="1067" t="e">
        <f>VLOOKUP(Q23,Q46:Q86,1,0)</f>
        <v>#N/A</v>
      </c>
      <c r="Y23" s="959"/>
      <c r="Z23" s="959"/>
      <c r="AA23" s="959"/>
    </row>
    <row r="24" spans="1:27" ht="15" customHeight="1">
      <c r="A24" s="225" t="s">
        <v>17</v>
      </c>
      <c r="B24" s="226">
        <f>N12+K12</f>
        <v>45976</v>
      </c>
      <c r="C24" s="227">
        <v>45967</v>
      </c>
      <c r="D24" s="970">
        <v>100625</v>
      </c>
      <c r="E24" s="228">
        <f t="shared" ca="1" si="0"/>
        <v>46.714285714285715</v>
      </c>
      <c r="F24" s="228" t="str">
        <f>IFERROR(VLOOKUP(G24,Recria[[Granja Recria]:[Emp+CC]],4,0),"")</f>
        <v>10-115</v>
      </c>
      <c r="G24" s="229" t="s">
        <v>315</v>
      </c>
      <c r="H24" s="829" t="str">
        <f>IFERROR(VLOOKUP(G24,Recria[[Granja Recria]:[Núcleo]],2,0),"")</f>
        <v>(N1)</v>
      </c>
      <c r="I24" s="228"/>
      <c r="J24" s="274" t="s">
        <v>20</v>
      </c>
      <c r="K24" s="225">
        <v>43</v>
      </c>
      <c r="L24" s="803" t="str">
        <f>VLOOKUP(M24,Raca_Linhagem[],2,0)</f>
        <v>COBB</v>
      </c>
      <c r="M24" s="803" t="s">
        <v>21</v>
      </c>
      <c r="N24" s="925">
        <f t="shared" si="1"/>
        <v>46114</v>
      </c>
      <c r="O24" s="952">
        <v>230426</v>
      </c>
      <c r="P24" s="924" t="str">
        <f>IFERROR(VLOOKUP(Q24,Producao[[Granja Produção]:[Emp+CC]],4,0),"")</f>
        <v>81_785</v>
      </c>
      <c r="Q24" s="950" t="s">
        <v>331</v>
      </c>
      <c r="R24" s="924" t="str">
        <f>IFERROR(VLOOKUP(Q24,Producao[[Granja Produção]:[Núcleo]],2,0),"")</f>
        <v>(N5)</v>
      </c>
      <c r="S24" s="927">
        <v>12560</v>
      </c>
      <c r="T24" s="933">
        <f t="shared" si="2"/>
        <v>46442</v>
      </c>
      <c r="U24" s="934">
        <v>68</v>
      </c>
      <c r="V24" s="953">
        <f>N52-T24</f>
        <v>58</v>
      </c>
      <c r="W24" s="936">
        <f t="shared" si="3"/>
        <v>46500</v>
      </c>
      <c r="X24" s="802" t="str">
        <f>VLOOKUP(Q24,Q47:Q87,1,0)</f>
        <v>Potreiro 5 - SP</v>
      </c>
      <c r="Y24" s="476"/>
      <c r="Z24" s="476"/>
      <c r="AA24" s="476"/>
    </row>
    <row r="25" spans="1:27" ht="15" customHeight="1">
      <c r="A25" s="677" t="s">
        <v>17</v>
      </c>
      <c r="B25" s="1169">
        <v>45965</v>
      </c>
      <c r="C25" s="1170">
        <v>45967</v>
      </c>
      <c r="D25" s="1171">
        <v>100425</v>
      </c>
      <c r="E25" s="1172">
        <f t="shared" ca="1" si="0"/>
        <v>46.714285714285715</v>
      </c>
      <c r="F25" s="1172" t="s">
        <v>332</v>
      </c>
      <c r="G25" s="1173" t="s">
        <v>95</v>
      </c>
      <c r="H25" s="1174" t="s">
        <v>333</v>
      </c>
      <c r="I25" s="1175"/>
      <c r="J25" s="677" t="s">
        <v>45</v>
      </c>
      <c r="K25" s="677" t="s">
        <v>45</v>
      </c>
      <c r="L25" s="803" t="str">
        <f>VLOOKUP(M25,Raca_Linhagem[],2,0)</f>
        <v>COBB</v>
      </c>
      <c r="M25" s="803" t="s">
        <v>21</v>
      </c>
      <c r="N25" s="925">
        <f t="shared" si="1"/>
        <v>46114</v>
      </c>
      <c r="O25" s="952">
        <v>230526</v>
      </c>
      <c r="P25" s="924" t="str">
        <f>IFERROR(VLOOKUP(Q25,Producao[[Granja Produção]:[Emp+CC]],4,0),"")</f>
        <v>92_961</v>
      </c>
      <c r="Q25" s="931" t="s">
        <v>203</v>
      </c>
      <c r="R25" s="460" t="str">
        <f>IFERROR(VLOOKUP(Q25,Producao[[Granja Produção]:[Núcleo]],2,0),"")</f>
        <v>(N1)</v>
      </c>
      <c r="S25" s="932">
        <v>34000</v>
      </c>
      <c r="T25" s="933">
        <f t="shared" si="2"/>
        <v>46442</v>
      </c>
      <c r="U25" s="934">
        <v>68</v>
      </c>
      <c r="V25" s="953">
        <f>N53-T25</f>
        <v>93</v>
      </c>
      <c r="W25" s="936">
        <f t="shared" si="3"/>
        <v>46535</v>
      </c>
      <c r="X25" s="802" t="str">
        <f>VLOOKUP(Q25,Q48:Q88,1,0)</f>
        <v>Morro agudo - SP</v>
      </c>
      <c r="Y25" s="476"/>
      <c r="Z25" s="476"/>
      <c r="AA25" s="476"/>
    </row>
    <row r="26" spans="1:27" ht="15" customHeight="1">
      <c r="A26" s="677" t="s">
        <v>17</v>
      </c>
      <c r="B26" s="1169">
        <v>45965</v>
      </c>
      <c r="C26" s="1170">
        <v>45967</v>
      </c>
      <c r="D26" s="1171">
        <v>100425</v>
      </c>
      <c r="E26" s="1172">
        <f t="shared" ca="1" si="0"/>
        <v>46.714285714285715</v>
      </c>
      <c r="F26" s="1172" t="s">
        <v>332</v>
      </c>
      <c r="G26" s="1173" t="s">
        <v>95</v>
      </c>
      <c r="H26" s="1174" t="s">
        <v>333</v>
      </c>
      <c r="I26" s="1175"/>
      <c r="J26" s="677" t="s">
        <v>45</v>
      </c>
      <c r="K26" s="677">
        <v>43</v>
      </c>
      <c r="L26" s="803" t="str">
        <f>VLOOKUP(M26,Raca_Linhagem[],2,0)</f>
        <v>COBB</v>
      </c>
      <c r="M26" s="803" t="s">
        <v>21</v>
      </c>
      <c r="N26" s="925">
        <f t="shared" si="1"/>
        <v>46114</v>
      </c>
      <c r="O26" s="952">
        <v>230626</v>
      </c>
      <c r="P26" s="924" t="str">
        <f>IFERROR(VLOOKUP(Q26,Producao[[Granja Produção]:[Emp+CC]],4,0),"")</f>
        <v>14_496</v>
      </c>
      <c r="Q26" s="931" t="s">
        <v>204</v>
      </c>
      <c r="R26" s="460" t="str">
        <f>IFERROR(VLOOKUP(Q26,Producao[[Granja Produção]:[Núcleo]],2,0),"")</f>
        <v>(N1)</v>
      </c>
      <c r="S26" s="932">
        <v>12000</v>
      </c>
      <c r="T26" s="933">
        <f t="shared" si="2"/>
        <v>46442</v>
      </c>
      <c r="U26" s="934">
        <v>68</v>
      </c>
      <c r="V26" s="953">
        <f>N52-T26</f>
        <v>58</v>
      </c>
      <c r="W26" s="936">
        <f t="shared" si="3"/>
        <v>46500</v>
      </c>
      <c r="X26" s="802" t="str">
        <f>VLOOKUP(Q26,Q47:Q87,1,0)</f>
        <v>Carolina - SP</v>
      </c>
      <c r="Y26" s="476"/>
      <c r="Z26" s="476"/>
      <c r="AA26" s="476"/>
    </row>
    <row r="27" spans="1:27" ht="15" customHeight="1">
      <c r="A27" s="225" t="s">
        <v>244</v>
      </c>
      <c r="B27" s="226">
        <f>N12+K12</f>
        <v>45976</v>
      </c>
      <c r="C27" s="227">
        <v>45974</v>
      </c>
      <c r="D27" s="970">
        <v>200025</v>
      </c>
      <c r="E27" s="228">
        <f t="shared" ca="1" si="0"/>
        <v>45.714285714285715</v>
      </c>
      <c r="F27" s="228" t="str">
        <f>IFERROR(VLOOKUP(G27,Recria[[Granja Recria]:[Emp+CC]],4,0),"")</f>
        <v>22_481</v>
      </c>
      <c r="G27" s="229" t="s">
        <v>318</v>
      </c>
      <c r="H27" s="829" t="str">
        <f>IFERROR(VLOOKUP(G27,Recria[[Granja Recria]:[Núcleo]],2,0),"")</f>
        <v>(N2)</v>
      </c>
      <c r="I27" s="228">
        <v>30000</v>
      </c>
      <c r="J27" s="225" t="s">
        <v>20</v>
      </c>
      <c r="K27" s="225">
        <v>27</v>
      </c>
      <c r="L27" s="803" t="str">
        <f>VLOOKUP(M27,Raca_Linhagem[],2,0)</f>
        <v>COBB</v>
      </c>
      <c r="M27" s="803" t="s">
        <v>21</v>
      </c>
      <c r="N27" s="925">
        <f t="shared" si="1"/>
        <v>46121</v>
      </c>
      <c r="O27" s="952">
        <v>230626</v>
      </c>
      <c r="P27" s="924" t="str">
        <f>IFERROR(VLOOKUP(Q27,Producao[[Granja Produção]:[Emp+CC]],4,0),"")</f>
        <v>14_496</v>
      </c>
      <c r="Q27" s="931" t="s">
        <v>204</v>
      </c>
      <c r="R27" s="460" t="str">
        <f>IFERROR(VLOOKUP(Q27,Producao[[Granja Produção]:[Núcleo]],2,0),"")</f>
        <v>(N1)</v>
      </c>
      <c r="S27" s="927">
        <v>16000</v>
      </c>
      <c r="T27" s="933">
        <f t="shared" si="2"/>
        <v>46442</v>
      </c>
      <c r="U27" s="934">
        <v>67</v>
      </c>
      <c r="V27" s="953">
        <f>N50-T27</f>
        <v>46</v>
      </c>
      <c r="W27" s="936">
        <f t="shared" si="3"/>
        <v>46488</v>
      </c>
      <c r="X27" s="802" t="str">
        <f>VLOOKUP(Q27,Q48:Q88,1,0)</f>
        <v>Carolina - SP</v>
      </c>
      <c r="Y27" s="476"/>
      <c r="Z27" s="476"/>
      <c r="AA27" s="476"/>
    </row>
    <row r="28" spans="1:27" ht="15" customHeight="1">
      <c r="A28" s="225" t="s">
        <v>244</v>
      </c>
      <c r="B28" s="226">
        <f>N12+K12</f>
        <v>45976</v>
      </c>
      <c r="C28" s="227">
        <v>45974</v>
      </c>
      <c r="D28" s="970">
        <v>200025</v>
      </c>
      <c r="E28" s="228">
        <f t="shared" ca="1" si="0"/>
        <v>45.714285714285715</v>
      </c>
      <c r="F28" s="228" t="str">
        <f>IFERROR(VLOOKUP(G28,Recria[[Granja Recria]:[Emp+CC]],4,0),"")</f>
        <v>22_481</v>
      </c>
      <c r="G28" s="229" t="s">
        <v>318</v>
      </c>
      <c r="H28" s="829" t="str">
        <f>IFERROR(VLOOKUP(G28,Recria[[Granja Recria]:[Núcleo]],2,0),"")</f>
        <v>(N2)</v>
      </c>
      <c r="I28" s="228"/>
      <c r="J28" s="225" t="s">
        <v>20</v>
      </c>
      <c r="K28" s="225">
        <v>27</v>
      </c>
      <c r="L28" s="803" t="str">
        <f>VLOOKUP(M28,Raca_Linhagem[],2,0)</f>
        <v>COBB</v>
      </c>
      <c r="M28" s="803" t="s">
        <v>21</v>
      </c>
      <c r="N28" s="925">
        <f t="shared" ref="N28" si="4">C28+(22*7)-7</f>
        <v>46121</v>
      </c>
      <c r="O28" s="952">
        <v>230426</v>
      </c>
      <c r="P28" s="924" t="str">
        <f>IFERROR(VLOOKUP(Q28,Producao[[Granja Produção]:[Emp+CC]],4,0),"")</f>
        <v>81_785</v>
      </c>
      <c r="Q28" s="931" t="s">
        <v>331</v>
      </c>
      <c r="R28" s="460" t="str">
        <f>IFERROR(VLOOKUP(Q28,Producao[[Granja Produção]:[Núcleo]],2,0),"")</f>
        <v>(N5)</v>
      </c>
      <c r="S28" s="927">
        <v>12000</v>
      </c>
      <c r="T28" s="933">
        <f t="shared" ref="T28" si="5">C28+(U28*7)-1</f>
        <v>46442</v>
      </c>
      <c r="U28" s="934">
        <v>67</v>
      </c>
      <c r="V28" s="953">
        <f>N51-T28</f>
        <v>58</v>
      </c>
      <c r="W28" s="936">
        <f t="shared" ref="W28" si="6">IFERROR(T28+V28," ")</f>
        <v>46500</v>
      </c>
      <c r="X28" s="802" t="str">
        <f>VLOOKUP(Q28,Q48:Q89,1,0)</f>
        <v>Potreiro 5 - SP</v>
      </c>
      <c r="Y28" s="476"/>
      <c r="Z28" s="476"/>
      <c r="AA28" s="476"/>
    </row>
    <row r="29" spans="1:27" s="960" customFormat="1" ht="15.6" customHeight="1">
      <c r="A29" s="269" t="s">
        <v>17</v>
      </c>
      <c r="B29" s="270">
        <v>46031</v>
      </c>
      <c r="C29" s="271">
        <v>46030</v>
      </c>
      <c r="D29" s="272">
        <v>100126</v>
      </c>
      <c r="E29" s="273">
        <f t="shared" ca="1" si="0"/>
        <v>37.714285714285715</v>
      </c>
      <c r="F29" s="273" t="s">
        <v>334</v>
      </c>
      <c r="G29" s="954" t="s">
        <v>123</v>
      </c>
      <c r="H29" s="905" t="s">
        <v>333</v>
      </c>
      <c r="I29" s="273"/>
      <c r="J29" s="269" t="s">
        <v>20</v>
      </c>
      <c r="K29" s="269">
        <v>29</v>
      </c>
      <c r="L29" s="803" t="str">
        <f>VLOOKUP(M29,Raca_Linhagem[],2,0)</f>
        <v>COBB</v>
      </c>
      <c r="M29" s="816" t="s">
        <v>21</v>
      </c>
      <c r="N29" s="925">
        <f>C29+(22*7)-7</f>
        <v>46177</v>
      </c>
      <c r="O29" s="952">
        <v>230726</v>
      </c>
      <c r="P29" s="924" t="str">
        <f>IFERROR(VLOOKUP(Q29,Producao[[Granja Produção]:[Emp+CC]],4,0),"")</f>
        <v>121_2237</v>
      </c>
      <c r="Q29" s="944" t="s">
        <v>224</v>
      </c>
      <c r="R29" s="467" t="str">
        <f>IFERROR(VLOOKUP(Q29,Producao[[Granja Produção]:[Núcleo]],2,0),"")</f>
        <v>(N1)</v>
      </c>
      <c r="S29" s="927">
        <v>37000</v>
      </c>
      <c r="T29" s="933">
        <f t="shared" si="2"/>
        <v>46491</v>
      </c>
      <c r="U29" s="934">
        <v>66</v>
      </c>
      <c r="V29" s="953">
        <f>N53-T29</f>
        <v>44</v>
      </c>
      <c r="W29" s="936">
        <f>IFERROR(T29+V29," ")</f>
        <v>46535</v>
      </c>
      <c r="X29" s="802" t="str">
        <f>VLOOKUP(Q29,Q48:Q89,1,0)</f>
        <v>Santelmo - SP</v>
      </c>
      <c r="Y29" s="959"/>
      <c r="Z29" s="959"/>
      <c r="AA29" s="959"/>
    </row>
    <row r="30" spans="1:27" ht="15" customHeight="1">
      <c r="A30" s="467" t="s">
        <v>177</v>
      </c>
      <c r="B30" s="978">
        <f>N13+K13</f>
        <v>46032</v>
      </c>
      <c r="C30" s="979">
        <v>46030</v>
      </c>
      <c r="D30" s="970">
        <v>200026</v>
      </c>
      <c r="E30" s="468">
        <f t="shared" ca="1" si="0"/>
        <v>37.714285714285715</v>
      </c>
      <c r="F30" s="468" t="str">
        <f>IFERROR(VLOOKUP(G30,Recria[[Granja Recria]:[Emp+CC]],4,0),"")</f>
        <v>39_479</v>
      </c>
      <c r="G30" s="980" t="s">
        <v>298</v>
      </c>
      <c r="H30" s="981" t="str">
        <f>IFERROR(VLOOKUP(G30,Recria[[Granja Recria]:[Núcleo]],2,0),"")</f>
        <v>(N1)</v>
      </c>
      <c r="I30" s="468">
        <v>66000</v>
      </c>
      <c r="J30" s="467" t="s">
        <v>45</v>
      </c>
      <c r="K30" s="467">
        <v>57</v>
      </c>
      <c r="L30" s="803" t="str">
        <f>VLOOKUP(M30,Raca_Linhagem[],2,0)</f>
        <v>ROSS</v>
      </c>
      <c r="M30" s="816" t="s">
        <v>31</v>
      </c>
      <c r="N30" s="925">
        <f t="shared" ref="N30:N77" si="7">C30+(22*7)-7</f>
        <v>46177</v>
      </c>
      <c r="O30" s="1321">
        <v>230826</v>
      </c>
      <c r="P30" s="924" t="str">
        <f>IFERROR(VLOOKUP(Q30,Producao[[Granja Produção]:[Emp+CC]],4,0),"")</f>
        <v>18_476</v>
      </c>
      <c r="Q30" s="914" t="s">
        <v>300</v>
      </c>
      <c r="R30" s="913" t="str">
        <f>IFERROR(VLOOKUP(Q30,Producao[[Granja Produção]:[Núcleo]],2,0),"")</f>
        <v>(N1)</v>
      </c>
      <c r="S30" s="927">
        <v>52000</v>
      </c>
      <c r="T30" s="933">
        <f t="shared" si="2"/>
        <v>46498</v>
      </c>
      <c r="U30" s="934">
        <v>67</v>
      </c>
      <c r="V30" s="953">
        <f>N54-T30</f>
        <v>54</v>
      </c>
      <c r="W30" s="936">
        <f t="shared" ref="W30:W77" si="8">IFERROR(T30+V30," ")</f>
        <v>46552</v>
      </c>
      <c r="X30" s="802" t="str">
        <f>VLOOKUP(Q30,Q49:Q90,1,0)</f>
        <v>Pardinho 1 - SP</v>
      </c>
      <c r="Y30" s="476"/>
      <c r="Z30" s="476"/>
      <c r="AA30" s="476"/>
    </row>
    <row r="31" spans="1:27" s="960" customFormat="1" ht="15.6" customHeight="1">
      <c r="A31" s="1176" t="s">
        <v>17</v>
      </c>
      <c r="B31" s="1177">
        <v>46074</v>
      </c>
      <c r="C31" s="1178">
        <v>46072</v>
      </c>
      <c r="D31" s="1171">
        <v>101026</v>
      </c>
      <c r="E31" s="1179">
        <f t="shared" ca="1" si="0"/>
        <v>31.714285714285715</v>
      </c>
      <c r="F31" s="1179" t="s">
        <v>335</v>
      </c>
      <c r="G31" s="1173" t="s">
        <v>52</v>
      </c>
      <c r="H31" s="1174" t="s">
        <v>333</v>
      </c>
      <c r="I31" s="1180"/>
      <c r="J31" s="1176" t="s">
        <v>45</v>
      </c>
      <c r="K31" s="1176">
        <v>56</v>
      </c>
      <c r="L31" s="803" t="str">
        <f>VLOOKUP(M31,Raca_Linhagem[],2,0)</f>
        <v>COBB</v>
      </c>
      <c r="M31" s="803" t="s">
        <v>21</v>
      </c>
      <c r="N31" s="925">
        <f t="shared" si="7"/>
        <v>46219</v>
      </c>
      <c r="O31" s="952">
        <v>230926</v>
      </c>
      <c r="P31" s="924" t="str">
        <f>IFERROR(VLOOKUP(Q31,Producao[[Granja Produção]:[Emp+CC]],4,0),"")</f>
        <v>126_2244</v>
      </c>
      <c r="Q31" s="1033" t="s">
        <v>22</v>
      </c>
      <c r="R31" s="467" t="str">
        <f>IFERROR(VLOOKUP(Q31,Producao[[Granja Produção]:[Núcleo]],2,0),"")</f>
        <v>(N1)</v>
      </c>
      <c r="S31" s="1232">
        <v>9000</v>
      </c>
      <c r="T31" s="933">
        <f t="shared" si="2"/>
        <v>46561</v>
      </c>
      <c r="U31" s="934">
        <v>70</v>
      </c>
      <c r="V31" s="953">
        <f>N56-T31</f>
        <v>72</v>
      </c>
      <c r="W31" s="936">
        <f t="shared" si="8"/>
        <v>46633</v>
      </c>
      <c r="X31" s="802" t="str">
        <f>VLOOKUP(Q31,Q50:Q91,1,0)</f>
        <v>Beltrame - SP</v>
      </c>
      <c r="Y31" s="959"/>
      <c r="Z31" s="959"/>
      <c r="AA31" s="959"/>
    </row>
    <row r="32" spans="1:27" s="960" customFormat="1" ht="15.6" customHeight="1">
      <c r="A32" s="1176" t="s">
        <v>17</v>
      </c>
      <c r="B32" s="1177">
        <v>46078</v>
      </c>
      <c r="C32" s="1178">
        <v>46079</v>
      </c>
      <c r="D32" s="1171">
        <v>100826</v>
      </c>
      <c r="E32" s="1179">
        <f t="shared" ca="1" si="0"/>
        <v>30.714285714285715</v>
      </c>
      <c r="F32" s="1179" t="s">
        <v>336</v>
      </c>
      <c r="G32" s="1173" t="s">
        <v>25</v>
      </c>
      <c r="H32" s="1174" t="s">
        <v>333</v>
      </c>
      <c r="I32" s="1180"/>
      <c r="J32" s="1176" t="s">
        <v>60</v>
      </c>
      <c r="K32" s="1176">
        <v>25</v>
      </c>
      <c r="L32" s="803" t="str">
        <f>VLOOKUP(M32,Raca_Linhagem[],2,0)</f>
        <v>COBB</v>
      </c>
      <c r="M32" s="803" t="s">
        <v>232</v>
      </c>
      <c r="N32" s="925">
        <f t="shared" ref="N32" si="9">C32+(22*7)-7</f>
        <v>46226</v>
      </c>
      <c r="O32" s="952">
        <v>230926</v>
      </c>
      <c r="P32" s="924" t="str">
        <f>IFERROR(VLOOKUP(Q32,Producao[[Granja Produção]:[Emp+CC]],4,0),"")</f>
        <v>126_2244</v>
      </c>
      <c r="Q32" s="1033" t="s">
        <v>22</v>
      </c>
      <c r="R32" s="467" t="str">
        <f>IFERROR(VLOOKUP(Q32,Producao[[Granja Produção]:[Núcleo]],2,0),"")</f>
        <v>(N1)</v>
      </c>
      <c r="S32" s="1232">
        <v>15000</v>
      </c>
      <c r="T32" s="933">
        <f t="shared" ref="T32" si="10">C32+(U32*7)-1</f>
        <v>46568</v>
      </c>
      <c r="U32" s="934">
        <v>70</v>
      </c>
      <c r="V32" s="953">
        <f>N57-T32</f>
        <v>65</v>
      </c>
      <c r="W32" s="936">
        <f t="shared" ref="W32" si="11">IFERROR(T32+V32," ")</f>
        <v>46633</v>
      </c>
      <c r="X32" s="802" t="str">
        <f>VLOOKUP(Q32,Q51:Q92,1,0)</f>
        <v>Beltrame - SP</v>
      </c>
      <c r="Y32" s="959"/>
      <c r="Z32" s="959"/>
      <c r="AA32" s="959"/>
    </row>
    <row r="33" spans="1:27" s="960" customFormat="1" ht="15.6" customHeight="1">
      <c r="A33" s="677" t="s">
        <v>17</v>
      </c>
      <c r="B33" s="1169">
        <v>46094</v>
      </c>
      <c r="C33" s="1170">
        <v>46093</v>
      </c>
      <c r="D33" s="1171">
        <v>101126</v>
      </c>
      <c r="E33" s="1172">
        <f t="shared" ca="1" si="0"/>
        <v>28.714285714285715</v>
      </c>
      <c r="F33" s="1172" t="s">
        <v>337</v>
      </c>
      <c r="G33" s="1241" t="s">
        <v>68</v>
      </c>
      <c r="H33" s="1242" t="s">
        <v>333</v>
      </c>
      <c r="I33" s="1175"/>
      <c r="J33" s="677" t="s">
        <v>45</v>
      </c>
      <c r="K33" s="677">
        <v>50</v>
      </c>
      <c r="L33" s="803" t="s">
        <v>283</v>
      </c>
      <c r="M33" s="803" t="s">
        <v>21</v>
      </c>
      <c r="N33" s="925">
        <f>C33+(22*7)-7</f>
        <v>46240</v>
      </c>
      <c r="O33" s="952">
        <v>231126</v>
      </c>
      <c r="P33" s="924" t="str">
        <f>IFERROR(VLOOKUP(Q33,Producao[[Granja Produção]:[Emp+CC]],4,0),"")</f>
        <v>18_473</v>
      </c>
      <c r="Q33" s="1033" t="s">
        <v>234</v>
      </c>
      <c r="R33" s="467" t="str">
        <f>IFERROR(VLOOKUP(Q33,Producao[[Granja Produção]:[Núcleo]],2,0),"")</f>
        <v>(N2)</v>
      </c>
      <c r="S33" s="1232">
        <v>18000</v>
      </c>
      <c r="T33" s="933">
        <f t="shared" si="2"/>
        <v>46582</v>
      </c>
      <c r="U33" s="934">
        <v>70</v>
      </c>
      <c r="V33" s="953">
        <f>N57-T33</f>
        <v>51</v>
      </c>
      <c r="W33" s="936">
        <f>IFERROR(T33+V33," ")</f>
        <v>46633</v>
      </c>
      <c r="X33" s="802" t="str">
        <f>VLOOKUP(Q33,Q51:Q92,1,0)</f>
        <v>Pardinho 2 - SP</v>
      </c>
      <c r="Y33" s="959"/>
      <c r="Z33" s="959"/>
      <c r="AA33" s="959"/>
    </row>
    <row r="34" spans="1:27" ht="15.6" customHeight="1">
      <c r="A34" s="467" t="s">
        <v>177</v>
      </c>
      <c r="B34" s="978">
        <f>N16+K16</f>
        <v>46070</v>
      </c>
      <c r="C34" s="979">
        <v>46072</v>
      </c>
      <c r="D34" s="970">
        <v>200126</v>
      </c>
      <c r="E34" s="468">
        <f t="shared" ref="E34:E46" ca="1" si="12">IF((TODAY()-C34)/7&gt;U34,U34,(TODAY()-C34)/7)</f>
        <v>31.714285714285715</v>
      </c>
      <c r="F34" s="468" t="str">
        <f>IFERROR(VLOOKUP(G34,Recria[[Granja Recria]:[Emp+CC]],4,0),"")</f>
        <v>29_2238</v>
      </c>
      <c r="G34" s="980" t="s">
        <v>243</v>
      </c>
      <c r="H34" s="981" t="str">
        <f>IFERROR(VLOOKUP(G34,Recria[[Granja Recria]:[Núcleo]],2,0),"")</f>
        <v>(N1)</v>
      </c>
      <c r="I34" s="468">
        <v>60000</v>
      </c>
      <c r="J34" s="467" t="s">
        <v>45</v>
      </c>
      <c r="K34" s="467">
        <v>45</v>
      </c>
      <c r="L34" s="803" t="str">
        <f>VLOOKUP(M34,Raca_Linhagem[],2,0)</f>
        <v>ROSS</v>
      </c>
      <c r="M34" s="816" t="s">
        <v>31</v>
      </c>
      <c r="N34" s="925">
        <f t="shared" si="7"/>
        <v>46219</v>
      </c>
      <c r="O34" s="952">
        <v>231026</v>
      </c>
      <c r="P34" s="924" t="str">
        <f>IFERROR(VLOOKUP(Q34,Producao[[Granja Produção]:[Emp+CC]],4,0),"")</f>
        <v>127_2243</v>
      </c>
      <c r="Q34" s="950" t="s">
        <v>307</v>
      </c>
      <c r="R34" s="924" t="str">
        <f>IFERROR(VLOOKUP(Q34,Producao[[Granja Produção]:[Núcleo]],2,0),"")</f>
        <v>(N1)</v>
      </c>
      <c r="S34" s="927">
        <v>57000</v>
      </c>
      <c r="T34" s="933">
        <f t="shared" si="2"/>
        <v>46547</v>
      </c>
      <c r="U34" s="934">
        <v>68</v>
      </c>
      <c r="V34" s="953">
        <f>N55-T34</f>
        <v>33</v>
      </c>
      <c r="W34" s="936">
        <f t="shared" si="8"/>
        <v>46580</v>
      </c>
      <c r="X34" s="802" t="str">
        <f>VLOOKUP(Q34,Q52:Q93,1,0)</f>
        <v>São gabriel - SP</v>
      </c>
      <c r="Y34" s="476"/>
      <c r="Z34" s="476"/>
      <c r="AA34" s="476"/>
    </row>
    <row r="35" spans="1:27" ht="15" customHeight="1">
      <c r="A35" s="467" t="s">
        <v>177</v>
      </c>
      <c r="B35" s="978">
        <f>N21+K21</f>
        <v>46112</v>
      </c>
      <c r="C35" s="979">
        <v>46114</v>
      </c>
      <c r="D35" s="970">
        <v>200226</v>
      </c>
      <c r="E35" s="468">
        <f t="shared" ca="1" si="12"/>
        <v>25.714285714285715</v>
      </c>
      <c r="F35" s="468" t="str">
        <f>IFERROR(VLOOKUP(G35,Recria[[Granja Recria]:[Emp+CC]],4,0),"")</f>
        <v>39_464</v>
      </c>
      <c r="G35" s="980" t="s">
        <v>178</v>
      </c>
      <c r="H35" s="981" t="str">
        <f>IFERROR(VLOOKUP(G35,Recria[[Granja Recria]:[Núcleo]],2,0),"")</f>
        <v>(N2)</v>
      </c>
      <c r="I35" s="468">
        <v>46000</v>
      </c>
      <c r="J35" s="467" t="s">
        <v>60</v>
      </c>
      <c r="K35" s="467">
        <v>28</v>
      </c>
      <c r="L35" s="803" t="str">
        <f>VLOOKUP(M35,Raca_Linhagem[],2,0)</f>
        <v>COBB</v>
      </c>
      <c r="M35" s="816" t="s">
        <v>37</v>
      </c>
      <c r="N35" s="972">
        <f>C35+(22*7)-7</f>
        <v>46261</v>
      </c>
      <c r="O35" s="1182">
        <v>231226</v>
      </c>
      <c r="P35" s="973" t="str">
        <f>IFERROR(VLOOKUP(Q35,Producao[[Granja Produção]:[Emp+CC]],4,0),"")</f>
        <v>125_2245</v>
      </c>
      <c r="Q35" s="985" t="s">
        <v>312</v>
      </c>
      <c r="R35" s="986" t="str">
        <f>IFERROR(VLOOKUP(Q35,Producao[[Granja Produção]:[Núcleo]],2,0),"")</f>
        <v>(N1)</v>
      </c>
      <c r="S35" s="977">
        <v>24000</v>
      </c>
      <c r="T35" s="933">
        <f t="shared" si="2"/>
        <v>46603</v>
      </c>
      <c r="U35" s="934">
        <v>70</v>
      </c>
      <c r="V35" s="953">
        <f>N59-T35</f>
        <v>59</v>
      </c>
      <c r="W35" s="936">
        <f>IFERROR(T35+V35," ")</f>
        <v>46662</v>
      </c>
      <c r="X35" s="802" t="str">
        <f>VLOOKUP(Q35,Q53:Q94,1,0)</f>
        <v>Olivio Serra - SP</v>
      </c>
      <c r="Y35" s="476"/>
      <c r="Z35" s="476"/>
      <c r="AA35" s="476"/>
    </row>
    <row r="36" spans="1:27" ht="15" customHeight="1">
      <c r="A36" s="467" t="s">
        <v>177</v>
      </c>
      <c r="B36" s="978">
        <f>N21+K21</f>
        <v>46112</v>
      </c>
      <c r="C36" s="979">
        <v>46114</v>
      </c>
      <c r="D36" s="970">
        <v>200226</v>
      </c>
      <c r="E36" s="468">
        <f t="shared" ca="1" si="12"/>
        <v>25.714285714285715</v>
      </c>
      <c r="F36" s="468" t="str">
        <f>IFERROR(VLOOKUP(G36,Recria[[Granja Recria]:[Emp+CC]],4,0),"")</f>
        <v>39_464</v>
      </c>
      <c r="G36" s="980" t="s">
        <v>178</v>
      </c>
      <c r="H36" s="981" t="str">
        <f>IFERROR(VLOOKUP(G36,Recria[[Granja Recria]:[Núcleo]],2,0),"")</f>
        <v>(N2)</v>
      </c>
      <c r="I36" s="468"/>
      <c r="J36" s="467" t="s">
        <v>60</v>
      </c>
      <c r="K36" s="467">
        <v>28</v>
      </c>
      <c r="L36" s="803" t="str">
        <f>VLOOKUP(M36,Raca_Linhagem[],2,0)</f>
        <v>COBB</v>
      </c>
      <c r="M36" s="816" t="s">
        <v>37</v>
      </c>
      <c r="N36" s="972">
        <f>C36+(22*7)-7</f>
        <v>46261</v>
      </c>
      <c r="O36" s="1182">
        <v>231326</v>
      </c>
      <c r="P36" s="973" t="str">
        <f>IFERROR(VLOOKUP(Q36,Producao[[Granja Produção]:[Emp+CC]],4,0),"")</f>
        <v>81_826</v>
      </c>
      <c r="Q36" s="985" t="s">
        <v>257</v>
      </c>
      <c r="R36" s="986" t="str">
        <f>IFERROR(VLOOKUP(Q36,Producao[[Granja Produção]:[Núcleo]],2,0),"")</f>
        <v>(N4)</v>
      </c>
      <c r="S36" s="977">
        <v>18000</v>
      </c>
      <c r="T36" s="933">
        <f t="shared" si="2"/>
        <v>46575</v>
      </c>
      <c r="U36" s="934">
        <v>66</v>
      </c>
      <c r="V36" s="953">
        <f>N58-T36</f>
        <v>48</v>
      </c>
      <c r="W36" s="936">
        <f>IFERROR(T36+V36," ")</f>
        <v>46623</v>
      </c>
      <c r="X36" s="802" t="str">
        <f>VLOOKUP(Q36,Q54:Q95,1,0)</f>
        <v>Potreiro 4 - SP</v>
      </c>
      <c r="Y36" s="476"/>
      <c r="Z36" s="476"/>
      <c r="AA36" s="476"/>
    </row>
    <row r="37" spans="1:27" ht="15" customHeight="1">
      <c r="A37" s="467" t="s">
        <v>244</v>
      </c>
      <c r="B37" s="978">
        <f>N19+K19</f>
        <v>46126</v>
      </c>
      <c r="C37" s="979">
        <v>46121</v>
      </c>
      <c r="D37" s="970">
        <v>200326</v>
      </c>
      <c r="E37" s="468">
        <f t="shared" ca="1" si="12"/>
        <v>24.714285714285715</v>
      </c>
      <c r="F37" s="468" t="str">
        <f>IFERROR(VLOOKUP(G37,Recria[[Granja Recria]:[Emp+CC]],4,0),"")</f>
        <v>22_494</v>
      </c>
      <c r="G37" s="980" t="s">
        <v>245</v>
      </c>
      <c r="H37" s="981" t="str">
        <f>IFERROR(VLOOKUP(G37,Recria[[Granja Recria]:[Núcleo]],2,0),"")</f>
        <v>(N1)</v>
      </c>
      <c r="I37" s="468">
        <v>30000</v>
      </c>
      <c r="J37" s="467" t="s">
        <v>60</v>
      </c>
      <c r="K37" s="467">
        <v>40</v>
      </c>
      <c r="L37" s="803" t="str">
        <f>VLOOKUP(M37,Raca_Linhagem[],2,0)</f>
        <v>ROSS</v>
      </c>
      <c r="M37" s="812" t="s">
        <v>26</v>
      </c>
      <c r="N37" s="972">
        <f t="shared" si="7"/>
        <v>46268</v>
      </c>
      <c r="O37" s="1182">
        <v>231426</v>
      </c>
      <c r="P37" s="973" t="str">
        <f>IFERROR(VLOOKUP(Q37,Producao[[Granja Produção]:[Emp+CC]],4,0),"")</f>
        <v>130_451</v>
      </c>
      <c r="Q37" s="984" t="s">
        <v>65</v>
      </c>
      <c r="R37" s="973" t="str">
        <f>IFERROR(VLOOKUP(Q37,Producao[[Granja Produção]:[Núcleo]],2,0),"")</f>
        <v>(N1)</v>
      </c>
      <c r="S37" s="977">
        <v>28000</v>
      </c>
      <c r="T37" s="933">
        <f t="shared" si="2"/>
        <v>46589</v>
      </c>
      <c r="U37" s="934">
        <v>67</v>
      </c>
      <c r="V37" s="953">
        <f>N60-T38</f>
        <v>59</v>
      </c>
      <c r="W37" s="936">
        <f t="shared" si="8"/>
        <v>46648</v>
      </c>
      <c r="X37" s="802" t="str">
        <f>VLOOKUP(Q37,Q56:Q97,1,0)</f>
        <v>Brodoski - SP</v>
      </c>
      <c r="Y37" s="476"/>
      <c r="Z37" s="476"/>
      <c r="AA37" s="476"/>
    </row>
    <row r="38" spans="1:27" ht="14.4" customHeight="1">
      <c r="A38" s="937" t="s">
        <v>17</v>
      </c>
      <c r="B38" s="938">
        <v>46116</v>
      </c>
      <c r="C38" s="979">
        <v>46114</v>
      </c>
      <c r="D38" s="940"/>
      <c r="E38" s="927">
        <f ca="1">IF((TODAY()-C38)/7&gt;U38,U38,(TODAY()-C38)/7)</f>
        <v>25.714285714285715</v>
      </c>
      <c r="F38" s="941" t="str">
        <f>IFERROR(VLOOKUP(G38,Recria[[Granja Recria]:[Emp+CC]],4,0),"")</f>
        <v/>
      </c>
      <c r="G38" s="942" t="s">
        <v>329</v>
      </c>
      <c r="H38" s="943" t="str">
        <f>IFERROR(VLOOKUP(G38,Recria[[Granja Recria]:[Núcleo]],2,0),"")</f>
        <v/>
      </c>
      <c r="I38" s="951"/>
      <c r="J38" s="937" t="s">
        <v>60</v>
      </c>
      <c r="K38" s="937">
        <v>26</v>
      </c>
      <c r="L38" s="803" t="str">
        <f>VLOOKUP(M38,Raca_Linhagem[],2,0)</f>
        <v>COBB</v>
      </c>
      <c r="M38" s="806" t="s">
        <v>37</v>
      </c>
      <c r="N38" s="925">
        <f>C38+(22*7)-7</f>
        <v>46261</v>
      </c>
      <c r="O38" s="952">
        <v>231526</v>
      </c>
      <c r="P38" s="924" t="str">
        <f>IFERROR(VLOOKUP(Q38,Producao[[Granja Produção]:[Emp+CC]],4,0),"")</f>
        <v>130_451</v>
      </c>
      <c r="Q38" s="944" t="s">
        <v>65</v>
      </c>
      <c r="R38" s="467" t="str">
        <f>IFERROR(VLOOKUP(Q38,Producao[[Granja Produção]:[Núcleo]],2,0),"")</f>
        <v>(N1)</v>
      </c>
      <c r="S38" s="927">
        <v>8000</v>
      </c>
      <c r="T38" s="916">
        <f>C38+(U38*7)-1</f>
        <v>46603</v>
      </c>
      <c r="U38" s="917">
        <v>70</v>
      </c>
      <c r="V38" s="971">
        <f>N60-T38</f>
        <v>59</v>
      </c>
      <c r="W38" s="919">
        <f>IFERROR(T38+V38," ")</f>
        <v>46662</v>
      </c>
      <c r="X38" s="802" t="str">
        <f>VLOOKUP(Q38,Q55:Q96,1,0)</f>
        <v>Brodoski - SP</v>
      </c>
      <c r="Y38" s="476"/>
      <c r="Z38" s="476"/>
      <c r="AA38" s="476"/>
    </row>
    <row r="39" spans="1:27" ht="15" customHeight="1">
      <c r="A39" s="467" t="s">
        <v>244</v>
      </c>
      <c r="B39" s="978">
        <f>N27+K27</f>
        <v>46148</v>
      </c>
      <c r="C39" s="979">
        <v>46149</v>
      </c>
      <c r="D39" s="970">
        <v>200426</v>
      </c>
      <c r="E39" s="468">
        <f t="shared" ca="1" si="12"/>
        <v>20.714285714285715</v>
      </c>
      <c r="F39" s="468" t="str">
        <f>IFERROR(VLOOKUP(G39,Recria[[Granja Recria]:[Emp+CC]],4,0),"")</f>
        <v>22_481</v>
      </c>
      <c r="G39" s="980" t="s">
        <v>318</v>
      </c>
      <c r="H39" s="981" t="str">
        <f>IFERROR(VLOOKUP(G39,Recria[[Granja Recria]:[Núcleo]],2,0),"")</f>
        <v>(N2)</v>
      </c>
      <c r="I39" s="468">
        <v>30000</v>
      </c>
      <c r="J39" s="467" t="s">
        <v>45</v>
      </c>
      <c r="K39" s="467">
        <v>45</v>
      </c>
      <c r="L39" s="803" t="str">
        <f>VLOOKUP(M39,Raca_Linhagem[],2,0)</f>
        <v>COBB</v>
      </c>
      <c r="M39" s="803" t="s">
        <v>112</v>
      </c>
      <c r="N39" s="972">
        <f t="shared" si="7"/>
        <v>46296</v>
      </c>
      <c r="O39" s="973"/>
      <c r="P39" s="973" t="str">
        <f>IFERROR(VLOOKUP(Q39,Producao[[Granja Produção]:[Emp+CC]],4,0),"")</f>
        <v>87_855</v>
      </c>
      <c r="Q39" s="984" t="s">
        <v>260</v>
      </c>
      <c r="R39" s="973" t="str">
        <f>IFERROR(VLOOKUP(Q39,Producao[[Granja Produção]:[Núcleo]],2,0),"")</f>
        <v>(N3)</v>
      </c>
      <c r="S39" s="977">
        <v>28000</v>
      </c>
      <c r="T39" s="933">
        <f t="shared" si="2"/>
        <v>46624</v>
      </c>
      <c r="U39" s="934">
        <v>68</v>
      </c>
      <c r="V39" s="953">
        <f>N62-T39</f>
        <v>55</v>
      </c>
      <c r="W39" s="936">
        <f t="shared" si="8"/>
        <v>46679</v>
      </c>
      <c r="X39" s="802" t="str">
        <f>VLOOKUP(Q39,Q57:Q98,1,0)</f>
        <v>Samambaia 3 - SP</v>
      </c>
      <c r="Y39" s="476"/>
      <c r="Z39" s="476"/>
      <c r="AA39" s="476"/>
    </row>
    <row r="40" spans="1:27" ht="15" customHeight="1">
      <c r="A40" s="467" t="s">
        <v>17</v>
      </c>
      <c r="B40" s="978">
        <f>'Pluma SP'!N23+'Pluma SP'!K23</f>
        <v>46157</v>
      </c>
      <c r="C40" s="979">
        <v>46156</v>
      </c>
      <c r="D40" s="970">
        <v>104026</v>
      </c>
      <c r="E40" s="468">
        <f t="shared" ca="1" si="12"/>
        <v>19.714285714285715</v>
      </c>
      <c r="F40" s="970" t="str">
        <f>IFERROR(VLOOKUP(G40,Recria[[Granja Recria]:[Emp+CC]],4,0),"")</f>
        <v>10-115</v>
      </c>
      <c r="G40" s="980" t="s">
        <v>315</v>
      </c>
      <c r="H40" s="981" t="str">
        <f>IFERROR(VLOOKUP(G40,Recria[[Granja Recria]:[Núcleo]],2,0),"")</f>
        <v>(N1)</v>
      </c>
      <c r="I40" s="468">
        <v>60000</v>
      </c>
      <c r="J40" s="467" t="s">
        <v>45</v>
      </c>
      <c r="K40" s="467">
        <v>50</v>
      </c>
      <c r="L40" s="803" t="str">
        <f>VLOOKUP(M40,Raca_Linhagem[],2,0)</f>
        <v>COBB</v>
      </c>
      <c r="M40" s="816" t="s">
        <v>21</v>
      </c>
      <c r="N40" s="972">
        <f t="shared" si="7"/>
        <v>46303</v>
      </c>
      <c r="O40" s="973"/>
      <c r="P40" s="973" t="str">
        <f>IFERROR(VLOOKUP(Q40,Producao[[Granja Produção]:[Emp+CC]],4,0),"")</f>
        <v>19_495</v>
      </c>
      <c r="Q40" s="984" t="s">
        <v>316</v>
      </c>
      <c r="R40" s="973" t="str">
        <f>IFERROR(VLOOKUP(Q40,Producao[[Granja Produção]:[Núcleo]],2,0),"")</f>
        <v>(N1)</v>
      </c>
      <c r="S40" s="977">
        <v>57000</v>
      </c>
      <c r="T40" s="933">
        <f t="shared" si="2"/>
        <v>46624</v>
      </c>
      <c r="U40" s="934">
        <v>67</v>
      </c>
      <c r="V40" s="953">
        <f>N63-T40</f>
        <v>53</v>
      </c>
      <c r="W40" s="936">
        <f t="shared" si="8"/>
        <v>46677</v>
      </c>
      <c r="X40" s="802" t="str">
        <f>VLOOKUP(Q40,Q58:Q99,1,0)</f>
        <v>Faz. Santa Rosa - SP</v>
      </c>
      <c r="Y40" s="476"/>
      <c r="Z40" s="476"/>
      <c r="AA40" s="476"/>
    </row>
    <row r="41" spans="1:27" s="960" customFormat="1" ht="15.6" customHeight="1">
      <c r="A41" s="1176" t="s">
        <v>17</v>
      </c>
      <c r="B41" s="1177">
        <v>46224</v>
      </c>
      <c r="C41" s="1323">
        <v>46226</v>
      </c>
      <c r="D41" s="1142"/>
      <c r="E41" s="468">
        <f t="shared" ca="1" si="12"/>
        <v>9.7142857142857135</v>
      </c>
      <c r="F41" s="1179" t="s">
        <v>338</v>
      </c>
      <c r="G41" s="1241" t="s">
        <v>329</v>
      </c>
      <c r="H41" s="1174" t="s">
        <v>333</v>
      </c>
      <c r="I41" s="1180"/>
      <c r="J41" s="1176" t="s">
        <v>45</v>
      </c>
      <c r="K41" s="1176">
        <v>50</v>
      </c>
      <c r="L41" s="803" t="str">
        <f>VLOOKUP(M41,Raca_Linhagem[],2,0)</f>
        <v>COBB</v>
      </c>
      <c r="M41" s="806" t="s">
        <v>37</v>
      </c>
      <c r="N41" s="972">
        <f>C41+(22*7)-7</f>
        <v>46373</v>
      </c>
      <c r="O41" s="973"/>
      <c r="P41" s="973" t="str">
        <f>IFERROR(VLOOKUP(Q41,Producao[[Granja Produção]:[Emp+CC]],4,0),"")</f>
        <v>87_854</v>
      </c>
      <c r="Q41" s="984" t="s">
        <v>165</v>
      </c>
      <c r="R41" s="973" t="str">
        <f>IFERROR(VLOOKUP(Q41,Producao[[Granja Produção]:[Núcleo]],2,0),"")</f>
        <v>(N2)</v>
      </c>
      <c r="S41" s="977">
        <v>20000</v>
      </c>
      <c r="T41" s="933">
        <f>C41+(U41*7)-1</f>
        <v>46694</v>
      </c>
      <c r="U41" s="934">
        <v>67</v>
      </c>
      <c r="V41" s="953">
        <f>N65-T43</f>
        <v>48</v>
      </c>
      <c r="W41" s="936">
        <f>IFERROR(T41+V41," ")</f>
        <v>46742</v>
      </c>
      <c r="X41" s="802" t="str">
        <f>VLOOKUP(Q41,Q61:Q102,1,0)</f>
        <v>Samambaia 2 - SP</v>
      </c>
      <c r="Y41" s="959"/>
      <c r="Z41" s="959"/>
      <c r="AA41" s="959"/>
    </row>
    <row r="42" spans="1:27" ht="15" customHeight="1">
      <c r="A42" s="467" t="s">
        <v>177</v>
      </c>
      <c r="B42" s="978">
        <f>'Pluma SP'!N30+'Pluma SP'!K30</f>
        <v>46234</v>
      </c>
      <c r="C42" s="979">
        <v>46233</v>
      </c>
      <c r="D42" s="1075">
        <v>200526</v>
      </c>
      <c r="E42" s="468">
        <f t="shared" ca="1" si="12"/>
        <v>8.7142857142857135</v>
      </c>
      <c r="F42" s="468" t="str">
        <f>IFERROR(VLOOKUP(G42,Recria[[Granja Recria]:[Emp+CC]],4,0),"")</f>
        <v>39_479</v>
      </c>
      <c r="G42" s="980" t="s">
        <v>298</v>
      </c>
      <c r="H42" s="981" t="str">
        <f>IFERROR(VLOOKUP(G42,Recria[[Granja Recria]:[Núcleo]],2,0),"")</f>
        <v>(N1)</v>
      </c>
      <c r="I42" s="468">
        <v>65000</v>
      </c>
      <c r="J42" s="467" t="s">
        <v>60</v>
      </c>
      <c r="K42" s="467">
        <v>25</v>
      </c>
      <c r="L42" s="803" t="str">
        <f>VLOOKUP(M42,Raca_Linhagem[],2,0)</f>
        <v>COBB</v>
      </c>
      <c r="M42" s="816" t="s">
        <v>37</v>
      </c>
      <c r="N42" s="972">
        <f t="shared" si="7"/>
        <v>46380</v>
      </c>
      <c r="O42" s="973"/>
      <c r="P42" s="973" t="str">
        <f>IFERROR(VLOOKUP(Q42,Producao[[Granja Produção]:[Emp+CC]],4,0),"")</f>
        <v>87_854</v>
      </c>
      <c r="Q42" s="984" t="s">
        <v>165</v>
      </c>
      <c r="R42" s="973" t="str">
        <f>IFERROR(VLOOKUP(Q42,Producao[[Granja Produção]:[Núcleo]],2,0),"")</f>
        <v>(N2)</v>
      </c>
      <c r="S42" s="977">
        <v>17000</v>
      </c>
      <c r="T42" s="933">
        <f t="shared" si="2"/>
        <v>46701</v>
      </c>
      <c r="U42" s="934">
        <v>67</v>
      </c>
      <c r="V42" s="953">
        <f>N64-T42</f>
        <v>48</v>
      </c>
      <c r="W42" s="936">
        <f t="shared" si="8"/>
        <v>46749</v>
      </c>
      <c r="X42" s="802" t="str">
        <f>VLOOKUP(Q42,Q59:Q100,1,0)</f>
        <v>Samambaia 2 - SP</v>
      </c>
      <c r="Y42" s="476"/>
      <c r="Z42" s="476"/>
      <c r="AA42" s="476"/>
    </row>
    <row r="43" spans="1:27" ht="15" customHeight="1">
      <c r="A43" s="467" t="s">
        <v>177</v>
      </c>
      <c r="B43" s="978">
        <f>'Pluma SP'!N30+'Pluma SP'!K30</f>
        <v>46234</v>
      </c>
      <c r="C43" s="979">
        <v>46233</v>
      </c>
      <c r="D43" s="1075">
        <v>200526</v>
      </c>
      <c r="E43" s="468">
        <f t="shared" ca="1" si="12"/>
        <v>8.7142857142857135</v>
      </c>
      <c r="F43" s="468" t="str">
        <f>IFERROR(VLOOKUP(G43,Recria[[Granja Recria]:[Emp+CC]],4,0),"")</f>
        <v>39_479</v>
      </c>
      <c r="G43" s="980" t="s">
        <v>298</v>
      </c>
      <c r="H43" s="981" t="str">
        <f>IFERROR(VLOOKUP(G43,Recria[[Granja Recria]:[Núcleo]],2,0),"")</f>
        <v>(N1)</v>
      </c>
      <c r="I43" s="468"/>
      <c r="J43" s="467" t="s">
        <v>60</v>
      </c>
      <c r="K43" s="467">
        <v>25</v>
      </c>
      <c r="L43" s="803" t="str">
        <f>VLOOKUP(M43,Raca_Linhagem[],2,0)</f>
        <v>COBB</v>
      </c>
      <c r="M43" s="816" t="s">
        <v>37</v>
      </c>
      <c r="N43" s="972">
        <f>C43+(22*7)-7</f>
        <v>46380</v>
      </c>
      <c r="O43" s="973"/>
      <c r="P43" s="973" t="str">
        <f>IFERROR(VLOOKUP(Q43,Producao[[Granja Produção]:[Emp+CC]],4,0),"")</f>
        <v>87_853</v>
      </c>
      <c r="Q43" s="984" t="s">
        <v>321</v>
      </c>
      <c r="R43" s="973" t="str">
        <f>IFERROR(VLOOKUP(Q43,Producao[[Granja Produção]:[Núcleo]],2,0),"")</f>
        <v>(N1)</v>
      </c>
      <c r="S43" s="977">
        <v>45000</v>
      </c>
      <c r="T43" s="933">
        <f t="shared" si="2"/>
        <v>46701</v>
      </c>
      <c r="U43" s="934">
        <v>67</v>
      </c>
      <c r="V43" s="953">
        <f>N65-T43</f>
        <v>48</v>
      </c>
      <c r="W43" s="936">
        <f>IFERROR(T43+V43," ")</f>
        <v>46749</v>
      </c>
      <c r="X43" s="802" t="str">
        <f>VLOOKUP(Q43,Q60:Q101,1,0)</f>
        <v>Samambaia 1 - SP</v>
      </c>
      <c r="Y43" s="476"/>
      <c r="Z43" s="476"/>
      <c r="AA43" s="476"/>
    </row>
    <row r="44" spans="1:27" ht="15.6" customHeight="1">
      <c r="A44" s="467" t="s">
        <v>177</v>
      </c>
      <c r="B44" s="978">
        <f>N34+K34</f>
        <v>46264</v>
      </c>
      <c r="C44" s="979">
        <v>46261</v>
      </c>
      <c r="D44" s="1075">
        <v>200626</v>
      </c>
      <c r="E44" s="468">
        <f t="shared" ca="1" si="12"/>
        <v>4.7142857142857144</v>
      </c>
      <c r="F44" s="468" t="str">
        <f>IFERROR(VLOOKUP(G44,Recria[[Granja Recria]:[Emp+CC]],4,0),"")</f>
        <v>29_2238</v>
      </c>
      <c r="G44" s="980" t="s">
        <v>243</v>
      </c>
      <c r="H44" s="981" t="str">
        <f>IFERROR(VLOOKUP(G44,Recria[[Granja Recria]:[Núcleo]],2,0),"")</f>
        <v>(N1)</v>
      </c>
      <c r="I44" s="468">
        <v>61000</v>
      </c>
      <c r="J44" s="467" t="s">
        <v>60</v>
      </c>
      <c r="K44" s="467">
        <v>25</v>
      </c>
      <c r="L44" s="803" t="str">
        <f>VLOOKUP(M44,Raca_Linhagem[],2,0)</f>
        <v>COBB</v>
      </c>
      <c r="M44" s="816" t="s">
        <v>37</v>
      </c>
      <c r="N44" s="972">
        <f t="shared" si="7"/>
        <v>46408</v>
      </c>
      <c r="O44" s="973"/>
      <c r="P44" s="973" t="str">
        <f>IFERROR(VLOOKUP(Q44,Producao[[Granja Produção]:[Emp+CC]],4,0),"")</f>
        <v>81_483</v>
      </c>
      <c r="Q44" s="984" t="s">
        <v>323</v>
      </c>
      <c r="R44" s="973" t="str">
        <f>IFERROR(VLOOKUP(Q44,Producao[[Granja Produção]:[Núcleo]],2,0),"")</f>
        <v>(N2)</v>
      </c>
      <c r="S44" s="977">
        <v>23000</v>
      </c>
      <c r="T44" s="933">
        <f t="shared" si="2"/>
        <v>46729</v>
      </c>
      <c r="U44" s="934">
        <v>67</v>
      </c>
      <c r="V44" s="953">
        <f>N67-T44</f>
        <v>48</v>
      </c>
      <c r="W44" s="936">
        <f t="shared" si="8"/>
        <v>46777</v>
      </c>
      <c r="X44" s="802" t="str">
        <f>VLOOKUP(Q44,Q62:Q103,1,0)</f>
        <v>Potreiro 2 - SP</v>
      </c>
      <c r="Y44" s="476"/>
      <c r="Z44" s="476"/>
      <c r="AA44" s="476"/>
    </row>
    <row r="45" spans="1:27" ht="15.6" customHeight="1">
      <c r="A45" s="467" t="s">
        <v>177</v>
      </c>
      <c r="B45" s="978">
        <f>N34+K34</f>
        <v>46264</v>
      </c>
      <c r="C45" s="979">
        <v>46261</v>
      </c>
      <c r="D45" s="1075">
        <v>200626</v>
      </c>
      <c r="E45" s="468">
        <f t="shared" ca="1" si="12"/>
        <v>4.7142857142857144</v>
      </c>
      <c r="F45" s="468" t="str">
        <f>IFERROR(VLOOKUP(G45,Recria[[Granja Recria]:[Emp+CC]],4,0),"")</f>
        <v>29_2238</v>
      </c>
      <c r="G45" s="980" t="s">
        <v>243</v>
      </c>
      <c r="H45" s="981" t="str">
        <f>IFERROR(VLOOKUP(G45,Recria[[Granja Recria]:[Núcleo]],2,0),"")</f>
        <v>(N1)</v>
      </c>
      <c r="I45" s="468"/>
      <c r="J45" s="467" t="s">
        <v>60</v>
      </c>
      <c r="K45" s="467">
        <v>25</v>
      </c>
      <c r="L45" s="803" t="str">
        <f>VLOOKUP(M45,Raca_Linhagem[],2,0)</f>
        <v>COBB</v>
      </c>
      <c r="M45" s="816" t="s">
        <v>37</v>
      </c>
      <c r="N45" s="972">
        <f>C45+(22*7)-7</f>
        <v>46408</v>
      </c>
      <c r="O45" s="973"/>
      <c r="P45" s="973" t="str">
        <f>IFERROR(VLOOKUP(Q45,Producao[[Granja Produção]:[Emp+CC]],4,0),"")</f>
        <v>81_482</v>
      </c>
      <c r="Q45" s="984" t="s">
        <v>324</v>
      </c>
      <c r="R45" s="973" t="str">
        <f>IFERROR(VLOOKUP(Q45,Producao[[Granja Produção]:[Núcleo]],2,0),"")</f>
        <v>(N1)</v>
      </c>
      <c r="S45" s="977">
        <v>23000</v>
      </c>
      <c r="T45" s="933">
        <f>C45+(U45*7)-1</f>
        <v>46729</v>
      </c>
      <c r="U45" s="934">
        <v>67</v>
      </c>
      <c r="V45" s="953">
        <f>N68-T45</f>
        <v>48</v>
      </c>
      <c r="W45" s="936">
        <f>IFERROR(T45+V45," ")</f>
        <v>46777</v>
      </c>
      <c r="X45" s="802" t="str">
        <f>VLOOKUP(Q45,Q63:Q104,1,0)</f>
        <v>Potreiro 1 - SP</v>
      </c>
      <c r="Y45" s="476"/>
      <c r="Z45" s="476"/>
      <c r="AA45" s="476"/>
    </row>
    <row r="46" spans="1:27" ht="15.6" customHeight="1">
      <c r="A46" s="467" t="s">
        <v>177</v>
      </c>
      <c r="B46" s="978">
        <f>N34+K34</f>
        <v>46264</v>
      </c>
      <c r="C46" s="979">
        <v>46261</v>
      </c>
      <c r="D46" s="1075">
        <v>200626</v>
      </c>
      <c r="E46" s="468">
        <f t="shared" ca="1" si="12"/>
        <v>4.7142857142857144</v>
      </c>
      <c r="F46" s="468" t="str">
        <f>IFERROR(VLOOKUP(G46,Recria[[Granja Recria]:[Emp+CC]],4,0),"")</f>
        <v>29_2238</v>
      </c>
      <c r="G46" s="980" t="s">
        <v>243</v>
      </c>
      <c r="H46" s="981" t="str">
        <f>IFERROR(VLOOKUP(G46,Recria[[Granja Recria]:[Núcleo]],2,0),"")</f>
        <v>(N1)</v>
      </c>
      <c r="I46" s="468"/>
      <c r="J46" s="467" t="s">
        <v>60</v>
      </c>
      <c r="K46" s="467">
        <v>25</v>
      </c>
      <c r="L46" s="803" t="str">
        <f>VLOOKUP(M46,Raca_Linhagem[],2,0)</f>
        <v>COBB</v>
      </c>
      <c r="M46" s="816" t="s">
        <v>37</v>
      </c>
      <c r="N46" s="961">
        <f>C46+(22*7)-7</f>
        <v>46408</v>
      </c>
      <c r="O46" s="962"/>
      <c r="P46" s="962" t="str">
        <f>IFERROR(VLOOKUP(Q46,Producao[[Granja Produção]:[Emp+CC]],4,0),"")</f>
        <v>17_106</v>
      </c>
      <c r="Q46" s="963" t="s">
        <v>180</v>
      </c>
      <c r="R46" s="964" t="str">
        <f>IFERROR(VLOOKUP(Q46,Producao[[Granja Produção]:[Núcleo]],2,0),"")</f>
        <v>(N3)</v>
      </c>
      <c r="S46" s="965">
        <v>11000</v>
      </c>
      <c r="T46" s="966">
        <f>C46+(U46*7)-1</f>
        <v>46750</v>
      </c>
      <c r="U46" s="967">
        <v>70</v>
      </c>
      <c r="V46" s="968"/>
      <c r="W46" s="969">
        <f>IFERROR(T46+V46," ")</f>
        <v>46750</v>
      </c>
      <c r="X46" s="802" t="e">
        <f>VLOOKUP(Q46,Q64:Q105,1,0)</f>
        <v>#N/A</v>
      </c>
      <c r="Y46" s="476"/>
      <c r="Z46" s="476"/>
      <c r="AA46" s="476"/>
    </row>
    <row r="47" spans="1:27" ht="15" customHeight="1">
      <c r="A47" s="987" t="s">
        <v>177</v>
      </c>
      <c r="B47" s="988">
        <f>N35+K35</f>
        <v>46289</v>
      </c>
      <c r="C47" s="989">
        <f t="shared" ref="C47:C51" si="13">B47</f>
        <v>46289</v>
      </c>
      <c r="D47" s="1074">
        <v>200726</v>
      </c>
      <c r="E47" s="991">
        <v>122</v>
      </c>
      <c r="F47" s="991" t="str">
        <f>IFERROR(VLOOKUP(G47,Recria[[Granja Recria]:[Emp+CC]],4,0),"")</f>
        <v>39_464</v>
      </c>
      <c r="G47" s="992" t="s">
        <v>178</v>
      </c>
      <c r="H47" s="993" t="str">
        <f>IFERROR(VLOOKUP(G47,Recria[[Granja Recria]:[Núcleo]],2,0),"")</f>
        <v>(N2)</v>
      </c>
      <c r="I47" s="991">
        <v>45000</v>
      </c>
      <c r="J47" s="987" t="s">
        <v>45</v>
      </c>
      <c r="K47" s="987">
        <v>50</v>
      </c>
      <c r="L47" s="803" t="str">
        <f>VLOOKUP(M47,Raca_Linhagem[],2,0)</f>
        <v>COBB</v>
      </c>
      <c r="M47" s="816" t="s">
        <v>37</v>
      </c>
      <c r="N47" s="972">
        <f t="shared" si="7"/>
        <v>46436</v>
      </c>
      <c r="O47" s="973"/>
      <c r="P47" s="973" t="str">
        <f>IFERROR(VLOOKUP(Q47,Producao[[Granja Produção]:[Emp+CC]],4,0),"")</f>
        <v>81_484</v>
      </c>
      <c r="Q47" s="984" t="s">
        <v>325</v>
      </c>
      <c r="R47" s="975" t="str">
        <f>IFERROR(VLOOKUP(Q47,Producao[[Granja Produção]:[Núcleo]],2,0),"")</f>
        <v>(N3)</v>
      </c>
      <c r="S47" s="977">
        <v>24000</v>
      </c>
      <c r="T47" s="933">
        <f t="shared" si="2"/>
        <v>46764</v>
      </c>
      <c r="U47" s="934">
        <v>68</v>
      </c>
      <c r="V47" s="953">
        <f>N70-T47</f>
        <v>51</v>
      </c>
      <c r="W47" s="936">
        <f t="shared" si="8"/>
        <v>46815</v>
      </c>
      <c r="X47" s="802" t="str">
        <f>VLOOKUP(Q47,Q65:Q106,1,0)</f>
        <v>Potreiro 3 - SP</v>
      </c>
      <c r="Y47" s="476"/>
      <c r="Z47" s="476"/>
      <c r="AA47" s="476"/>
    </row>
    <row r="48" spans="1:27" ht="15" customHeight="1">
      <c r="A48" s="987" t="s">
        <v>177</v>
      </c>
      <c r="B48" s="988">
        <f>N35+K35</f>
        <v>46289</v>
      </c>
      <c r="C48" s="989">
        <f>B48</f>
        <v>46289</v>
      </c>
      <c r="D48" s="1074">
        <v>200726</v>
      </c>
      <c r="E48" s="991">
        <v>122</v>
      </c>
      <c r="F48" s="991" t="str">
        <f>IFERROR(VLOOKUP(G48,Recria[[Granja Recria]:[Emp+CC]],4,0),"")</f>
        <v>39_464</v>
      </c>
      <c r="G48" s="992" t="s">
        <v>178</v>
      </c>
      <c r="H48" s="993" t="str">
        <f>IFERROR(VLOOKUP(G48,Recria[[Granja Recria]:[Núcleo]],2,0),"")</f>
        <v>(N2)</v>
      </c>
      <c r="I48" s="991"/>
      <c r="J48" s="987" t="s">
        <v>45</v>
      </c>
      <c r="K48" s="987">
        <v>50</v>
      </c>
      <c r="L48" s="803" t="str">
        <f>VLOOKUP(M48,Raca_Linhagem[],2,0)</f>
        <v>COBB</v>
      </c>
      <c r="M48" s="816" t="s">
        <v>37</v>
      </c>
      <c r="N48" s="972">
        <f>C48+(22*7)-7</f>
        <v>46436</v>
      </c>
      <c r="O48" s="973"/>
      <c r="P48" s="973" t="str">
        <f>IFERROR(VLOOKUP(Q48,Producao[[Granja Produção]:[Emp+CC]],4,0),"")</f>
        <v>81_786</v>
      </c>
      <c r="Q48" s="984" t="s">
        <v>327</v>
      </c>
      <c r="R48" s="975" t="str">
        <f>IFERROR(VLOOKUP(Q48,Producao[[Granja Produção]:[Núcleo]],2,0),"")</f>
        <v>(N6)</v>
      </c>
      <c r="S48" s="977">
        <v>18000</v>
      </c>
      <c r="T48" s="933">
        <f t="shared" si="2"/>
        <v>46764</v>
      </c>
      <c r="U48" s="934">
        <v>68</v>
      </c>
      <c r="V48" s="953">
        <f>N71-T48</f>
        <v>51</v>
      </c>
      <c r="W48" s="936"/>
      <c r="X48" s="802" t="str">
        <f t="shared" ref="X48:X52" si="14">VLOOKUP(Q48,Q67:Q108,1,0)</f>
        <v>Potreiro 6 - SP</v>
      </c>
      <c r="Y48" s="476"/>
      <c r="Z48" s="476"/>
      <c r="AA48" s="476"/>
    </row>
    <row r="49" spans="1:27" ht="15" customHeight="1">
      <c r="A49" s="1233" t="s">
        <v>244</v>
      </c>
      <c r="B49" s="1234">
        <f>N37+K37</f>
        <v>46308</v>
      </c>
      <c r="C49" s="1235">
        <f>B49</f>
        <v>46308</v>
      </c>
      <c r="D49" s="1320">
        <v>200826</v>
      </c>
      <c r="E49" s="1237">
        <f t="shared" ref="E49" ca="1" si="15">IF((TODAY()-C49)/7&gt;U49,U49,(TODAY()-C49)/7)</f>
        <v>-2</v>
      </c>
      <c r="F49" s="1237" t="str">
        <f>IFERROR(VLOOKUP(G49,Recria[[Granja Recria]:[Emp+CC]],4,0),"")</f>
        <v>22_494</v>
      </c>
      <c r="G49" s="1238" t="s">
        <v>245</v>
      </c>
      <c r="H49" s="1239" t="str">
        <f>IFERROR(VLOOKUP(G49,Recria[[Granja Recria]:[Núcleo]],2,0),"")</f>
        <v>(N1)</v>
      </c>
      <c r="I49" s="1237">
        <v>30000</v>
      </c>
      <c r="J49" s="1233" t="s">
        <v>45</v>
      </c>
      <c r="K49" s="1233">
        <v>60</v>
      </c>
      <c r="L49" s="803" t="str">
        <f>VLOOKUP(M49,Raca_Linhagem[],2,0)</f>
        <v>ROSS</v>
      </c>
      <c r="M49" s="812" t="s">
        <v>26</v>
      </c>
      <c r="N49" s="961">
        <f>C49+(22*7)-7</f>
        <v>46455</v>
      </c>
      <c r="O49" s="962"/>
      <c r="P49" s="962" t="str">
        <f>IFERROR(VLOOKUP(Q49,Producao[[Granja Produção]:[Emp+CC]],4,0),"")</f>
        <v>138_26</v>
      </c>
      <c r="Q49" s="963" t="s">
        <v>174</v>
      </c>
      <c r="R49" s="962" t="str">
        <f>IFERROR(VLOOKUP(Q49,Producao[[Granja Produção]:[Núcleo]],2,0),"")</f>
        <v>(N1)</v>
      </c>
      <c r="S49" s="965">
        <v>28000</v>
      </c>
      <c r="T49" s="966">
        <f>C49+(U49*7)-1</f>
        <v>46769</v>
      </c>
      <c r="U49" s="967">
        <v>66</v>
      </c>
      <c r="V49" s="968"/>
      <c r="W49" s="969">
        <f>IFERROR(T49+V49," ")</f>
        <v>46769</v>
      </c>
      <c r="X49" s="802" t="e">
        <f t="shared" si="14"/>
        <v>#N/A</v>
      </c>
      <c r="Y49" s="476"/>
      <c r="Z49" s="476"/>
      <c r="AA49" s="476"/>
    </row>
    <row r="50" spans="1:27" ht="15" customHeight="1">
      <c r="A50" s="987" t="s">
        <v>244</v>
      </c>
      <c r="B50" s="988">
        <f>N39+K39</f>
        <v>46341</v>
      </c>
      <c r="C50" s="989">
        <f t="shared" si="13"/>
        <v>46341</v>
      </c>
      <c r="D50" s="1074">
        <v>200926</v>
      </c>
      <c r="E50" s="991">
        <v>153557</v>
      </c>
      <c r="F50" s="991" t="str">
        <f>IFERROR(VLOOKUP(G50,Recria[[Granja Recria]:[Emp+CC]],4,0),"")</f>
        <v>22_481</v>
      </c>
      <c r="G50" s="992" t="s">
        <v>318</v>
      </c>
      <c r="H50" s="993" t="str">
        <f>IFERROR(VLOOKUP(G50,Recria[[Granja Recria]:[Núcleo]],2,0),"")</f>
        <v>(N2)</v>
      </c>
      <c r="I50" s="991">
        <v>30000</v>
      </c>
      <c r="J50" s="987" t="s">
        <v>60</v>
      </c>
      <c r="K50" s="987">
        <v>20</v>
      </c>
      <c r="L50" s="803" t="str">
        <f>VLOOKUP(M50,Raca_Linhagem[],2,0)</f>
        <v>COBB</v>
      </c>
      <c r="M50" s="816" t="s">
        <v>21</v>
      </c>
      <c r="N50" s="972">
        <f t="shared" si="7"/>
        <v>46488</v>
      </c>
      <c r="O50" s="973"/>
      <c r="P50" s="973" t="str">
        <f>IFERROR(VLOOKUP(Q50,Producao[[Granja Produção]:[Emp+CC]],4,0),"")</f>
        <v>14_496</v>
      </c>
      <c r="Q50" s="974" t="s">
        <v>204</v>
      </c>
      <c r="R50" s="975" t="str">
        <f>IFERROR(VLOOKUP(Q50,Producao[[Granja Produção]:[Núcleo]],2,0),"")</f>
        <v>(N1)</v>
      </c>
      <c r="S50" s="977">
        <v>28000</v>
      </c>
      <c r="T50" s="933">
        <f t="shared" si="2"/>
        <v>46809</v>
      </c>
      <c r="U50" s="934">
        <v>67</v>
      </c>
      <c r="V50" s="953">
        <f>N73-T50</f>
        <v>43</v>
      </c>
      <c r="W50" s="936">
        <f t="shared" si="8"/>
        <v>46852</v>
      </c>
      <c r="X50" s="802" t="str">
        <f t="shared" si="14"/>
        <v>Carolina - SP</v>
      </c>
      <c r="Y50" s="476"/>
      <c r="Z50" s="476"/>
      <c r="AA50" s="476"/>
    </row>
    <row r="51" spans="1:27" ht="15" customHeight="1">
      <c r="A51" s="987" t="s">
        <v>17</v>
      </c>
      <c r="B51" s="988">
        <f>N40+K40</f>
        <v>46353</v>
      </c>
      <c r="C51" s="989">
        <f t="shared" si="13"/>
        <v>46353</v>
      </c>
      <c r="D51" s="1077">
        <v>106826</v>
      </c>
      <c r="E51" s="991"/>
      <c r="F51" s="991" t="str">
        <f>IFERROR(VLOOKUP(G51,Recria[[Granja Recria]:[Emp+CC]],4,0),"")</f>
        <v>10-115</v>
      </c>
      <c r="G51" s="992" t="s">
        <v>315</v>
      </c>
      <c r="H51" s="993" t="str">
        <f>IFERROR(VLOOKUP(G51,Recria[[Granja Recria]:[Núcleo]],2,0),"")</f>
        <v>(N1)</v>
      </c>
      <c r="I51" s="991">
        <v>60000</v>
      </c>
      <c r="J51" s="987" t="s">
        <v>60</v>
      </c>
      <c r="K51" s="987">
        <v>30</v>
      </c>
      <c r="L51" s="803" t="str">
        <f>VLOOKUP(M51,Raca_Linhagem[],2,0)</f>
        <v>ROSS</v>
      </c>
      <c r="M51" s="812" t="s">
        <v>26</v>
      </c>
      <c r="N51" s="972">
        <f t="shared" si="7"/>
        <v>46500</v>
      </c>
      <c r="O51" s="973"/>
      <c r="P51" s="973" t="str">
        <f>IFERROR(VLOOKUP(Q51,Producao[[Granja Produção]:[Emp+CC]],4,0),"")</f>
        <v>81_785</v>
      </c>
      <c r="Q51" s="974" t="s">
        <v>331</v>
      </c>
      <c r="R51" s="975" t="str">
        <f>IFERROR(VLOOKUP(Q51,Producao[[Granja Produção]:[Núcleo]],2,0),"")</f>
        <v>(N5)</v>
      </c>
      <c r="S51" s="976">
        <v>23000</v>
      </c>
      <c r="T51" s="933">
        <f t="shared" si="2"/>
        <v>46821</v>
      </c>
      <c r="U51" s="934">
        <v>67</v>
      </c>
      <c r="V51" s="953">
        <f>N74-T51</f>
        <v>53</v>
      </c>
      <c r="W51" s="936">
        <f t="shared" si="8"/>
        <v>46874</v>
      </c>
      <c r="X51" s="802" t="str">
        <f t="shared" si="14"/>
        <v>Potreiro 5 - SP</v>
      </c>
      <c r="Y51" s="476"/>
      <c r="Z51" s="476"/>
      <c r="AA51" s="476"/>
    </row>
    <row r="52" spans="1:27" ht="15" customHeight="1">
      <c r="A52" s="987" t="s">
        <v>17</v>
      </c>
      <c r="B52" s="988">
        <f>N40+K40</f>
        <v>46353</v>
      </c>
      <c r="C52" s="989">
        <f>B52</f>
        <v>46353</v>
      </c>
      <c r="D52" s="1077">
        <v>106826</v>
      </c>
      <c r="E52" s="991"/>
      <c r="F52" s="991" t="str">
        <f>IFERROR(VLOOKUP(G52,Recria[[Granja Recria]:[Emp+CC]],4,0),"")</f>
        <v>10-115</v>
      </c>
      <c r="G52" s="992" t="s">
        <v>315</v>
      </c>
      <c r="H52" s="993" t="str">
        <f>IFERROR(VLOOKUP(G52,Recria[[Granja Recria]:[Núcleo]],2,0),"")</f>
        <v>(N1)</v>
      </c>
      <c r="I52" s="991"/>
      <c r="J52" s="987" t="s">
        <v>60</v>
      </c>
      <c r="K52" s="987">
        <v>30</v>
      </c>
      <c r="L52" s="803" t="str">
        <f>VLOOKUP(M52,Raca_Linhagem[],2,0)</f>
        <v>ROSS</v>
      </c>
      <c r="M52" s="812" t="s">
        <v>26</v>
      </c>
      <c r="N52" s="972">
        <f t="shared" si="7"/>
        <v>46500</v>
      </c>
      <c r="O52" s="973"/>
      <c r="P52" s="973" t="str">
        <f>IFERROR(VLOOKUP(Q52,Producao[[Granja Produção]:[Emp+CC]],4,0),"")</f>
        <v>92_961</v>
      </c>
      <c r="Q52" s="974" t="s">
        <v>203</v>
      </c>
      <c r="R52" s="975" t="str">
        <f>IFERROR(VLOOKUP(Q52,Producao[[Granja Produção]:[Núcleo]],2,0),"")</f>
        <v>(N1)</v>
      </c>
      <c r="S52" s="976">
        <v>34000</v>
      </c>
      <c r="T52" s="933">
        <f t="shared" si="2"/>
        <v>46821</v>
      </c>
      <c r="U52" s="934">
        <v>67</v>
      </c>
      <c r="V52" s="953">
        <f>N75-T52</f>
        <v>53</v>
      </c>
      <c r="W52" s="936">
        <f t="shared" si="8"/>
        <v>46874</v>
      </c>
      <c r="X52" s="802" t="str">
        <f t="shared" si="14"/>
        <v>Morro agudo - SP</v>
      </c>
      <c r="Y52" s="476"/>
      <c r="Z52" s="476"/>
      <c r="AA52" s="476"/>
    </row>
    <row r="53" spans="1:27" s="960" customFormat="1" ht="15.6" customHeight="1">
      <c r="A53" s="225" t="s">
        <v>17</v>
      </c>
      <c r="B53" s="270">
        <v>46388</v>
      </c>
      <c r="C53" s="271">
        <v>46388</v>
      </c>
      <c r="D53" s="970"/>
      <c r="E53" s="468">
        <f t="shared" ref="E53" ca="1" si="16">IF((TODAY()-C53)/7&gt;U53,U53,(TODAY()-C53)/7)</f>
        <v>-13.428571428571429</v>
      </c>
      <c r="F53" s="273"/>
      <c r="G53" s="954" t="s">
        <v>329</v>
      </c>
      <c r="H53" s="905"/>
      <c r="I53" s="273"/>
      <c r="J53" s="269"/>
      <c r="K53" s="269"/>
      <c r="L53" s="803" t="str">
        <f>VLOOKUP(M53,Raca_Linhagem[],2,0)</f>
        <v>ROSS</v>
      </c>
      <c r="M53" s="804" t="s">
        <v>26</v>
      </c>
      <c r="N53" s="925">
        <f t="shared" si="7"/>
        <v>46535</v>
      </c>
      <c r="O53" s="924"/>
      <c r="P53" s="924" t="str">
        <f>IFERROR(VLOOKUP(Q53,Producao[[Granja Produção]:[Emp+CC]],4,0),"")</f>
        <v>121_2237</v>
      </c>
      <c r="Q53" s="944" t="s">
        <v>224</v>
      </c>
      <c r="R53" s="467" t="str">
        <f>IFERROR(VLOOKUP(Q53,Producao[[Granja Produção]:[Núcleo]],2,0),"")</f>
        <v>(N1)</v>
      </c>
      <c r="S53" s="927">
        <v>34000</v>
      </c>
      <c r="T53" s="916">
        <f t="shared" si="2"/>
        <v>46863</v>
      </c>
      <c r="U53" s="917">
        <v>68</v>
      </c>
      <c r="V53" s="971">
        <f>N76-T53</f>
        <v>25</v>
      </c>
      <c r="W53" s="919">
        <f t="shared" si="8"/>
        <v>46888</v>
      </c>
      <c r="X53" s="802" t="str">
        <f>VLOOKUP(Q53,Q71:Q113,1,0)</f>
        <v>Santelmo - SP</v>
      </c>
      <c r="Y53" s="959"/>
      <c r="Z53" s="959"/>
      <c r="AA53" s="959"/>
    </row>
    <row r="54" spans="1:27" ht="15" customHeight="1">
      <c r="A54" s="994" t="s">
        <v>177</v>
      </c>
      <c r="B54" s="995">
        <f>N42+K42</f>
        <v>46405</v>
      </c>
      <c r="C54" s="996">
        <f t="shared" ref="C54:C77" si="17">B54</f>
        <v>46405</v>
      </c>
      <c r="D54" s="1074">
        <v>200127</v>
      </c>
      <c r="E54" s="997">
        <v>126</v>
      </c>
      <c r="F54" s="997" t="str">
        <f>IFERROR(VLOOKUP(G54,Recria[[Granja Recria]:[Emp+CC]],4,0),"")</f>
        <v>39_479</v>
      </c>
      <c r="G54" s="998" t="s">
        <v>298</v>
      </c>
      <c r="H54" s="999" t="str">
        <f>IFERROR(VLOOKUP(G54,Recria[[Granja Recria]:[Núcleo]],2,0),"")</f>
        <v>(N1)</v>
      </c>
      <c r="I54" s="997">
        <v>66000</v>
      </c>
      <c r="J54" s="994" t="s">
        <v>45</v>
      </c>
      <c r="K54" s="994">
        <v>50</v>
      </c>
      <c r="L54" s="803" t="str">
        <f>VLOOKUP(M54,Raca_Linhagem[],2,0)</f>
        <v>COBB</v>
      </c>
      <c r="M54" s="816" t="s">
        <v>37</v>
      </c>
      <c r="N54" s="972">
        <f t="shared" si="7"/>
        <v>46552</v>
      </c>
      <c r="O54" s="973"/>
      <c r="P54" s="973" t="str">
        <f>IFERROR(VLOOKUP(Q54,Producao[[Granja Produção]:[Emp+CC]],4,0),"")</f>
        <v>18_476</v>
      </c>
      <c r="Q54" s="982" t="s">
        <v>300</v>
      </c>
      <c r="R54" s="983" t="str">
        <f>IFERROR(VLOOKUP(Q54,Producao[[Granja Produção]:[Núcleo]],2,0),"")</f>
        <v>(N1)</v>
      </c>
      <c r="S54" s="977">
        <v>62000</v>
      </c>
      <c r="T54" s="933">
        <f t="shared" si="2"/>
        <v>46866</v>
      </c>
      <c r="U54" s="934">
        <v>66</v>
      </c>
      <c r="V54" s="953">
        <f>N77-T54</f>
        <v>55</v>
      </c>
      <c r="W54" s="936">
        <f t="shared" si="8"/>
        <v>46921</v>
      </c>
      <c r="X54" s="802" t="str">
        <f>VLOOKUP(Q54,Q72:Q114,1,0)</f>
        <v>Pardinho 1 - SP</v>
      </c>
      <c r="Y54" s="476"/>
      <c r="Z54" s="476"/>
      <c r="AA54" s="476"/>
    </row>
    <row r="55" spans="1:27" ht="15.6" customHeight="1">
      <c r="A55" s="994" t="s">
        <v>177</v>
      </c>
      <c r="B55" s="995">
        <f>N44+K44</f>
        <v>46433</v>
      </c>
      <c r="C55" s="996">
        <f t="shared" si="17"/>
        <v>46433</v>
      </c>
      <c r="D55" s="1081">
        <v>200227</v>
      </c>
      <c r="E55" s="997"/>
      <c r="F55" s="997" t="str">
        <f>IFERROR(VLOOKUP(G55,Recria[[Granja Recria]:[Emp+CC]],4,0),"")</f>
        <v>29_2238</v>
      </c>
      <c r="G55" s="998" t="s">
        <v>243</v>
      </c>
      <c r="H55" s="999" t="str">
        <f>IFERROR(VLOOKUP(G55,Recria[[Granja Recria]:[Núcleo]],2,0),"")</f>
        <v>(N1)</v>
      </c>
      <c r="I55" s="997">
        <v>61000</v>
      </c>
      <c r="J55" s="994" t="s">
        <v>45</v>
      </c>
      <c r="K55" s="994">
        <v>50</v>
      </c>
      <c r="L55" s="803" t="str">
        <f>VLOOKUP(M55,Raca_Linhagem[],2,0)</f>
        <v>ROSS</v>
      </c>
      <c r="M55" s="816" t="s">
        <v>31</v>
      </c>
      <c r="N55" s="972">
        <f t="shared" si="7"/>
        <v>46580</v>
      </c>
      <c r="O55" s="973"/>
      <c r="P55" s="973" t="str">
        <f>IFERROR(VLOOKUP(Q55,Producao[[Granja Produção]:[Emp+CC]],4,0),"")</f>
        <v>127_2243</v>
      </c>
      <c r="Q55" s="984" t="s">
        <v>307</v>
      </c>
      <c r="R55" s="973" t="str">
        <f>IFERROR(VLOOKUP(Q55,Producao[[Granja Produção]:[Núcleo]],2,0),"")</f>
        <v>(N1)</v>
      </c>
      <c r="S55" s="977">
        <v>57000</v>
      </c>
      <c r="T55" s="933">
        <f t="shared" si="2"/>
        <v>46894</v>
      </c>
      <c r="U55" s="934">
        <v>66</v>
      </c>
      <c r="V55" s="953"/>
      <c r="W55" s="936">
        <f t="shared" si="8"/>
        <v>46894</v>
      </c>
      <c r="X55" s="802" t="e">
        <f>VLOOKUP(Q55,Q73:Q115,1,0)</f>
        <v>#N/A</v>
      </c>
      <c r="Y55" s="476"/>
      <c r="Z55" s="476"/>
      <c r="AA55" s="476"/>
    </row>
    <row r="56" spans="1:27" ht="15" customHeight="1">
      <c r="A56" s="994" t="s">
        <v>177</v>
      </c>
      <c r="B56" s="995">
        <f>N47+K47</f>
        <v>46486</v>
      </c>
      <c r="C56" s="996">
        <f t="shared" si="17"/>
        <v>46486</v>
      </c>
      <c r="D56" s="1081">
        <v>200327</v>
      </c>
      <c r="E56" s="997"/>
      <c r="F56" s="997" t="str">
        <f>IFERROR(VLOOKUP(G56,Recria[[Granja Recria]:[Emp+CC]],4,0),"")</f>
        <v>39_464</v>
      </c>
      <c r="G56" s="998" t="s">
        <v>178</v>
      </c>
      <c r="H56" s="999" t="str">
        <f>IFERROR(VLOOKUP(G56,Recria[[Granja Recria]:[Núcleo]],2,0),"")</f>
        <v>(N2)</v>
      </c>
      <c r="I56" s="997">
        <v>45000</v>
      </c>
      <c r="J56" s="994" t="s">
        <v>60</v>
      </c>
      <c r="K56" s="994">
        <v>35</v>
      </c>
      <c r="L56" s="803" t="str">
        <f>VLOOKUP(M56,Raca_Linhagem[],2,0)</f>
        <v>COBB</v>
      </c>
      <c r="M56" s="816" t="s">
        <v>37</v>
      </c>
      <c r="N56" s="972">
        <f t="shared" si="7"/>
        <v>46633</v>
      </c>
      <c r="O56" s="973"/>
      <c r="P56" s="973" t="str">
        <f>IFERROR(VLOOKUP(Q56,Producao[[Granja Produção]:[Emp+CC]],4,0),"")</f>
        <v>18_473</v>
      </c>
      <c r="Q56" s="974" t="s">
        <v>234</v>
      </c>
      <c r="R56" s="975" t="str">
        <f>IFERROR(VLOOKUP(Q56,Producao[[Granja Produção]:[Núcleo]],2,0),"")</f>
        <v>(N2)</v>
      </c>
      <c r="S56" s="977">
        <v>17000</v>
      </c>
      <c r="T56" s="933">
        <f t="shared" si="2"/>
        <v>46947</v>
      </c>
      <c r="U56" s="934">
        <v>66</v>
      </c>
      <c r="V56" s="953"/>
      <c r="W56" s="936">
        <f t="shared" si="8"/>
        <v>46947</v>
      </c>
      <c r="X56" s="802" t="e">
        <f>VLOOKUP(Q56,Q74:Q116,1,0)</f>
        <v>#N/A</v>
      </c>
      <c r="Y56" s="476"/>
      <c r="Z56" s="476"/>
      <c r="AA56" s="476"/>
    </row>
    <row r="57" spans="1:27" ht="15" customHeight="1">
      <c r="A57" s="994" t="s">
        <v>177</v>
      </c>
      <c r="B57" s="995">
        <f>N47+K47</f>
        <v>46486</v>
      </c>
      <c r="C57" s="996">
        <f t="shared" si="17"/>
        <v>46486</v>
      </c>
      <c r="D57" s="1081">
        <v>200327</v>
      </c>
      <c r="E57" s="997"/>
      <c r="F57" s="997" t="str">
        <f>IFERROR(VLOOKUP(G57,Recria[[Granja Recria]:[Emp+CC]],4,0),"")</f>
        <v>39_464</v>
      </c>
      <c r="G57" s="998" t="s">
        <v>178</v>
      </c>
      <c r="H57" s="999" t="str">
        <f>IFERROR(VLOOKUP(G57,Recria[[Granja Recria]:[Núcleo]],2,0),"")</f>
        <v>(N2)</v>
      </c>
      <c r="I57" s="997"/>
      <c r="J57" s="994" t="s">
        <v>60</v>
      </c>
      <c r="K57" s="994">
        <v>25</v>
      </c>
      <c r="L57" s="803" t="str">
        <f>VLOOKUP(M57,Raca_Linhagem[],2,0)</f>
        <v>COBB</v>
      </c>
      <c r="M57" s="816" t="s">
        <v>37</v>
      </c>
      <c r="N57" s="972">
        <f t="shared" si="7"/>
        <v>46633</v>
      </c>
      <c r="O57" s="973"/>
      <c r="P57" s="973" t="str">
        <f>IFERROR(VLOOKUP(Q57,Producao[[Granja Produção]:[Emp+CC]],4,0),"")</f>
        <v>126_2244</v>
      </c>
      <c r="Q57" s="984" t="s">
        <v>22</v>
      </c>
      <c r="R57" s="975" t="str">
        <f>IFERROR(VLOOKUP(Q57,Producao[[Granja Produção]:[Núcleo]],2,0),"")</f>
        <v>(N1)</v>
      </c>
      <c r="S57" s="977">
        <v>24000</v>
      </c>
      <c r="T57" s="933">
        <f t="shared" si="2"/>
        <v>46947</v>
      </c>
      <c r="U57" s="934">
        <v>66</v>
      </c>
      <c r="V57" s="953"/>
      <c r="W57" s="936">
        <f t="shared" si="8"/>
        <v>46947</v>
      </c>
      <c r="X57" s="802" t="e">
        <f>VLOOKUP(Q57,Q75:Q117,1,0)</f>
        <v>#N/A</v>
      </c>
      <c r="Y57" s="476"/>
      <c r="Z57" s="476"/>
      <c r="AA57" s="476"/>
    </row>
    <row r="58" spans="1:27" s="960" customFormat="1" ht="15.6" customHeight="1">
      <c r="A58" s="225" t="s">
        <v>17</v>
      </c>
      <c r="B58" s="270">
        <v>46476</v>
      </c>
      <c r="C58" s="271">
        <v>46476</v>
      </c>
      <c r="D58" s="970"/>
      <c r="E58" s="468">
        <f t="shared" ref="E58" ca="1" si="18">IF((TODAY()-C58)/7&gt;U58,U58,(TODAY()-C58)/7)</f>
        <v>-26</v>
      </c>
      <c r="F58" s="273" t="str">
        <f>IFERROR(VLOOKUP(G58,Recria[[Granja Recria]:[Emp+CC]],4,0),"")</f>
        <v/>
      </c>
      <c r="G58" s="954" t="s">
        <v>329</v>
      </c>
      <c r="H58" s="905" t="str">
        <f>IFERROR(VLOOKUP(G58,Recria[[Granja Recria]:[Núcleo]],2,0),"")</f>
        <v/>
      </c>
      <c r="I58" s="273"/>
      <c r="J58" s="269"/>
      <c r="K58" s="269"/>
      <c r="L58" s="803" t="str">
        <f>VLOOKUP(M58,Raca_Linhagem[],2,0)</f>
        <v>COBB</v>
      </c>
      <c r="M58" s="816" t="s">
        <v>21</v>
      </c>
      <c r="N58" s="925">
        <f t="shared" si="7"/>
        <v>46623</v>
      </c>
      <c r="O58" s="924"/>
      <c r="P58" s="924" t="str">
        <f>IFERROR(VLOOKUP(Q58,Producao[[Granja Produção]:[Emp+CC]],4,0),"")</f>
        <v>81_826</v>
      </c>
      <c r="Q58" s="944" t="s">
        <v>257</v>
      </c>
      <c r="R58" s="467" t="str">
        <f>IFERROR(VLOOKUP(Q58,Producao[[Granja Produção]:[Núcleo]],2,0),"")</f>
        <v>(N4)</v>
      </c>
      <c r="S58" s="927">
        <v>21000</v>
      </c>
      <c r="T58" s="916">
        <f t="shared" si="2"/>
        <v>46965</v>
      </c>
      <c r="U58" s="917">
        <v>70</v>
      </c>
      <c r="V58" s="971"/>
      <c r="W58" s="919">
        <f t="shared" si="8"/>
        <v>46965</v>
      </c>
      <c r="X58" s="802" t="e">
        <f t="shared" ref="X58:X70" si="19">VLOOKUP(Q58,Q77:Q118,1,0)</f>
        <v>#N/A</v>
      </c>
      <c r="Y58" s="959"/>
      <c r="Z58" s="959"/>
      <c r="AA58" s="959"/>
    </row>
    <row r="59" spans="1:27" ht="15" customHeight="1">
      <c r="A59" s="994" t="s">
        <v>244</v>
      </c>
      <c r="B59" s="995">
        <f>N49+K49</f>
        <v>46515</v>
      </c>
      <c r="C59" s="996">
        <f t="shared" si="17"/>
        <v>46515</v>
      </c>
      <c r="D59" s="1081">
        <v>200427</v>
      </c>
      <c r="E59" s="997"/>
      <c r="F59" s="997" t="str">
        <f>IFERROR(VLOOKUP(G59,Recria[[Granja Recria]:[Emp+CC]],4,0),"")</f>
        <v>22_494</v>
      </c>
      <c r="G59" s="998" t="s">
        <v>245</v>
      </c>
      <c r="H59" s="999" t="str">
        <f>IFERROR(VLOOKUP(G59,Recria[[Granja Recria]:[Núcleo]],2,0),"")</f>
        <v>(N1)</v>
      </c>
      <c r="I59" s="997">
        <v>30000</v>
      </c>
      <c r="J59" s="994" t="s">
        <v>60</v>
      </c>
      <c r="K59" s="994">
        <v>25</v>
      </c>
      <c r="L59" s="803" t="str">
        <f>VLOOKUP(M59,Raca_Linhagem[],2,0)</f>
        <v>COBB</v>
      </c>
      <c r="M59" s="816" t="s">
        <v>21</v>
      </c>
      <c r="N59" s="972">
        <f t="shared" si="7"/>
        <v>46662</v>
      </c>
      <c r="O59" s="973"/>
      <c r="P59" s="973" t="str">
        <f>IFERROR(VLOOKUP(Q59,Producao[[Granja Produção]:[Emp+CC]],4,0),"")</f>
        <v>125_2245</v>
      </c>
      <c r="Q59" s="984" t="s">
        <v>312</v>
      </c>
      <c r="R59" s="973" t="str">
        <f>IFERROR(VLOOKUP(Q59,Producao[[Granja Produção]:[Núcleo]],2,0),"")</f>
        <v>(N1)</v>
      </c>
      <c r="S59" s="977">
        <v>24000</v>
      </c>
      <c r="T59" s="933">
        <f t="shared" si="2"/>
        <v>46976</v>
      </c>
      <c r="U59" s="934">
        <v>66</v>
      </c>
      <c r="V59" s="953"/>
      <c r="W59" s="936">
        <f t="shared" si="8"/>
        <v>46976</v>
      </c>
      <c r="X59" s="802" t="e">
        <f t="shared" si="19"/>
        <v>#N/A</v>
      </c>
      <c r="Y59" s="476"/>
      <c r="Z59" s="476"/>
      <c r="AA59" s="476"/>
    </row>
    <row r="60" spans="1:27" ht="15" customHeight="1">
      <c r="A60" s="994" t="s">
        <v>244</v>
      </c>
      <c r="B60" s="995">
        <f>N49+K49</f>
        <v>46515</v>
      </c>
      <c r="C60" s="996">
        <f t="shared" si="17"/>
        <v>46515</v>
      </c>
      <c r="D60" s="1081">
        <v>200427</v>
      </c>
      <c r="E60" s="997"/>
      <c r="F60" s="997" t="str">
        <f>IFERROR(VLOOKUP(G60,Recria[[Granja Recria]:[Emp+CC]],4,0),"")</f>
        <v>22_494</v>
      </c>
      <c r="G60" s="998" t="s">
        <v>245</v>
      </c>
      <c r="H60" s="999" t="str">
        <f>IFERROR(VLOOKUP(G60,Recria[[Granja Recria]:[Núcleo]],2,0),"")</f>
        <v>(N1)</v>
      </c>
      <c r="I60" s="997"/>
      <c r="J60" s="994" t="s">
        <v>60</v>
      </c>
      <c r="K60" s="994">
        <v>25</v>
      </c>
      <c r="L60" s="803" t="str">
        <f>VLOOKUP(M60,Raca_Linhagem[],2,0)</f>
        <v>COBB</v>
      </c>
      <c r="M60" s="816" t="s">
        <v>21</v>
      </c>
      <c r="N60" s="972">
        <f t="shared" si="7"/>
        <v>46662</v>
      </c>
      <c r="O60" s="973"/>
      <c r="P60" s="973" t="str">
        <f>IFERROR(VLOOKUP(Q60,Producao[[Granja Produção]:[Emp+CC]],4,0),"")</f>
        <v>130_451</v>
      </c>
      <c r="Q60" s="974" t="s">
        <v>65</v>
      </c>
      <c r="R60" s="973" t="str">
        <f>IFERROR(VLOOKUP(Q60,Producao[[Granja Produção]:[Núcleo]],2,0),"")</f>
        <v>(N1)</v>
      </c>
      <c r="S60" s="977">
        <v>4000</v>
      </c>
      <c r="T60" s="933">
        <f t="shared" si="2"/>
        <v>46976</v>
      </c>
      <c r="U60" s="934">
        <v>66</v>
      </c>
      <c r="V60" s="953"/>
      <c r="W60" s="936">
        <f t="shared" si="8"/>
        <v>46976</v>
      </c>
      <c r="X60" s="802" t="e">
        <f t="shared" si="19"/>
        <v>#N/A</v>
      </c>
      <c r="Y60" s="476"/>
      <c r="Z60" s="476"/>
      <c r="AA60" s="476"/>
    </row>
    <row r="61" spans="1:27" ht="15.6" customHeight="1">
      <c r="A61" s="994" t="s">
        <v>177</v>
      </c>
      <c r="B61" s="995">
        <f>N50+K50</f>
        <v>46508</v>
      </c>
      <c r="C61" s="996">
        <f t="shared" si="17"/>
        <v>46508</v>
      </c>
      <c r="D61" s="1081">
        <v>200527</v>
      </c>
      <c r="E61" s="997"/>
      <c r="F61" s="997" t="str">
        <f>IFERROR(VLOOKUP(G61,Recria[[Granja Recria]:[Emp+CC]],4,0),"")</f>
        <v>22_481</v>
      </c>
      <c r="G61" s="998" t="s">
        <v>318</v>
      </c>
      <c r="H61" s="999" t="str">
        <f>IFERROR(VLOOKUP(G61,Recria[[Granja Recria]:[Núcleo]],2,0),"")</f>
        <v>(N2)</v>
      </c>
      <c r="I61" s="997">
        <v>30000</v>
      </c>
      <c r="J61" s="994" t="s">
        <v>45</v>
      </c>
      <c r="K61" s="994">
        <v>50</v>
      </c>
      <c r="L61" s="803" t="str">
        <f>VLOOKUP(M61,Raca_Linhagem[],2,0)</f>
        <v>COBB</v>
      </c>
      <c r="M61" s="816" t="s">
        <v>21</v>
      </c>
      <c r="N61" s="972">
        <f t="shared" si="7"/>
        <v>46655</v>
      </c>
      <c r="O61" s="973"/>
      <c r="P61" s="973" t="str">
        <f>IFERROR(VLOOKUP(Q61,Producao[[Granja Produção]:[Emp+CC]],4,0),"")</f>
        <v>130_451</v>
      </c>
      <c r="Q61" s="974" t="s">
        <v>65</v>
      </c>
      <c r="R61" s="973" t="str">
        <f>IFERROR(VLOOKUP(Q61,Producao[[Granja Produção]:[Núcleo]],2,0),"")</f>
        <v>(N1)</v>
      </c>
      <c r="S61" s="977">
        <v>30000</v>
      </c>
      <c r="T61" s="933">
        <f t="shared" si="2"/>
        <v>46969</v>
      </c>
      <c r="U61" s="934">
        <v>66</v>
      </c>
      <c r="V61" s="953"/>
      <c r="W61" s="936">
        <f t="shared" si="8"/>
        <v>46969</v>
      </c>
      <c r="X61" s="802" t="e">
        <f t="shared" si="19"/>
        <v>#N/A</v>
      </c>
      <c r="Y61" s="476"/>
      <c r="Z61" s="476"/>
      <c r="AA61" s="476"/>
    </row>
    <row r="62" spans="1:27" s="960" customFormat="1" ht="15.6" customHeight="1">
      <c r="A62" s="225" t="s">
        <v>17</v>
      </c>
      <c r="B62" s="270">
        <v>46532</v>
      </c>
      <c r="C62" s="271">
        <v>46532</v>
      </c>
      <c r="D62" s="970"/>
      <c r="E62" s="468">
        <f t="shared" ref="E62" ca="1" si="20">IF((TODAY()-C62)/7&gt;U62,U62,(TODAY()-C62)/7)</f>
        <v>-34</v>
      </c>
      <c r="F62" s="273" t="str">
        <f>IFERROR(VLOOKUP(G62,Recria[[Granja Recria]:[Emp+CC]],4,0),"")</f>
        <v/>
      </c>
      <c r="G62" s="954" t="s">
        <v>329</v>
      </c>
      <c r="H62" s="905" t="str">
        <f>IFERROR(VLOOKUP(G62,Recria[[Granja Recria]:[Núcleo]],2,0),"")</f>
        <v/>
      </c>
      <c r="I62" s="273"/>
      <c r="J62" s="269"/>
      <c r="K62" s="269"/>
      <c r="L62" s="803" t="str">
        <f>VLOOKUP(M62,Raca_Linhagem[],2,0)</f>
        <v>COBB</v>
      </c>
      <c r="M62" s="816" t="s">
        <v>21</v>
      </c>
      <c r="N62" s="925">
        <f t="shared" si="7"/>
        <v>46679</v>
      </c>
      <c r="O62" s="924"/>
      <c r="P62" s="924" t="str">
        <f>IFERROR(VLOOKUP(Q62,Producao[[Granja Produção]:[Emp+CC]],4,0),"")</f>
        <v>87_855</v>
      </c>
      <c r="Q62" s="944" t="s">
        <v>260</v>
      </c>
      <c r="R62" s="467" t="str">
        <f>IFERROR(VLOOKUP(Q62,Producao[[Granja Produção]:[Núcleo]],2,0),"")</f>
        <v>(N3)</v>
      </c>
      <c r="S62" s="927">
        <v>28000</v>
      </c>
      <c r="T62" s="916">
        <f t="shared" ref="T62:T77" si="21">C62+(U62*7)-1</f>
        <v>47021</v>
      </c>
      <c r="U62" s="917">
        <v>70</v>
      </c>
      <c r="V62" s="971"/>
      <c r="W62" s="919">
        <f t="shared" si="8"/>
        <v>47021</v>
      </c>
      <c r="X62" s="802" t="e">
        <f t="shared" si="19"/>
        <v>#N/A</v>
      </c>
      <c r="Y62" s="959"/>
      <c r="Z62" s="959"/>
      <c r="AA62" s="959"/>
    </row>
    <row r="63" spans="1:27" ht="15" customHeight="1">
      <c r="A63" s="994" t="s">
        <v>17</v>
      </c>
      <c r="B63" s="995">
        <f>N51+K51</f>
        <v>46530</v>
      </c>
      <c r="C63" s="996">
        <f t="shared" si="17"/>
        <v>46530</v>
      </c>
      <c r="D63" s="1080">
        <v>103227</v>
      </c>
      <c r="E63" s="997"/>
      <c r="F63" s="997" t="str">
        <f>IFERROR(VLOOKUP(G63,Recria[[Granja Recria]:[Emp+CC]],4,0),"")</f>
        <v>10-115</v>
      </c>
      <c r="G63" s="998" t="s">
        <v>315</v>
      </c>
      <c r="H63" s="999" t="str">
        <f>IFERROR(VLOOKUP(G63,Recria[[Granja Recria]:[Núcleo]],2,0),"")</f>
        <v>(N1)</v>
      </c>
      <c r="I63" s="997">
        <v>60000</v>
      </c>
      <c r="J63" s="994" t="s">
        <v>45</v>
      </c>
      <c r="K63" s="994">
        <v>50</v>
      </c>
      <c r="L63" s="803" t="str">
        <f>VLOOKUP(M63,Raca_Linhagem[],2,0)</f>
        <v>ROSS</v>
      </c>
      <c r="M63" s="812" t="s">
        <v>26</v>
      </c>
      <c r="N63" s="972">
        <f t="shared" si="7"/>
        <v>46677</v>
      </c>
      <c r="O63" s="973"/>
      <c r="P63" s="973" t="str">
        <f>IFERROR(VLOOKUP(Q63,Producao[[Granja Produção]:[Emp+CC]],4,0),"")</f>
        <v>19_495</v>
      </c>
      <c r="Q63" s="984" t="s">
        <v>316</v>
      </c>
      <c r="R63" s="975" t="str">
        <f>IFERROR(VLOOKUP(Q63,Producao[[Granja Produção]:[Núcleo]],2,0),"")</f>
        <v>(N1)</v>
      </c>
      <c r="S63" s="976">
        <v>57000</v>
      </c>
      <c r="T63" s="933">
        <f t="shared" si="21"/>
        <v>46991</v>
      </c>
      <c r="U63" s="934">
        <v>66</v>
      </c>
      <c r="V63" s="953"/>
      <c r="W63" s="936">
        <f t="shared" si="8"/>
        <v>46991</v>
      </c>
      <c r="X63" s="802" t="e">
        <f t="shared" si="19"/>
        <v>#N/A</v>
      </c>
      <c r="Y63" s="476"/>
      <c r="Z63" s="476"/>
      <c r="AA63" s="476"/>
    </row>
    <row r="64" spans="1:27" ht="15" customHeight="1">
      <c r="A64" s="994" t="s">
        <v>177</v>
      </c>
      <c r="B64" s="995">
        <f>N54+K54</f>
        <v>46602</v>
      </c>
      <c r="C64" s="996">
        <f t="shared" si="17"/>
        <v>46602</v>
      </c>
      <c r="D64" s="1081">
        <v>200627</v>
      </c>
      <c r="E64" s="997"/>
      <c r="F64" s="997" t="str">
        <f>IFERROR(VLOOKUP(G64,Recria[[Granja Recria]:[Emp+CC]],4,0),"")</f>
        <v>39_479</v>
      </c>
      <c r="G64" s="998" t="s">
        <v>298</v>
      </c>
      <c r="H64" s="999" t="str">
        <f>IFERROR(VLOOKUP(G64,Recria[[Granja Recria]:[Núcleo]],2,0),"")</f>
        <v>(N1)</v>
      </c>
      <c r="I64" s="997">
        <v>66000</v>
      </c>
      <c r="J64" s="994" t="s">
        <v>60</v>
      </c>
      <c r="K64" s="994">
        <v>25</v>
      </c>
      <c r="L64" s="803" t="str">
        <f>VLOOKUP(M64,Raca_Linhagem[],2,0)</f>
        <v>ROSS</v>
      </c>
      <c r="M64" s="816" t="s">
        <v>31</v>
      </c>
      <c r="N64" s="972">
        <f t="shared" si="7"/>
        <v>46749</v>
      </c>
      <c r="O64" s="973"/>
      <c r="P64" s="973" t="str">
        <f>IFERROR(VLOOKUP(Q64,Producao[[Granja Produção]:[Emp+CC]],4,0),"")</f>
        <v>87_853</v>
      </c>
      <c r="Q64" s="984" t="s">
        <v>321</v>
      </c>
      <c r="R64" s="983" t="str">
        <f>IFERROR(VLOOKUP(Q64,Producao[[Granja Produção]:[Núcleo]],2,0),"")</f>
        <v>(N1)</v>
      </c>
      <c r="S64" s="977">
        <v>45000</v>
      </c>
      <c r="T64" s="933">
        <f t="shared" si="21"/>
        <v>47063</v>
      </c>
      <c r="U64" s="934">
        <v>66</v>
      </c>
      <c r="V64" s="953"/>
      <c r="W64" s="936">
        <f t="shared" si="8"/>
        <v>47063</v>
      </c>
      <c r="X64" s="802" t="e">
        <f t="shared" si="19"/>
        <v>#N/A</v>
      </c>
      <c r="Y64" s="476"/>
      <c r="Z64" s="476"/>
      <c r="AA64" s="476"/>
    </row>
    <row r="65" spans="1:27" ht="15" customHeight="1">
      <c r="A65" s="994" t="s">
        <v>177</v>
      </c>
      <c r="B65" s="995">
        <f>N54+K54</f>
        <v>46602</v>
      </c>
      <c r="C65" s="996">
        <f t="shared" si="17"/>
        <v>46602</v>
      </c>
      <c r="D65" s="1081">
        <v>200627</v>
      </c>
      <c r="E65" s="997"/>
      <c r="F65" s="997" t="str">
        <f>IFERROR(VLOOKUP(G65,Recria[[Granja Recria]:[Emp+CC]],4,0),"")</f>
        <v>39_479</v>
      </c>
      <c r="G65" s="998" t="s">
        <v>298</v>
      </c>
      <c r="H65" s="999" t="str">
        <f>IFERROR(VLOOKUP(G65,Recria[[Granja Recria]:[Núcleo]],2,0),"")</f>
        <v>(N1)</v>
      </c>
      <c r="I65" s="997"/>
      <c r="J65" s="994" t="s">
        <v>60</v>
      </c>
      <c r="K65" s="994">
        <v>25</v>
      </c>
      <c r="L65" s="803" t="str">
        <f>VLOOKUP(M65,Raca_Linhagem[],2,0)</f>
        <v>ROSS</v>
      </c>
      <c r="M65" s="816" t="s">
        <v>31</v>
      </c>
      <c r="N65" s="972">
        <f t="shared" si="7"/>
        <v>46749</v>
      </c>
      <c r="O65" s="973"/>
      <c r="P65" s="973" t="str">
        <f>IFERROR(VLOOKUP(Q65,Producao[[Granja Produção]:[Emp+CC]],4,0),"")</f>
        <v>87_854</v>
      </c>
      <c r="Q65" s="984" t="s">
        <v>165</v>
      </c>
      <c r="R65" s="983" t="str">
        <f>IFERROR(VLOOKUP(Q65,Producao[[Granja Produção]:[Núcleo]],2,0),"")</f>
        <v>(N2)</v>
      </c>
      <c r="S65" s="977">
        <v>17000</v>
      </c>
      <c r="T65" s="933">
        <f t="shared" si="21"/>
        <v>47063</v>
      </c>
      <c r="U65" s="934">
        <v>66</v>
      </c>
      <c r="V65" s="953"/>
      <c r="W65" s="936">
        <f t="shared" si="8"/>
        <v>47063</v>
      </c>
      <c r="X65" s="802" t="e">
        <f t="shared" si="19"/>
        <v>#N/A</v>
      </c>
      <c r="Y65" s="476"/>
      <c r="Z65" s="476"/>
      <c r="AA65" s="476"/>
    </row>
    <row r="66" spans="1:27" s="960" customFormat="1" ht="15.6" customHeight="1">
      <c r="A66" s="274" t="s">
        <v>17</v>
      </c>
      <c r="B66" s="275">
        <v>46598</v>
      </c>
      <c r="C66" s="979">
        <v>46598</v>
      </c>
      <c r="D66" s="1075"/>
      <c r="E66" s="468">
        <f t="shared" ref="E66" ca="1" si="22">IF((TODAY()-C66)/7&gt;U66,U66,(TODAY()-C66)/7)</f>
        <v>-43.428571428571431</v>
      </c>
      <c r="F66" s="276" t="str">
        <f>IFERROR(VLOOKUP(G66,Recria[[Granja Recria]:[Emp+CC]],4,0),"")</f>
        <v/>
      </c>
      <c r="G66" s="942" t="s">
        <v>329</v>
      </c>
      <c r="H66" s="943" t="str">
        <f>IFERROR(VLOOKUP(G66,Recria[[Granja Recria]:[Núcleo]],2,0),"")</f>
        <v/>
      </c>
      <c r="I66" s="276"/>
      <c r="J66" s="274"/>
      <c r="K66" s="274"/>
      <c r="L66" s="803" t="str">
        <f>VLOOKUP(M66,Raca_Linhagem[],2,0)</f>
        <v>COBB</v>
      </c>
      <c r="M66" s="816" t="s">
        <v>21</v>
      </c>
      <c r="N66" s="925">
        <f t="shared" si="7"/>
        <v>46745</v>
      </c>
      <c r="O66" s="924"/>
      <c r="P66" s="924" t="str">
        <f>IFERROR(VLOOKUP(Q66,Producao[[Granja Produção]:[Emp+CC]],4,0),"")</f>
        <v>87_854</v>
      </c>
      <c r="Q66" s="950" t="s">
        <v>165</v>
      </c>
      <c r="R66" s="924" t="str">
        <f>IFERROR(VLOOKUP(Q66,Producao[[Granja Produção]:[Núcleo]],2,0),"")</f>
        <v>(N2)</v>
      </c>
      <c r="S66" s="927">
        <v>20000</v>
      </c>
      <c r="T66" s="916">
        <f t="shared" si="21"/>
        <v>47059</v>
      </c>
      <c r="U66" s="917">
        <v>66</v>
      </c>
      <c r="V66" s="971"/>
      <c r="W66" s="919">
        <f t="shared" si="8"/>
        <v>47059</v>
      </c>
      <c r="X66" s="802" t="e">
        <f t="shared" si="19"/>
        <v>#N/A</v>
      </c>
      <c r="Y66" s="959"/>
      <c r="Z66" s="959"/>
      <c r="AA66" s="959"/>
    </row>
    <row r="67" spans="1:27" ht="15.6" customHeight="1">
      <c r="A67" s="994" t="s">
        <v>177</v>
      </c>
      <c r="B67" s="995">
        <f>N55+K55</f>
        <v>46630</v>
      </c>
      <c r="C67" s="996">
        <f t="shared" si="17"/>
        <v>46630</v>
      </c>
      <c r="D67" s="1081">
        <v>200727</v>
      </c>
      <c r="E67" s="997"/>
      <c r="F67" s="997" t="str">
        <f>IFERROR(VLOOKUP(G67,Recria[[Granja Recria]:[Emp+CC]],4,0),"")</f>
        <v>29_2238</v>
      </c>
      <c r="G67" s="998" t="s">
        <v>243</v>
      </c>
      <c r="H67" s="999" t="str">
        <f>IFERROR(VLOOKUP(G67,Recria[[Granja Recria]:[Núcleo]],2,0),"")</f>
        <v>(N1)</v>
      </c>
      <c r="I67" s="997">
        <v>61000</v>
      </c>
      <c r="J67" s="994" t="s">
        <v>60</v>
      </c>
      <c r="K67" s="994">
        <v>25</v>
      </c>
      <c r="L67" s="803" t="str">
        <f>VLOOKUP(M67,Raca_Linhagem[],2,0)</f>
        <v>COBB</v>
      </c>
      <c r="M67" s="816" t="s">
        <v>37</v>
      </c>
      <c r="N67" s="972">
        <f t="shared" si="7"/>
        <v>46777</v>
      </c>
      <c r="O67" s="973"/>
      <c r="P67" s="973" t="str">
        <f>IFERROR(VLOOKUP(Q67,Producao[[Granja Produção]:[Emp+CC]],4,0),"")</f>
        <v>81_483</v>
      </c>
      <c r="Q67" s="984" t="s">
        <v>323</v>
      </c>
      <c r="R67" s="973" t="str">
        <f>IFERROR(VLOOKUP(Q67,Producao[[Granja Produção]:[Núcleo]],2,0),"")</f>
        <v>(N2)</v>
      </c>
      <c r="S67" s="977">
        <v>23000</v>
      </c>
      <c r="T67" s="933">
        <f t="shared" si="21"/>
        <v>47091</v>
      </c>
      <c r="U67" s="934">
        <v>66</v>
      </c>
      <c r="V67" s="953"/>
      <c r="W67" s="936">
        <f t="shared" si="8"/>
        <v>47091</v>
      </c>
      <c r="X67" s="802" t="e">
        <f t="shared" si="19"/>
        <v>#N/A</v>
      </c>
      <c r="Y67" s="476"/>
      <c r="Z67" s="476"/>
      <c r="AA67" s="476"/>
    </row>
    <row r="68" spans="1:27" ht="15.6" customHeight="1">
      <c r="A68" s="994" t="s">
        <v>177</v>
      </c>
      <c r="B68" s="995">
        <f>N55+K55</f>
        <v>46630</v>
      </c>
      <c r="C68" s="996">
        <f>B68</f>
        <v>46630</v>
      </c>
      <c r="D68" s="1081">
        <v>200727</v>
      </c>
      <c r="E68" s="997"/>
      <c r="F68" s="997" t="str">
        <f>IFERROR(VLOOKUP(G68,Recria[[Granja Recria]:[Emp+CC]],4,0),"")</f>
        <v>29_2238</v>
      </c>
      <c r="G68" s="998" t="s">
        <v>243</v>
      </c>
      <c r="H68" s="999" t="str">
        <f>IFERROR(VLOOKUP(G68,Recria[[Granja Recria]:[Núcleo]],2,0),"")</f>
        <v>(N1)</v>
      </c>
      <c r="I68" s="997"/>
      <c r="J68" s="994" t="s">
        <v>60</v>
      </c>
      <c r="K68" s="994">
        <v>25</v>
      </c>
      <c r="L68" s="803" t="str">
        <f>VLOOKUP(M68,Raca_Linhagem[],2,0)</f>
        <v>COBB</v>
      </c>
      <c r="M68" s="816" t="s">
        <v>37</v>
      </c>
      <c r="N68" s="972">
        <f t="shared" si="7"/>
        <v>46777</v>
      </c>
      <c r="O68" s="973"/>
      <c r="P68" s="973" t="str">
        <f>IFERROR(VLOOKUP(Q68,Producao[[Granja Produção]:[Emp+CC]],4,0),"")</f>
        <v>81_482</v>
      </c>
      <c r="Q68" s="984" t="s">
        <v>324</v>
      </c>
      <c r="R68" s="973" t="str">
        <f>IFERROR(VLOOKUP(Q68,Producao[[Granja Produção]:[Núcleo]],2,0),"")</f>
        <v>(N1)</v>
      </c>
      <c r="S68" s="977">
        <v>23000</v>
      </c>
      <c r="T68" s="933">
        <f t="shared" si="21"/>
        <v>47091</v>
      </c>
      <c r="U68" s="934">
        <v>66</v>
      </c>
      <c r="V68" s="953"/>
      <c r="W68" s="936">
        <f t="shared" si="8"/>
        <v>47091</v>
      </c>
      <c r="X68" s="802" t="e">
        <f t="shared" si="19"/>
        <v>#N/A</v>
      </c>
      <c r="Y68" s="476"/>
      <c r="Z68" s="476"/>
      <c r="AA68" s="476"/>
    </row>
    <row r="69" spans="1:27" ht="15.6" customHeight="1">
      <c r="A69" s="994" t="s">
        <v>177</v>
      </c>
      <c r="B69" s="995">
        <f>N55+K55</f>
        <v>46630</v>
      </c>
      <c r="C69" s="996">
        <f>B69</f>
        <v>46630</v>
      </c>
      <c r="D69" s="1081">
        <v>200727</v>
      </c>
      <c r="E69" s="997"/>
      <c r="F69" s="997" t="str">
        <f>IFERROR(VLOOKUP(G69,Recria[[Granja Recria]:[Emp+CC]],4,0),"")</f>
        <v>29_2238</v>
      </c>
      <c r="G69" s="998" t="s">
        <v>243</v>
      </c>
      <c r="H69" s="999" t="str">
        <f>IFERROR(VLOOKUP(G69,Recria[[Granja Recria]:[Núcleo]],2,0),"")</f>
        <v>(N1)</v>
      </c>
      <c r="I69" s="997"/>
      <c r="J69" s="994" t="s">
        <v>60</v>
      </c>
      <c r="K69" s="994">
        <v>25</v>
      </c>
      <c r="L69" s="803" t="str">
        <f>VLOOKUP(M69,Raca_Linhagem[],2,0)</f>
        <v>COBB</v>
      </c>
      <c r="M69" s="816" t="s">
        <v>37</v>
      </c>
      <c r="N69" s="961">
        <f t="shared" si="7"/>
        <v>46777</v>
      </c>
      <c r="O69" s="962"/>
      <c r="P69" s="962" t="str">
        <f>IFERROR(VLOOKUP(Q69,Producao[[Granja Produção]:[Emp+CC]],4,0),"")</f>
        <v/>
      </c>
      <c r="Q69" s="963" t="s">
        <v>329</v>
      </c>
      <c r="R69" s="962" t="str">
        <f>IFERROR(VLOOKUP(Q69,Producao[[Granja Produção]:[Núcleo]],2,0),"")</f>
        <v/>
      </c>
      <c r="S69" s="965">
        <v>11000</v>
      </c>
      <c r="T69" s="966">
        <f t="shared" si="21"/>
        <v>47091</v>
      </c>
      <c r="U69" s="967">
        <v>66</v>
      </c>
      <c r="V69" s="968"/>
      <c r="W69" s="1000">
        <f t="shared" si="8"/>
        <v>47091</v>
      </c>
      <c r="X69" s="802" t="e">
        <f t="shared" si="19"/>
        <v>#N/A</v>
      </c>
      <c r="Y69" s="476"/>
      <c r="Z69" s="476"/>
      <c r="AA69" s="476"/>
    </row>
    <row r="70" spans="1:27" ht="15" customHeight="1">
      <c r="A70" s="994" t="s">
        <v>177</v>
      </c>
      <c r="B70" s="995">
        <f>N56+K56</f>
        <v>46668</v>
      </c>
      <c r="C70" s="996">
        <f t="shared" si="17"/>
        <v>46668</v>
      </c>
      <c r="D70" s="1081">
        <v>200827</v>
      </c>
      <c r="E70" s="997"/>
      <c r="F70" s="997" t="str">
        <f>IFERROR(VLOOKUP(G70,Recria[[Granja Recria]:[Emp+CC]],4,0),"")</f>
        <v>39_464</v>
      </c>
      <c r="G70" s="998" t="s">
        <v>178</v>
      </c>
      <c r="H70" s="999" t="str">
        <f>IFERROR(VLOOKUP(G70,Recria[[Granja Recria]:[Núcleo]],2,0),"")</f>
        <v>(N2)</v>
      </c>
      <c r="I70" s="997">
        <v>45000</v>
      </c>
      <c r="J70" s="994" t="s">
        <v>45</v>
      </c>
      <c r="K70" s="994">
        <v>50</v>
      </c>
      <c r="L70" s="803" t="str">
        <f>VLOOKUP(M70,Raca_Linhagem[],2,0)</f>
        <v>ROSS</v>
      </c>
      <c r="M70" s="816" t="s">
        <v>31</v>
      </c>
      <c r="N70" s="972">
        <f t="shared" si="7"/>
        <v>46815</v>
      </c>
      <c r="O70" s="973"/>
      <c r="P70" s="973" t="str">
        <f>IFERROR(VLOOKUP(Q70,Producao[[Granja Produção]:[Emp+CC]],4,0),"")</f>
        <v>81_484</v>
      </c>
      <c r="Q70" s="984" t="s">
        <v>325</v>
      </c>
      <c r="R70" s="973" t="str">
        <f>IFERROR(VLOOKUP(Q70,Producao[[Granja Produção]:[Núcleo]],2,0),"")</f>
        <v>(N3)</v>
      </c>
      <c r="S70" s="977">
        <v>24000</v>
      </c>
      <c r="T70" s="933">
        <f t="shared" si="21"/>
        <v>47129</v>
      </c>
      <c r="U70" s="934">
        <v>66</v>
      </c>
      <c r="V70" s="953"/>
      <c r="W70" s="936">
        <f t="shared" si="8"/>
        <v>47129</v>
      </c>
      <c r="X70" s="802" t="e">
        <f t="shared" si="19"/>
        <v>#N/A</v>
      </c>
      <c r="Y70" s="476"/>
      <c r="Z70" s="476"/>
      <c r="AA70" s="476"/>
    </row>
    <row r="71" spans="1:27" ht="15" customHeight="1">
      <c r="A71" s="994" t="s">
        <v>177</v>
      </c>
      <c r="B71" s="995">
        <f>N56+K56</f>
        <v>46668</v>
      </c>
      <c r="C71" s="996">
        <f>B71</f>
        <v>46668</v>
      </c>
      <c r="D71" s="1081">
        <v>200827</v>
      </c>
      <c r="E71" s="997"/>
      <c r="F71" s="997" t="str">
        <f>IFERROR(VLOOKUP(G71,Recria[[Granja Recria]:[Emp+CC]],4,0),"")</f>
        <v>39_464</v>
      </c>
      <c r="G71" s="998" t="s">
        <v>178</v>
      </c>
      <c r="H71" s="999" t="str">
        <f>IFERROR(VLOOKUP(G71,Recria[[Granja Recria]:[Núcleo]],2,0),"")</f>
        <v>(N2)</v>
      </c>
      <c r="I71" s="997"/>
      <c r="J71" s="994" t="s">
        <v>45</v>
      </c>
      <c r="K71" s="994">
        <v>50</v>
      </c>
      <c r="L71" s="803" t="str">
        <f>VLOOKUP(M71,Raca_Linhagem[],2,0)</f>
        <v>ROSS</v>
      </c>
      <c r="M71" s="816" t="s">
        <v>31</v>
      </c>
      <c r="N71" s="972">
        <f t="shared" si="7"/>
        <v>46815</v>
      </c>
      <c r="O71" s="973"/>
      <c r="P71" s="973" t="str">
        <f>IFERROR(VLOOKUP(Q71,Producao[[Granja Produção]:[Emp+CC]],4,0),"")</f>
        <v>81_786</v>
      </c>
      <c r="Q71" s="984" t="s">
        <v>327</v>
      </c>
      <c r="R71" s="975" t="str">
        <f>IFERROR(VLOOKUP(Q71,Producao[[Granja Produção]:[Núcleo]],2,0),"")</f>
        <v>(N6)</v>
      </c>
      <c r="S71" s="977">
        <v>18000</v>
      </c>
      <c r="T71" s="933">
        <f t="shared" si="21"/>
        <v>47129</v>
      </c>
      <c r="U71" s="934">
        <v>66</v>
      </c>
      <c r="V71" s="953"/>
      <c r="W71" s="936">
        <f t="shared" si="8"/>
        <v>47129</v>
      </c>
      <c r="X71" s="802" t="e">
        <f t="shared" ref="X71:X76" si="23">VLOOKUP(Q71,Q91:Q132,1,0)</f>
        <v>#N/A</v>
      </c>
      <c r="Y71" s="476"/>
      <c r="Z71" s="476"/>
      <c r="AA71" s="476"/>
    </row>
    <row r="72" spans="1:27" ht="15" customHeight="1">
      <c r="A72" s="994" t="s">
        <v>244</v>
      </c>
      <c r="B72" s="995">
        <f>N59+K59</f>
        <v>46687</v>
      </c>
      <c r="C72" s="996">
        <f>B72</f>
        <v>46687</v>
      </c>
      <c r="D72" s="1081">
        <v>200927</v>
      </c>
      <c r="E72" s="997"/>
      <c r="F72" s="997" t="str">
        <f>IFERROR(VLOOKUP(G72,Recria[[Granja Recria]:[Emp+CC]],4,0),"")</f>
        <v>22_494</v>
      </c>
      <c r="G72" s="998" t="s">
        <v>245</v>
      </c>
      <c r="H72" s="999" t="str">
        <f>IFERROR(VLOOKUP(G72,Recria[[Granja Recria]:[Núcleo]],2,0),"")</f>
        <v>(N1)</v>
      </c>
      <c r="I72" s="997">
        <v>30000</v>
      </c>
      <c r="J72" s="994" t="s">
        <v>45</v>
      </c>
      <c r="K72" s="994">
        <v>50</v>
      </c>
      <c r="L72" s="803" t="str">
        <f>VLOOKUP(M72,Raca_Linhagem[],2,0)</f>
        <v>ROSS</v>
      </c>
      <c r="M72" s="812" t="s">
        <v>26</v>
      </c>
      <c r="N72" s="961">
        <f t="shared" si="7"/>
        <v>46834</v>
      </c>
      <c r="O72" s="962"/>
      <c r="P72" s="962" t="str">
        <f>IFERROR(VLOOKUP(Q72,Producao[[Granja Produção]:[Emp+CC]],4,0),"")</f>
        <v/>
      </c>
      <c r="Q72" s="963" t="s">
        <v>329</v>
      </c>
      <c r="R72" s="962" t="str">
        <f>IFERROR(VLOOKUP(Q72,Producao[[Granja Produção]:[Núcleo]],2,0),"")</f>
        <v/>
      </c>
      <c r="S72" s="965">
        <v>28000</v>
      </c>
      <c r="T72" s="966">
        <f t="shared" si="21"/>
        <v>47148</v>
      </c>
      <c r="U72" s="967">
        <v>66</v>
      </c>
      <c r="V72" s="968"/>
      <c r="W72" s="1000">
        <f t="shared" si="8"/>
        <v>47148</v>
      </c>
      <c r="X72" s="802" t="e">
        <f t="shared" si="23"/>
        <v>#N/A</v>
      </c>
      <c r="Y72" s="476"/>
      <c r="Z72" s="476"/>
      <c r="AA72" s="476"/>
    </row>
    <row r="73" spans="1:27" ht="15.6" customHeight="1">
      <c r="A73" s="994" t="s">
        <v>177</v>
      </c>
      <c r="B73" s="995">
        <f>N61+K61</f>
        <v>46705</v>
      </c>
      <c r="C73" s="996">
        <f t="shared" si="17"/>
        <v>46705</v>
      </c>
      <c r="D73" s="1081">
        <v>201027</v>
      </c>
      <c r="E73" s="997"/>
      <c r="F73" s="997" t="str">
        <f>IFERROR(VLOOKUP(G73,Recria[[Granja Recria]:[Emp+CC]],4,0),"")</f>
        <v>22_481</v>
      </c>
      <c r="G73" s="998" t="s">
        <v>318</v>
      </c>
      <c r="H73" s="999" t="str">
        <f>IFERROR(VLOOKUP(G73,Recria[[Granja Recria]:[Núcleo]],2,0),"")</f>
        <v>(N2)</v>
      </c>
      <c r="I73" s="997">
        <v>30000</v>
      </c>
      <c r="J73" s="994" t="s">
        <v>60</v>
      </c>
      <c r="K73" s="994">
        <v>25</v>
      </c>
      <c r="L73" s="803" t="str">
        <f>VLOOKUP(M73,Raca_Linhagem[],2,0)</f>
        <v>ROSS</v>
      </c>
      <c r="M73" s="812" t="s">
        <v>26</v>
      </c>
      <c r="N73" s="972">
        <f t="shared" si="7"/>
        <v>46852</v>
      </c>
      <c r="O73" s="973"/>
      <c r="P73" s="973" t="str">
        <f>IFERROR(VLOOKUP(Q73,Producao[[Granja Produção]:[Emp+CC]],4,0),"")</f>
        <v>14_496</v>
      </c>
      <c r="Q73" s="974" t="s">
        <v>204</v>
      </c>
      <c r="R73" s="973" t="str">
        <f>IFERROR(VLOOKUP(Q73,Producao[[Granja Produção]:[Núcleo]],2,0),"")</f>
        <v>(N1)</v>
      </c>
      <c r="S73" s="977">
        <v>28000</v>
      </c>
      <c r="T73" s="933">
        <f t="shared" si="21"/>
        <v>47166</v>
      </c>
      <c r="U73" s="934">
        <v>66</v>
      </c>
      <c r="V73" s="953"/>
      <c r="W73" s="936">
        <f t="shared" si="8"/>
        <v>47166</v>
      </c>
      <c r="X73" s="802" t="e">
        <f t="shared" si="23"/>
        <v>#N/A</v>
      </c>
      <c r="Y73" s="476"/>
      <c r="Z73" s="476"/>
      <c r="AA73" s="476"/>
    </row>
    <row r="74" spans="1:27" ht="15" customHeight="1">
      <c r="A74" s="994" t="s">
        <v>17</v>
      </c>
      <c r="B74" s="995">
        <f>N63+K63</f>
        <v>46727</v>
      </c>
      <c r="C74" s="996">
        <f t="shared" si="17"/>
        <v>46727</v>
      </c>
      <c r="D74" s="1080">
        <v>106927</v>
      </c>
      <c r="E74" s="997"/>
      <c r="F74" s="997" t="str">
        <f>IFERROR(VLOOKUP(G74,Recria[[Granja Recria]:[Emp+CC]],4,0),"")</f>
        <v>10-115</v>
      </c>
      <c r="G74" s="998" t="s">
        <v>315</v>
      </c>
      <c r="H74" s="999" t="str">
        <f>IFERROR(VLOOKUP(G74,Recria[[Granja Recria]:[Núcleo]],2,0),"")</f>
        <v>(N1)</v>
      </c>
      <c r="I74" s="997">
        <v>60000</v>
      </c>
      <c r="J74" s="994" t="s">
        <v>60</v>
      </c>
      <c r="K74" s="994">
        <v>30</v>
      </c>
      <c r="L74" s="1244" t="s">
        <v>177</v>
      </c>
      <c r="M74" s="816" t="s">
        <v>21</v>
      </c>
      <c r="N74" s="972">
        <f t="shared" si="7"/>
        <v>46874</v>
      </c>
      <c r="O74" s="973"/>
      <c r="P74" s="973" t="str">
        <f>IFERROR(VLOOKUP(Q74,Producao[[Granja Produção]:[Emp+CC]],4,0),"")</f>
        <v>81_785</v>
      </c>
      <c r="Q74" s="974" t="s">
        <v>331</v>
      </c>
      <c r="R74" s="975" t="str">
        <f>IFERROR(VLOOKUP(Q74,Producao[[Granja Produção]:[Núcleo]],2,0),"")</f>
        <v>(N5)</v>
      </c>
      <c r="S74" s="976">
        <v>23000</v>
      </c>
      <c r="T74" s="933">
        <f t="shared" si="21"/>
        <v>47188</v>
      </c>
      <c r="U74" s="934">
        <v>66</v>
      </c>
      <c r="V74" s="953"/>
      <c r="W74" s="936">
        <f t="shared" si="8"/>
        <v>47188</v>
      </c>
      <c r="X74" s="802" t="e">
        <f t="shared" si="23"/>
        <v>#N/A</v>
      </c>
      <c r="Y74" s="476"/>
      <c r="Z74" s="476"/>
      <c r="AA74" s="476"/>
    </row>
    <row r="75" spans="1:27" ht="15" customHeight="1">
      <c r="A75" s="994" t="s">
        <v>17</v>
      </c>
      <c r="B75" s="995">
        <f>N63+K63</f>
        <v>46727</v>
      </c>
      <c r="C75" s="996">
        <f>B75</f>
        <v>46727</v>
      </c>
      <c r="D75" s="1080">
        <v>106927</v>
      </c>
      <c r="E75" s="997"/>
      <c r="F75" s="997" t="str">
        <f>IFERROR(VLOOKUP(G75,Recria[[Granja Recria]:[Emp+CC]],4,0),"")</f>
        <v>10-115</v>
      </c>
      <c r="G75" s="998" t="s">
        <v>315</v>
      </c>
      <c r="H75" s="999" t="str">
        <f>IFERROR(VLOOKUP(G75,Recria[[Granja Recria]:[Núcleo]],2,0),"")</f>
        <v>(N1)</v>
      </c>
      <c r="I75" s="997"/>
      <c r="J75" s="994" t="s">
        <v>60</v>
      </c>
      <c r="K75" s="994">
        <v>30</v>
      </c>
      <c r="L75" s="1244" t="s">
        <v>177</v>
      </c>
      <c r="M75" s="816" t="s">
        <v>21</v>
      </c>
      <c r="N75" s="972">
        <f t="shared" si="7"/>
        <v>46874</v>
      </c>
      <c r="O75" s="973"/>
      <c r="P75" s="973" t="str">
        <f>IFERROR(VLOOKUP(Q75,Producao[[Granja Produção]:[Emp+CC]],4,0),"")</f>
        <v>92_961</v>
      </c>
      <c r="Q75" s="974" t="s">
        <v>203</v>
      </c>
      <c r="R75" s="975" t="str">
        <f>IFERROR(VLOOKUP(Q75,Producao[[Granja Produção]:[Núcleo]],2,0),"")</f>
        <v>(N1)</v>
      </c>
      <c r="S75" s="976">
        <v>34000</v>
      </c>
      <c r="T75" s="933">
        <f t="shared" si="21"/>
        <v>47188</v>
      </c>
      <c r="U75" s="934">
        <v>66</v>
      </c>
      <c r="V75" s="953"/>
      <c r="W75" s="936">
        <f t="shared" si="8"/>
        <v>47188</v>
      </c>
      <c r="X75" s="802" t="e">
        <f t="shared" si="23"/>
        <v>#N/A</v>
      </c>
      <c r="Y75" s="476"/>
      <c r="Z75" s="476"/>
      <c r="AA75" s="476"/>
    </row>
    <row r="76" spans="1:27" s="960" customFormat="1" ht="15.6" customHeight="1">
      <c r="A76" s="274" t="s">
        <v>17</v>
      </c>
      <c r="B76" s="275">
        <v>46741</v>
      </c>
      <c r="C76" s="979">
        <f>B76</f>
        <v>46741</v>
      </c>
      <c r="D76" s="1075"/>
      <c r="E76" s="468">
        <f t="shared" ref="E76" ca="1" si="24">IF((TODAY()-C76)/7&gt;U76,U76,(TODAY()-C76)/7)</f>
        <v>-63.857142857142854</v>
      </c>
      <c r="F76" s="276" t="str">
        <f>IFERROR(VLOOKUP(G76,Recria[[Granja Recria]:[Emp+CC]],4,0),"")</f>
        <v/>
      </c>
      <c r="G76" s="942" t="s">
        <v>329</v>
      </c>
      <c r="H76" s="943" t="str">
        <f>IFERROR(VLOOKUP(G76,Recria[[Granja Recria]:[Núcleo]],2,0),"")</f>
        <v/>
      </c>
      <c r="I76" s="276"/>
      <c r="J76" s="274"/>
      <c r="K76" s="274"/>
      <c r="L76" s="803" t="str">
        <f>VLOOKUP(M76,Raca_Linhagem[],2,0)</f>
        <v>COBB</v>
      </c>
      <c r="M76" s="816" t="s">
        <v>21</v>
      </c>
      <c r="N76" s="925">
        <f t="shared" si="7"/>
        <v>46888</v>
      </c>
      <c r="O76" s="924"/>
      <c r="P76" s="924" t="str">
        <f>IFERROR(VLOOKUP(Q76,Producao[[Granja Produção]:[Emp+CC]],4,0),"")</f>
        <v>121_2237</v>
      </c>
      <c r="Q76" s="944" t="s">
        <v>224</v>
      </c>
      <c r="R76" s="467" t="str">
        <f>IFERROR(VLOOKUP(Q76,Producao[[Granja Produção]:[Núcleo]],2,0),"")</f>
        <v>(N1)</v>
      </c>
      <c r="S76" s="927">
        <v>35000</v>
      </c>
      <c r="T76" s="916">
        <f t="shared" si="21"/>
        <v>47202</v>
      </c>
      <c r="U76" s="917">
        <v>66</v>
      </c>
      <c r="V76" s="971"/>
      <c r="W76" s="919">
        <f t="shared" si="8"/>
        <v>47202</v>
      </c>
      <c r="X76" s="802" t="e">
        <f t="shared" si="23"/>
        <v>#N/A</v>
      </c>
      <c r="Y76" s="959"/>
      <c r="Z76" s="959"/>
      <c r="AA76" s="959"/>
    </row>
    <row r="77" spans="1:27" ht="15" customHeight="1">
      <c r="A77" s="994" t="s">
        <v>177</v>
      </c>
      <c r="B77" s="995">
        <f>N64+K64</f>
        <v>46774</v>
      </c>
      <c r="C77" s="996">
        <f t="shared" si="17"/>
        <v>46774</v>
      </c>
      <c r="D77" s="1074">
        <v>200128</v>
      </c>
      <c r="E77" s="997"/>
      <c r="F77" s="997" t="str">
        <f>IFERROR(VLOOKUP(G77,Recria[[Granja Recria]:[Emp+CC]],4,0),"")</f>
        <v>39_479</v>
      </c>
      <c r="G77" s="998" t="s">
        <v>298</v>
      </c>
      <c r="H77" s="999" t="str">
        <f>IFERROR(VLOOKUP(G77,Recria[[Granja Recria]:[Núcleo]],2,0),"")</f>
        <v>(N1)</v>
      </c>
      <c r="I77" s="997">
        <v>66000</v>
      </c>
      <c r="J77" s="994" t="s">
        <v>45</v>
      </c>
      <c r="K77" s="994">
        <v>50</v>
      </c>
      <c r="L77" s="803" t="str">
        <f>VLOOKUP(M77,Raca_Linhagem[],2,0)</f>
        <v>ROSS</v>
      </c>
      <c r="M77" s="816" t="s">
        <v>31</v>
      </c>
      <c r="N77" s="972">
        <f t="shared" si="7"/>
        <v>46921</v>
      </c>
      <c r="O77" s="973"/>
      <c r="P77" s="973" t="str">
        <f>IFERROR(VLOOKUP(Q77,Producao[[Granja Produção]:[Emp+CC]],4,0),"")</f>
        <v>18_476</v>
      </c>
      <c r="Q77" s="982" t="s">
        <v>300</v>
      </c>
      <c r="R77" s="983" t="str">
        <f>IFERROR(VLOOKUP(Q77,Producao[[Granja Produção]:[Núcleo]],2,0),"")</f>
        <v>(N1)</v>
      </c>
      <c r="S77" s="977">
        <v>62000</v>
      </c>
      <c r="T77" s="933">
        <f t="shared" si="21"/>
        <v>47235</v>
      </c>
      <c r="U77" s="934">
        <v>66</v>
      </c>
      <c r="V77" s="953"/>
      <c r="W77" s="936">
        <f t="shared" si="8"/>
        <v>47235</v>
      </c>
      <c r="X77" s="802" t="e">
        <f>VLOOKUP(Q77,Q96:Q137,1,0)</f>
        <v>#N/A</v>
      </c>
      <c r="Y77" s="476"/>
      <c r="Z77" s="476"/>
      <c r="AA77" s="476"/>
    </row>
    <row r="78" spans="1:27" ht="15" customHeight="1">
      <c r="A78" s="476"/>
      <c r="B78" s="476"/>
      <c r="C78" s="1001"/>
      <c r="D78" s="1002"/>
      <c r="E78" s="476"/>
      <c r="F78" s="1002"/>
      <c r="G78" s="1003"/>
      <c r="H78" s="1002"/>
      <c r="I78" s="1002"/>
      <c r="J78" s="1002"/>
      <c r="K78" s="1002"/>
      <c r="L78" s="1002"/>
      <c r="M78" s="1002"/>
      <c r="N78" s="1002"/>
      <c r="O78" s="476"/>
      <c r="P78" s="1002"/>
      <c r="Q78" s="476"/>
      <c r="R78" s="1002"/>
      <c r="S78" s="1002"/>
      <c r="T78" s="476"/>
      <c r="U78" s="476"/>
      <c r="V78" s="1002"/>
      <c r="W78" s="476"/>
      <c r="X78" s="476"/>
      <c r="Y78" s="476"/>
      <c r="Z78" s="476"/>
      <c r="AA78" s="476"/>
    </row>
    <row r="79" spans="1:27" ht="15" customHeight="1">
      <c r="A79" s="476"/>
      <c r="B79" s="476"/>
      <c r="C79" s="1001"/>
      <c r="D79" s="1002"/>
      <c r="E79" s="476"/>
      <c r="F79" s="1002"/>
      <c r="G79" s="1003"/>
      <c r="H79" s="1002"/>
      <c r="I79" s="1002"/>
      <c r="J79" s="1002"/>
      <c r="K79" s="1002"/>
      <c r="L79" s="1002"/>
      <c r="M79" s="1002"/>
      <c r="N79" s="1002"/>
      <c r="O79" s="476"/>
      <c r="P79" s="1002"/>
      <c r="Q79" s="476"/>
      <c r="R79" s="1002"/>
      <c r="S79" s="1002"/>
      <c r="T79" s="476"/>
      <c r="U79" s="476"/>
      <c r="V79" s="1002"/>
      <c r="W79" s="476"/>
      <c r="X79" s="476"/>
      <c r="Y79" s="476"/>
      <c r="Z79" s="476"/>
      <c r="AA79" s="476"/>
    </row>
    <row r="80" spans="1:27" ht="15" customHeight="1">
      <c r="A80" s="476"/>
      <c r="B80" s="476"/>
      <c r="C80" s="454"/>
      <c r="D80" s="454"/>
      <c r="E80" s="454"/>
      <c r="F80" s="454"/>
      <c r="G80" s="1003"/>
      <c r="H80" s="1002"/>
      <c r="I80" s="1002"/>
      <c r="J80" s="1002"/>
      <c r="K80" s="1002"/>
      <c r="L80" s="1002"/>
      <c r="M80" s="1002"/>
      <c r="N80" s="1002"/>
      <c r="O80" s="476"/>
      <c r="P80" s="1002"/>
      <c r="Q80" s="476"/>
      <c r="R80" s="1002"/>
      <c r="S80" s="1002"/>
      <c r="T80" s="476"/>
      <c r="U80" s="476"/>
      <c r="V80" s="1002"/>
      <c r="W80" s="476"/>
      <c r="X80" s="476"/>
      <c r="Y80" s="476"/>
      <c r="Z80" s="476"/>
      <c r="AA80" s="476"/>
    </row>
    <row r="81" spans="1:29" ht="17.399999999999999">
      <c r="A81" s="476"/>
      <c r="B81" s="476"/>
      <c r="C81" s="454"/>
      <c r="D81" s="454"/>
      <c r="E81" s="454"/>
      <c r="F81" s="454"/>
      <c r="R81" s="1005"/>
      <c r="S81" s="1005"/>
      <c r="T81" s="476"/>
      <c r="U81" s="454"/>
      <c r="V81" s="454"/>
      <c r="W81" s="454"/>
      <c r="X81" s="454"/>
      <c r="Y81" s="454"/>
      <c r="Z81" s="454"/>
      <c r="AA81" s="454"/>
      <c r="AB81" s="454"/>
      <c r="AC81" s="454"/>
    </row>
    <row r="82" spans="1:29" ht="17.399999999999999">
      <c r="A82" s="454"/>
      <c r="B82" s="454"/>
      <c r="C82" s="454"/>
      <c r="D82" s="454"/>
      <c r="E82" s="454"/>
      <c r="F82" s="454"/>
      <c r="Q82" s="477" t="s">
        <v>339</v>
      </c>
      <c r="R82" s="1006"/>
      <c r="S82" s="1006">
        <f>S72+S71+S49+S48</f>
        <v>92000</v>
      </c>
      <c r="T82" s="476"/>
      <c r="U82" s="454"/>
      <c r="V82" s="454"/>
      <c r="W82" s="454"/>
      <c r="X82" s="454"/>
      <c r="Y82" s="454"/>
      <c r="Z82" s="454"/>
      <c r="AA82" s="454"/>
      <c r="AB82" s="454"/>
      <c r="AC82" s="454"/>
    </row>
    <row r="83" spans="1:29" ht="17.399999999999999">
      <c r="A83" s="454"/>
      <c r="B83" s="454"/>
      <c r="C83" s="454"/>
      <c r="D83" s="454"/>
      <c r="E83" s="454"/>
      <c r="F83" s="454"/>
      <c r="Q83" s="477" t="s">
        <v>340</v>
      </c>
      <c r="R83" s="1006"/>
      <c r="S83" s="1006">
        <f>S76+S66+S62+S58+S53</f>
        <v>138000</v>
      </c>
      <c r="T83" s="476"/>
      <c r="U83" s="454"/>
      <c r="V83" s="454"/>
      <c r="W83" s="454"/>
      <c r="X83" s="454"/>
      <c r="Y83" s="454"/>
      <c r="Z83" s="454"/>
      <c r="AA83" s="454"/>
      <c r="AB83" s="454"/>
      <c r="AC83" s="454"/>
    </row>
    <row r="84" spans="1:29" ht="17.399999999999999">
      <c r="A84" s="454"/>
      <c r="B84" s="454"/>
      <c r="C84" s="454"/>
      <c r="D84" s="454"/>
      <c r="E84" s="454"/>
      <c r="F84" s="454"/>
      <c r="R84" s="1006"/>
      <c r="S84" s="1005"/>
      <c r="T84" s="476"/>
      <c r="U84" s="454"/>
      <c r="V84" s="1002"/>
      <c r="W84" s="476"/>
      <c r="X84" s="476"/>
      <c r="Y84" s="476"/>
      <c r="Z84" s="476"/>
      <c r="AA84" s="476"/>
    </row>
    <row r="85" spans="1:29" ht="17.399999999999999">
      <c r="A85" s="454"/>
      <c r="B85" s="454"/>
      <c r="C85" s="454"/>
      <c r="D85" s="454"/>
      <c r="E85" s="454"/>
      <c r="F85" s="454"/>
      <c r="R85" s="1006"/>
      <c r="S85" s="1005"/>
      <c r="T85" s="476"/>
      <c r="U85" s="454"/>
      <c r="V85" s="1002"/>
      <c r="W85" s="476"/>
      <c r="X85" s="476"/>
      <c r="Y85" s="476"/>
      <c r="Z85" s="476"/>
      <c r="AA85" s="476"/>
    </row>
    <row r="86" spans="1:29" ht="17.399999999999999">
      <c r="A86" s="454"/>
      <c r="B86" s="454"/>
      <c r="C86" s="454"/>
      <c r="D86" s="454"/>
      <c r="E86" s="454"/>
      <c r="F86" s="454"/>
      <c r="R86" s="1006"/>
      <c r="S86" s="1005"/>
      <c r="T86" s="476"/>
      <c r="U86" s="454"/>
      <c r="V86" s="1002"/>
      <c r="W86" s="476"/>
      <c r="X86" s="476"/>
      <c r="Y86" s="476"/>
      <c r="Z86" s="476"/>
      <c r="AA86" s="476"/>
    </row>
    <row r="87" spans="1:29" ht="17.399999999999999">
      <c r="A87" s="454"/>
      <c r="B87" s="454"/>
      <c r="C87" s="454"/>
      <c r="D87" s="454"/>
      <c r="E87" s="454"/>
      <c r="F87" s="454"/>
      <c r="R87" s="1006"/>
      <c r="S87" s="1005"/>
      <c r="T87" s="476"/>
      <c r="U87" s="454"/>
      <c r="V87" s="1002"/>
      <c r="W87" s="476"/>
      <c r="X87" s="476"/>
      <c r="Y87" s="476"/>
      <c r="Z87" s="476"/>
      <c r="AA87" s="476"/>
    </row>
    <row r="88" spans="1:29" ht="17.399999999999999">
      <c r="A88" s="454"/>
      <c r="B88" s="454"/>
      <c r="C88" s="454"/>
      <c r="D88" s="454"/>
      <c r="E88" s="454"/>
      <c r="F88" s="454"/>
      <c r="R88" s="1006"/>
      <c r="S88" s="1005"/>
      <c r="T88" s="476"/>
      <c r="U88" s="454"/>
      <c r="V88" s="1002"/>
      <c r="W88" s="476"/>
      <c r="X88" s="476"/>
      <c r="Y88" s="476"/>
      <c r="Z88" s="476"/>
      <c r="AA88" s="476"/>
    </row>
    <row r="89" spans="1:29" ht="17.399999999999999">
      <c r="A89" s="250" t="s">
        <v>341</v>
      </c>
      <c r="B89" s="250" t="s">
        <v>342</v>
      </c>
      <c r="C89" s="112"/>
      <c r="D89" s="112"/>
      <c r="E89" s="112"/>
      <c r="F89" s="112"/>
      <c r="G89" s="454"/>
      <c r="R89" s="1006"/>
      <c r="S89" s="454"/>
      <c r="T89" s="454"/>
      <c r="U89" s="454"/>
      <c r="V89" s="1002"/>
      <c r="W89" s="476"/>
      <c r="X89" s="476"/>
      <c r="Y89" s="476"/>
      <c r="Z89" s="476"/>
      <c r="AA89" s="476"/>
    </row>
    <row r="90" spans="1:29" ht="17.399999999999999">
      <c r="A90" s="250" t="s">
        <v>343</v>
      </c>
      <c r="B90" s="112" t="s">
        <v>344</v>
      </c>
      <c r="C90" s="112" t="s">
        <v>266</v>
      </c>
      <c r="D90" s="112" t="s">
        <v>267</v>
      </c>
      <c r="E90" s="112" t="s">
        <v>268</v>
      </c>
      <c r="F90" s="112" t="s">
        <v>269</v>
      </c>
      <c r="G90" s="454"/>
      <c r="R90" s="1006"/>
      <c r="S90" s="454"/>
      <c r="T90" s="454"/>
      <c r="U90" s="454"/>
      <c r="V90" s="1002"/>
      <c r="W90" s="476"/>
      <c r="X90" s="476"/>
      <c r="Y90" s="476"/>
      <c r="Z90" s="476"/>
      <c r="AA90" s="476"/>
    </row>
    <row r="91" spans="1:29" ht="17.399999999999999">
      <c r="A91" s="112" t="s">
        <v>270</v>
      </c>
      <c r="B91" s="256"/>
      <c r="C91" s="256">
        <v>65000</v>
      </c>
      <c r="D91" s="256">
        <v>66000</v>
      </c>
      <c r="E91" s="256">
        <v>66000</v>
      </c>
      <c r="F91" s="256">
        <v>66000</v>
      </c>
      <c r="G91" s="454"/>
      <c r="R91" s="1006"/>
      <c r="S91" s="454"/>
      <c r="T91" s="454"/>
      <c r="U91" s="454"/>
      <c r="V91" s="1002"/>
      <c r="W91" s="476"/>
      <c r="X91" s="476"/>
      <c r="Y91" s="476"/>
      <c r="Z91" s="476"/>
      <c r="AA91" s="476"/>
    </row>
    <row r="92" spans="1:29" ht="17.399999999999999">
      <c r="A92" s="112" t="s">
        <v>271</v>
      </c>
      <c r="B92" s="256"/>
      <c r="C92" s="256"/>
      <c r="D92" s="256">
        <v>60000</v>
      </c>
      <c r="E92" s="256"/>
      <c r="F92" s="256"/>
      <c r="G92" s="454"/>
      <c r="R92" s="1006"/>
      <c r="S92" s="454"/>
      <c r="T92" s="454"/>
      <c r="U92" s="454"/>
      <c r="V92" s="1002"/>
      <c r="W92" s="476"/>
      <c r="X92" s="476"/>
      <c r="Y92" s="476"/>
      <c r="Z92" s="476"/>
      <c r="AA92" s="476"/>
    </row>
    <row r="93" spans="1:29" ht="17.399999999999999">
      <c r="A93" s="112" t="s">
        <v>272</v>
      </c>
      <c r="B93" s="256"/>
      <c r="C93" s="256">
        <v>135000</v>
      </c>
      <c r="D93" s="256"/>
      <c r="E93" s="256">
        <v>61000</v>
      </c>
      <c r="F93" s="256"/>
      <c r="G93" s="454"/>
      <c r="R93" s="1006"/>
      <c r="S93" s="454"/>
      <c r="T93" s="454"/>
      <c r="U93" s="454"/>
      <c r="V93" s="1002"/>
      <c r="W93" s="476"/>
      <c r="X93" s="476"/>
      <c r="Y93" s="476"/>
      <c r="Z93" s="476"/>
      <c r="AA93" s="476"/>
    </row>
    <row r="94" spans="1:29" ht="17.399999999999999">
      <c r="A94" s="112" t="s">
        <v>273</v>
      </c>
      <c r="B94" s="256"/>
      <c r="C94" s="256"/>
      <c r="D94" s="256">
        <v>76000</v>
      </c>
      <c r="E94" s="256">
        <v>75000</v>
      </c>
      <c r="F94" s="256"/>
      <c r="G94" s="454"/>
      <c r="R94" s="1006"/>
      <c r="S94" s="454"/>
      <c r="T94" s="454"/>
      <c r="U94" s="454"/>
      <c r="V94" s="1002"/>
      <c r="W94" s="476"/>
      <c r="X94" s="476"/>
      <c r="Y94" s="476"/>
      <c r="Z94" s="476"/>
      <c r="AA94" s="476"/>
    </row>
    <row r="95" spans="1:29" ht="17.399999999999999">
      <c r="A95" s="112" t="s">
        <v>274</v>
      </c>
      <c r="B95" s="256"/>
      <c r="C95" s="256">
        <v>60000</v>
      </c>
      <c r="D95" s="256">
        <v>90000</v>
      </c>
      <c r="E95" s="256">
        <v>30000</v>
      </c>
      <c r="F95" s="256"/>
      <c r="G95" s="454"/>
      <c r="R95" s="1006"/>
      <c r="S95" s="454"/>
      <c r="T95" s="454"/>
      <c r="U95" s="454"/>
      <c r="V95" s="1002"/>
      <c r="W95" s="476"/>
      <c r="X95" s="476"/>
      <c r="Y95" s="476"/>
      <c r="Z95" s="476"/>
      <c r="AA95" s="476"/>
    </row>
    <row r="96" spans="1:29" ht="17.399999999999999">
      <c r="A96" s="112" t="s">
        <v>275</v>
      </c>
      <c r="B96" s="256"/>
      <c r="C96" s="256">
        <v>30000</v>
      </c>
      <c r="D96" s="256"/>
      <c r="E96" s="256">
        <v>60000</v>
      </c>
      <c r="F96" s="256"/>
      <c r="G96" s="454"/>
      <c r="R96" s="1006"/>
      <c r="S96" s="454"/>
      <c r="T96" s="454"/>
      <c r="U96" s="454"/>
      <c r="V96" s="1002"/>
      <c r="W96" s="476"/>
      <c r="X96" s="476"/>
      <c r="Y96" s="476"/>
      <c r="Z96" s="476"/>
      <c r="AA96" s="476"/>
    </row>
    <row r="97" spans="1:33" ht="17.399999999999999">
      <c r="A97" s="112" t="s">
        <v>276</v>
      </c>
      <c r="B97" s="256"/>
      <c r="C97" s="256">
        <v>65000</v>
      </c>
      <c r="D97" s="256">
        <v>65000</v>
      </c>
      <c r="E97" s="256">
        <v>66000</v>
      </c>
      <c r="F97" s="256"/>
      <c r="G97" s="454"/>
      <c r="R97" s="1006"/>
      <c r="S97" s="454"/>
      <c r="T97" s="454"/>
      <c r="U97" s="454"/>
      <c r="V97" s="1002"/>
      <c r="W97" s="476"/>
      <c r="X97" s="476"/>
      <c r="Y97" s="476"/>
      <c r="Z97" s="476"/>
      <c r="AA97" s="476"/>
    </row>
    <row r="98" spans="1:33" ht="17.399999999999999">
      <c r="A98" s="112" t="s">
        <v>277</v>
      </c>
      <c r="B98" s="256"/>
      <c r="C98" s="256"/>
      <c r="D98" s="256"/>
      <c r="E98" s="256"/>
      <c r="F98" s="256"/>
      <c r="G98" s="454"/>
      <c r="R98" s="1006"/>
      <c r="S98" s="454"/>
      <c r="T98" s="454"/>
      <c r="U98" s="454"/>
      <c r="V98" s="1002"/>
      <c r="W98" s="476"/>
      <c r="X98" s="476"/>
      <c r="Y98" s="476"/>
      <c r="Z98" s="476"/>
      <c r="AA98" s="476"/>
    </row>
    <row r="99" spans="1:33" ht="17.399999999999999">
      <c r="A99" s="112" t="s">
        <v>278</v>
      </c>
      <c r="B99" s="256"/>
      <c r="C99" s="256">
        <v>135000</v>
      </c>
      <c r="D99" s="256">
        <v>136000</v>
      </c>
      <c r="E99" s="256">
        <v>61000</v>
      </c>
      <c r="F99" s="256"/>
      <c r="G99" s="454"/>
      <c r="R99" s="1006"/>
      <c r="S99" s="454"/>
      <c r="T99" s="454"/>
      <c r="U99" s="454"/>
      <c r="V99" s="1002"/>
      <c r="W99" s="476"/>
      <c r="X99" s="476"/>
      <c r="Y99" s="476"/>
      <c r="Z99" s="476"/>
      <c r="AA99" s="476"/>
    </row>
    <row r="100" spans="1:33" ht="17.399999999999999">
      <c r="A100" s="112" t="s">
        <v>279</v>
      </c>
      <c r="B100" s="256">
        <v>60000</v>
      </c>
      <c r="C100" s="256"/>
      <c r="D100" s="256"/>
      <c r="E100" s="256">
        <v>75000</v>
      </c>
      <c r="F100" s="256"/>
      <c r="G100" s="454"/>
      <c r="R100" s="1006"/>
      <c r="S100" s="454"/>
      <c r="T100" s="454"/>
      <c r="U100" s="454"/>
      <c r="V100" s="1002"/>
      <c r="W100" s="476"/>
      <c r="X100" s="476"/>
      <c r="Y100" s="476"/>
      <c r="Z100" s="476"/>
      <c r="AA100" s="476"/>
    </row>
    <row r="101" spans="1:33" ht="17.399999999999999">
      <c r="A101" s="112" t="s">
        <v>280</v>
      </c>
      <c r="B101" s="256">
        <v>30000</v>
      </c>
      <c r="C101" s="256">
        <v>90000</v>
      </c>
      <c r="D101" s="256">
        <v>90000</v>
      </c>
      <c r="E101" s="256">
        <v>90000</v>
      </c>
      <c r="F101" s="256"/>
      <c r="G101" s="454"/>
      <c r="R101" s="1006"/>
      <c r="S101" s="454"/>
      <c r="T101" s="454"/>
      <c r="U101" s="454"/>
      <c r="V101" s="1002"/>
      <c r="W101" s="476"/>
      <c r="X101" s="476"/>
      <c r="Y101" s="476"/>
      <c r="Z101" s="476"/>
      <c r="AA101" s="476"/>
    </row>
    <row r="102" spans="1:33" ht="17.399999999999999">
      <c r="A102" s="112" t="s">
        <v>281</v>
      </c>
      <c r="B102" s="256"/>
      <c r="C102" s="256"/>
      <c r="D102" s="256"/>
      <c r="E102" s="256"/>
      <c r="F102" s="256"/>
      <c r="G102" s="454"/>
      <c r="R102" s="1006"/>
      <c r="S102" s="454"/>
      <c r="T102" s="454"/>
      <c r="U102" s="454"/>
      <c r="V102" s="1002"/>
      <c r="W102" s="476"/>
      <c r="X102" s="476"/>
      <c r="Y102" s="476"/>
      <c r="Z102" s="476"/>
      <c r="AA102" s="476"/>
    </row>
    <row r="103" spans="1:33" ht="17.399999999999999">
      <c r="A103" s="112" t="s">
        <v>282</v>
      </c>
      <c r="B103" s="256">
        <v>90000</v>
      </c>
      <c r="C103" s="256">
        <v>580000</v>
      </c>
      <c r="D103" s="256">
        <v>583000</v>
      </c>
      <c r="E103" s="256">
        <v>584000</v>
      </c>
      <c r="F103" s="256">
        <v>66000</v>
      </c>
      <c r="G103" s="454"/>
      <c r="R103" s="1006"/>
      <c r="S103" s="454"/>
      <c r="T103" s="454"/>
      <c r="U103" s="454"/>
      <c r="V103" s="1002"/>
      <c r="W103" s="476"/>
      <c r="X103" s="476"/>
      <c r="Y103" s="476"/>
      <c r="Z103" s="476"/>
      <c r="AA103" s="476"/>
    </row>
    <row r="104" spans="1:33" ht="17.399999999999999">
      <c r="A104" s="454"/>
      <c r="B104" s="454"/>
      <c r="C104" s="454"/>
      <c r="D104" s="454"/>
      <c r="E104" s="454"/>
      <c r="F104" s="454"/>
      <c r="R104" s="1006"/>
      <c r="S104" s="454"/>
      <c r="T104" s="454"/>
      <c r="U104" s="454"/>
      <c r="V104" s="1002"/>
      <c r="W104" s="476"/>
      <c r="X104" s="476"/>
      <c r="Y104" s="476"/>
      <c r="Z104" s="476"/>
      <c r="AA104" s="476"/>
    </row>
    <row r="105" spans="1:33" ht="17.399999999999999">
      <c r="A105" s="454"/>
      <c r="B105" s="454"/>
      <c r="C105" s="454"/>
      <c r="D105" s="454"/>
      <c r="E105" s="454"/>
      <c r="F105" s="454"/>
      <c r="R105" s="1006"/>
      <c r="S105" s="454"/>
      <c r="T105" s="454"/>
      <c r="U105" s="454"/>
      <c r="V105" s="1002"/>
      <c r="W105" s="476"/>
      <c r="X105" s="476"/>
      <c r="Y105" s="476"/>
      <c r="Z105" s="476"/>
      <c r="AA105" s="476"/>
    </row>
    <row r="106" spans="1:33" ht="17.399999999999999">
      <c r="A106" s="250" t="s">
        <v>345</v>
      </c>
      <c r="B106" s="250" t="s">
        <v>342</v>
      </c>
      <c r="C106" s="112"/>
      <c r="D106" s="112"/>
      <c r="E106" s="112"/>
      <c r="F106" s="112"/>
      <c r="G106" s="454"/>
      <c r="R106" s="1006"/>
      <c r="S106" s="477"/>
      <c r="Y106" s="454"/>
      <c r="Z106" s="476"/>
      <c r="AA106" s="476"/>
    </row>
    <row r="107" spans="1:33" ht="17.399999999999999">
      <c r="A107" s="250" t="s">
        <v>11</v>
      </c>
      <c r="B107" s="112" t="s">
        <v>344</v>
      </c>
      <c r="C107" s="112" t="s">
        <v>266</v>
      </c>
      <c r="D107" s="112" t="s">
        <v>267</v>
      </c>
      <c r="E107" s="112" t="s">
        <v>268</v>
      </c>
      <c r="F107" s="112" t="s">
        <v>269</v>
      </c>
      <c r="G107" s="454"/>
      <c r="R107" s="1006"/>
      <c r="S107" s="477"/>
      <c r="Y107" s="454"/>
      <c r="Z107" s="454"/>
      <c r="AA107" s="454"/>
      <c r="AB107" s="454"/>
      <c r="AC107" s="454"/>
      <c r="AD107" s="454"/>
      <c r="AE107" s="454"/>
      <c r="AF107" s="454"/>
      <c r="AG107" s="454"/>
    </row>
    <row r="108" spans="1:33" ht="17.399999999999999">
      <c r="A108" s="251" t="s">
        <v>283</v>
      </c>
      <c r="B108" s="256">
        <v>90000</v>
      </c>
      <c r="C108" s="256">
        <v>390000</v>
      </c>
      <c r="D108" s="256">
        <v>276000</v>
      </c>
      <c r="E108" s="256">
        <v>90000</v>
      </c>
      <c r="F108" s="256"/>
      <c r="G108" s="454"/>
      <c r="R108" s="1006"/>
      <c r="S108" s="477"/>
      <c r="Y108" s="454"/>
      <c r="Z108" s="454"/>
      <c r="AA108" s="454"/>
      <c r="AB108" s="454"/>
      <c r="AC108" s="454"/>
      <c r="AD108" s="454"/>
      <c r="AE108" s="454"/>
      <c r="AF108" s="454"/>
      <c r="AG108" s="454"/>
    </row>
    <row r="109" spans="1:33" ht="17.399999999999999">
      <c r="A109" s="251" t="s">
        <v>285</v>
      </c>
      <c r="B109" s="256"/>
      <c r="C109" s="256">
        <v>190000</v>
      </c>
      <c r="D109" s="256">
        <v>307000</v>
      </c>
      <c r="E109" s="256">
        <v>494000</v>
      </c>
      <c r="F109" s="256">
        <v>66000</v>
      </c>
      <c r="G109" s="454"/>
      <c r="R109" s="1006"/>
      <c r="S109" s="477"/>
      <c r="Y109" s="454"/>
      <c r="Z109" s="454"/>
      <c r="AA109" s="454"/>
      <c r="AB109" s="454"/>
      <c r="AC109" s="454"/>
      <c r="AD109" s="454"/>
      <c r="AE109" s="454"/>
      <c r="AF109" s="454"/>
      <c r="AG109" s="454"/>
    </row>
    <row r="110" spans="1:33" ht="17.399999999999999">
      <c r="A110" s="251" t="s">
        <v>282</v>
      </c>
      <c r="B110" s="256">
        <v>90000</v>
      </c>
      <c r="C110" s="256">
        <v>580000</v>
      </c>
      <c r="D110" s="256">
        <v>583000</v>
      </c>
      <c r="E110" s="256">
        <v>584000</v>
      </c>
      <c r="F110" s="256">
        <v>66000</v>
      </c>
      <c r="G110" s="454"/>
      <c r="P110" s="454"/>
      <c r="R110" s="1006"/>
      <c r="S110" s="477"/>
      <c r="Y110" s="454"/>
      <c r="Z110" s="454"/>
      <c r="AA110" s="454"/>
      <c r="AB110" s="454"/>
      <c r="AC110" s="454"/>
      <c r="AD110" s="454"/>
      <c r="AE110" s="454"/>
      <c r="AF110" s="454"/>
      <c r="AG110" s="454"/>
    </row>
    <row r="111" spans="1:33" ht="17.399999999999999">
      <c r="I111" s="454"/>
      <c r="J111" s="454"/>
      <c r="K111" s="454"/>
      <c r="L111" s="454"/>
      <c r="M111" s="454"/>
      <c r="N111" s="454"/>
      <c r="P111" s="454"/>
      <c r="R111" s="1006"/>
      <c r="S111" s="477"/>
      <c r="Y111" s="454"/>
      <c r="Z111" s="454"/>
      <c r="AA111" s="454"/>
      <c r="AB111" s="454"/>
      <c r="AC111" s="454"/>
      <c r="AD111" s="454"/>
      <c r="AE111" s="454"/>
      <c r="AF111" s="454"/>
      <c r="AG111" s="454"/>
    </row>
    <row r="112" spans="1:33" ht="17.399999999999999">
      <c r="I112" s="454"/>
      <c r="J112" s="454"/>
      <c r="K112" s="454"/>
      <c r="L112" s="454"/>
      <c r="M112" s="454"/>
      <c r="N112" s="454"/>
      <c r="O112" s="817"/>
      <c r="P112" s="454"/>
      <c r="R112" s="1006"/>
      <c r="S112" s="477"/>
      <c r="Y112" s="454"/>
      <c r="Z112" s="454"/>
      <c r="AA112" s="454"/>
      <c r="AB112" s="454"/>
      <c r="AC112" s="454"/>
      <c r="AD112" s="454"/>
      <c r="AE112" s="454"/>
      <c r="AF112" s="454"/>
      <c r="AG112" s="454"/>
    </row>
    <row r="113" spans="1:33" ht="17.399999999999999">
      <c r="A113" s="250" t="s">
        <v>345</v>
      </c>
      <c r="B113" s="250" t="s">
        <v>342</v>
      </c>
      <c r="C113" s="112"/>
      <c r="D113" s="112"/>
      <c r="E113" s="112"/>
      <c r="F113" s="112"/>
      <c r="G113" s="454"/>
      <c r="I113" s="454"/>
      <c r="J113" s="454"/>
      <c r="K113" s="454"/>
      <c r="L113" s="454"/>
      <c r="M113" s="454"/>
      <c r="N113" s="454"/>
      <c r="O113" s="817"/>
      <c r="P113" s="454"/>
      <c r="R113" s="1006"/>
      <c r="S113" s="477"/>
      <c r="Y113" s="454"/>
      <c r="Z113" s="454"/>
      <c r="AA113" s="454"/>
      <c r="AB113" s="454"/>
      <c r="AC113" s="454"/>
      <c r="AD113" s="454"/>
      <c r="AE113" s="454"/>
      <c r="AF113" s="454"/>
      <c r="AG113" s="454"/>
    </row>
    <row r="114" spans="1:33" ht="17.399999999999999">
      <c r="A114" s="250" t="s">
        <v>11</v>
      </c>
      <c r="B114" s="112" t="s">
        <v>344</v>
      </c>
      <c r="C114" s="112" t="s">
        <v>266</v>
      </c>
      <c r="D114" s="112" t="s">
        <v>267</v>
      </c>
      <c r="E114" s="112" t="s">
        <v>268</v>
      </c>
      <c r="F114" s="112" t="s">
        <v>269</v>
      </c>
      <c r="G114" s="454"/>
      <c r="I114" s="454"/>
      <c r="J114" s="454"/>
      <c r="K114" s="454"/>
      <c r="L114" s="454"/>
      <c r="M114" s="454"/>
      <c r="N114" s="454"/>
      <c r="O114" s="478"/>
      <c r="P114" s="478"/>
      <c r="R114" s="1006"/>
      <c r="S114" s="477"/>
      <c r="Y114" s="454"/>
      <c r="Z114" s="454"/>
      <c r="AA114" s="454"/>
      <c r="AB114" s="454"/>
      <c r="AC114" s="454"/>
      <c r="AD114" s="454"/>
      <c r="AE114" s="454"/>
      <c r="AF114" s="454"/>
      <c r="AG114" s="454"/>
    </row>
    <row r="115" spans="1:33" ht="17.399999999999999">
      <c r="A115" s="251" t="s">
        <v>283</v>
      </c>
      <c r="B115" s="883">
        <v>1</v>
      </c>
      <c r="C115" s="883">
        <v>0.67241379310344829</v>
      </c>
      <c r="D115" s="883">
        <v>0.47341337907375641</v>
      </c>
      <c r="E115" s="883">
        <v>0.1541095890410959</v>
      </c>
      <c r="F115" s="883">
        <v>0</v>
      </c>
      <c r="G115" s="454"/>
      <c r="H115" s="454"/>
      <c r="R115" s="1006"/>
      <c r="S115" s="477"/>
      <c r="Y115" s="454"/>
      <c r="Z115" s="454"/>
      <c r="AA115" s="454"/>
      <c r="AB115" s="454"/>
      <c r="AC115" s="454"/>
      <c r="AD115" s="454"/>
      <c r="AE115" s="454"/>
      <c r="AF115" s="454"/>
      <c r="AG115" s="454"/>
    </row>
    <row r="116" spans="1:33" ht="17.399999999999999">
      <c r="A116" s="251" t="s">
        <v>285</v>
      </c>
      <c r="B116" s="883">
        <v>0</v>
      </c>
      <c r="C116" s="883">
        <v>0.32758620689655171</v>
      </c>
      <c r="D116" s="883">
        <v>0.52658662092624353</v>
      </c>
      <c r="E116" s="883">
        <v>0.84589041095890416</v>
      </c>
      <c r="F116" s="883">
        <v>1</v>
      </c>
      <c r="G116" s="454"/>
      <c r="H116" s="454"/>
      <c r="R116" s="1006"/>
      <c r="S116" s="477"/>
      <c r="Y116" s="454"/>
      <c r="Z116" s="454"/>
      <c r="AA116" s="454"/>
      <c r="AB116" s="454"/>
      <c r="AC116" s="454"/>
      <c r="AD116" s="454"/>
      <c r="AE116" s="454"/>
      <c r="AF116" s="454"/>
      <c r="AG116" s="454"/>
    </row>
    <row r="117" spans="1:33" ht="17.399999999999999">
      <c r="A117" s="251" t="s">
        <v>282</v>
      </c>
      <c r="B117" s="883">
        <v>1</v>
      </c>
      <c r="C117" s="883">
        <v>1</v>
      </c>
      <c r="D117" s="883">
        <v>1</v>
      </c>
      <c r="E117" s="883">
        <v>1</v>
      </c>
      <c r="F117" s="883">
        <v>1</v>
      </c>
      <c r="G117" s="454"/>
      <c r="H117" s="454"/>
      <c r="R117" s="1006"/>
      <c r="S117" s="477"/>
      <c r="Y117" s="454"/>
      <c r="Z117" s="454"/>
      <c r="AA117" s="454"/>
      <c r="AB117" s="454"/>
      <c r="AC117" s="454"/>
      <c r="AD117" s="454"/>
      <c r="AE117" s="454"/>
      <c r="AF117" s="454"/>
      <c r="AG117" s="454"/>
    </row>
    <row r="118" spans="1:33" ht="17.399999999999999">
      <c r="A118" s="476"/>
      <c r="B118" s="454"/>
      <c r="C118" s="454"/>
      <c r="D118" s="454"/>
      <c r="E118" s="454"/>
      <c r="F118" s="454"/>
      <c r="G118" s="454"/>
      <c r="H118" s="454"/>
      <c r="R118" s="1006"/>
      <c r="S118" s="477"/>
      <c r="Y118" s="454"/>
      <c r="Z118" s="454"/>
      <c r="AA118" s="454"/>
      <c r="AB118" s="454"/>
      <c r="AC118" s="454"/>
      <c r="AD118" s="454"/>
      <c r="AE118" s="454"/>
      <c r="AF118" s="454"/>
      <c r="AG118" s="454"/>
    </row>
    <row r="119" spans="1:33" ht="17.399999999999999">
      <c r="A119" s="476"/>
      <c r="B119" s="454"/>
      <c r="C119" s="454"/>
      <c r="D119" s="454"/>
      <c r="E119" s="454"/>
      <c r="F119" s="454"/>
      <c r="G119" s="454"/>
      <c r="H119" s="454"/>
      <c r="R119" s="1006"/>
      <c r="S119" s="477"/>
      <c r="Y119" s="454"/>
      <c r="Z119" s="476"/>
      <c r="AA119" s="476"/>
    </row>
    <row r="120" spans="1:33" ht="17.399999999999999">
      <c r="A120" s="476"/>
      <c r="B120" s="454"/>
      <c r="C120" s="454"/>
      <c r="D120" s="454"/>
      <c r="E120" s="454"/>
      <c r="F120" s="454"/>
      <c r="G120" s="454"/>
      <c r="H120" s="454"/>
      <c r="I120" s="454"/>
      <c r="J120" s="454"/>
      <c r="K120" s="454"/>
      <c r="R120" s="1006"/>
      <c r="S120" s="477"/>
      <c r="Y120" s="454"/>
      <c r="Z120" s="476"/>
      <c r="AA120" s="476"/>
    </row>
    <row r="121" spans="1:33" ht="17.399999999999999">
      <c r="A121" s="250" t="s">
        <v>345</v>
      </c>
      <c r="B121" s="112"/>
      <c r="C121" s="250" t="s">
        <v>342</v>
      </c>
      <c r="D121" s="263"/>
      <c r="E121" s="263"/>
      <c r="F121" s="263"/>
      <c r="G121"/>
      <c r="H121" s="454"/>
      <c r="I121" s="454"/>
      <c r="J121" s="454"/>
      <c r="K121" s="454"/>
      <c r="M121" s="454"/>
      <c r="N121" s="454"/>
      <c r="O121" s="454"/>
      <c r="P121" s="454"/>
      <c r="R121" s="1006"/>
      <c r="Z121" s="476"/>
      <c r="AA121" s="476"/>
    </row>
    <row r="122" spans="1:33" ht="17.399999999999999">
      <c r="A122" s="250" t="s">
        <v>11</v>
      </c>
      <c r="B122" s="250" t="s">
        <v>12</v>
      </c>
      <c r="C122" s="263" t="s">
        <v>266</v>
      </c>
      <c r="D122" s="263" t="s">
        <v>267</v>
      </c>
      <c r="E122" s="263" t="s">
        <v>268</v>
      </c>
      <c r="F122" s="112" t="s">
        <v>269</v>
      </c>
      <c r="G122"/>
      <c r="H122" s="454"/>
      <c r="I122" s="454"/>
      <c r="J122" s="454"/>
      <c r="K122" s="454"/>
      <c r="M122" s="817"/>
      <c r="N122" s="817"/>
      <c r="O122" s="817"/>
      <c r="P122" s="817"/>
      <c r="R122" s="1006"/>
      <c r="S122" s="454"/>
      <c r="T122" s="454"/>
      <c r="U122" s="454"/>
      <c r="V122" s="454"/>
      <c r="W122" s="454"/>
      <c r="X122" s="454"/>
      <c r="Y122" s="454"/>
      <c r="Z122" s="476"/>
      <c r="AA122" s="476"/>
    </row>
    <row r="123" spans="1:33" ht="17.399999999999999">
      <c r="A123" s="112" t="s">
        <v>283</v>
      </c>
      <c r="B123" s="112" t="s">
        <v>21</v>
      </c>
      <c r="C123" s="890">
        <v>120000</v>
      </c>
      <c r="D123" s="890">
        <v>90000</v>
      </c>
      <c r="E123" s="890">
        <v>60000</v>
      </c>
      <c r="F123" s="256"/>
      <c r="G123"/>
      <c r="H123" s="454"/>
      <c r="I123" s="454"/>
      <c r="J123" s="454"/>
      <c r="K123" s="454"/>
      <c r="M123" s="817"/>
      <c r="N123" s="817"/>
      <c r="O123" s="817"/>
      <c r="P123" s="817"/>
      <c r="Q123" s="824"/>
      <c r="R123" s="831"/>
      <c r="S123" s="454"/>
      <c r="T123" s="454"/>
      <c r="U123" s="454"/>
      <c r="V123" s="454"/>
      <c r="W123" s="454"/>
      <c r="X123" s="454"/>
      <c r="Y123" s="454"/>
      <c r="Z123" s="476"/>
      <c r="AA123" s="476"/>
    </row>
    <row r="124" spans="1:33" ht="17.399999999999999">
      <c r="A124" s="112" t="s">
        <v>283</v>
      </c>
      <c r="B124" s="112" t="s">
        <v>37</v>
      </c>
      <c r="C124" s="890">
        <v>210000</v>
      </c>
      <c r="D124" s="890">
        <v>156000</v>
      </c>
      <c r="E124" s="890">
        <v>172000</v>
      </c>
      <c r="F124" s="256"/>
      <c r="G124"/>
      <c r="H124" s="454"/>
      <c r="I124" s="454"/>
      <c r="J124" s="454"/>
      <c r="K124" s="454"/>
      <c r="M124" s="817"/>
      <c r="N124" s="817"/>
      <c r="O124" s="817"/>
      <c r="P124" s="817"/>
      <c r="Q124" s="824"/>
      <c r="R124" s="831"/>
      <c r="W124" s="454"/>
      <c r="X124" s="454"/>
      <c r="Y124" s="476"/>
      <c r="Z124" s="476"/>
      <c r="AA124" s="476"/>
    </row>
    <row r="125" spans="1:33" ht="17.399999999999999">
      <c r="A125" s="112" t="s">
        <v>283</v>
      </c>
      <c r="B125" s="112" t="s">
        <v>112</v>
      </c>
      <c r="C125" s="890"/>
      <c r="D125" s="890">
        <v>30000</v>
      </c>
      <c r="E125" s="890"/>
      <c r="F125" s="256"/>
      <c r="G125"/>
      <c r="H125" s="454"/>
      <c r="I125" s="454"/>
      <c r="J125" s="454"/>
      <c r="K125" s="454"/>
      <c r="M125" s="817"/>
      <c r="N125" s="817"/>
      <c r="O125" s="817"/>
      <c r="P125" s="817"/>
      <c r="Q125" s="824"/>
      <c r="R125" s="831"/>
      <c r="W125" s="454"/>
      <c r="X125" s="454"/>
      <c r="Y125" s="476"/>
      <c r="Z125" s="476"/>
      <c r="AA125" s="476"/>
    </row>
    <row r="126" spans="1:33" ht="17.399999999999999">
      <c r="A126" s="112" t="s">
        <v>283</v>
      </c>
      <c r="B126" s="112" t="s">
        <v>319</v>
      </c>
      <c r="C126" s="890">
        <v>30000</v>
      </c>
      <c r="D126" s="890"/>
      <c r="E126" s="890"/>
      <c r="F126" s="256"/>
      <c r="G126"/>
      <c r="H126" s="454"/>
      <c r="I126" s="454"/>
      <c r="J126" s="454"/>
      <c r="K126" s="454"/>
      <c r="M126" s="817"/>
      <c r="N126" s="817"/>
      <c r="O126" s="817"/>
      <c r="P126" s="817"/>
      <c r="Q126" s="824"/>
      <c r="R126" s="831"/>
      <c r="W126" s="454"/>
      <c r="X126" s="454"/>
      <c r="Y126" s="476"/>
      <c r="Z126" s="476"/>
      <c r="AA126" s="476"/>
    </row>
    <row r="127" spans="1:33" ht="17.399999999999999">
      <c r="A127" s="112" t="s">
        <v>283</v>
      </c>
      <c r="B127" s="112" t="s">
        <v>149</v>
      </c>
      <c r="C127" s="890">
        <v>30000</v>
      </c>
      <c r="D127" s="890"/>
      <c r="E127" s="890"/>
      <c r="F127" s="256"/>
      <c r="G127"/>
      <c r="H127" s="454"/>
      <c r="I127" s="454"/>
      <c r="J127" s="454"/>
      <c r="K127" s="454"/>
      <c r="M127" s="817"/>
      <c r="N127" s="817"/>
      <c r="O127" s="817"/>
      <c r="P127" s="817"/>
      <c r="Q127" s="824"/>
      <c r="R127" s="831"/>
      <c r="W127" s="454"/>
      <c r="X127" s="454"/>
      <c r="Y127" s="476"/>
      <c r="Z127" s="476"/>
      <c r="AA127" s="476"/>
    </row>
    <row r="128" spans="1:33" ht="17.399999999999999">
      <c r="A128" s="112" t="s">
        <v>283</v>
      </c>
      <c r="B128" s="112" t="s">
        <v>232</v>
      </c>
      <c r="C128" s="890"/>
      <c r="D128" s="890"/>
      <c r="E128" s="890"/>
      <c r="F128" s="256"/>
      <c r="G128"/>
      <c r="H128" s="454"/>
      <c r="I128" s="454"/>
      <c r="J128" s="454"/>
      <c r="K128" s="454"/>
      <c r="M128" s="817"/>
      <c r="N128" s="817"/>
      <c r="O128" s="817"/>
      <c r="P128" s="817"/>
      <c r="Q128" s="824"/>
      <c r="R128" s="831"/>
      <c r="W128" s="454"/>
      <c r="X128" s="454"/>
      <c r="Y128" s="476"/>
      <c r="Z128" s="476"/>
      <c r="AA128" s="476"/>
    </row>
    <row r="129" spans="1:27" ht="17.399999999999999">
      <c r="A129" s="112" t="s">
        <v>285</v>
      </c>
      <c r="B129" s="112" t="s">
        <v>31</v>
      </c>
      <c r="C129" s="890">
        <v>130000</v>
      </c>
      <c r="D129" s="890">
        <v>187000</v>
      </c>
      <c r="E129" s="890">
        <v>172000</v>
      </c>
      <c r="F129" s="256">
        <v>66000</v>
      </c>
      <c r="G129"/>
      <c r="H129" s="454"/>
      <c r="I129" s="454"/>
      <c r="J129" s="454"/>
      <c r="K129" s="454"/>
      <c r="M129" s="817"/>
      <c r="N129" s="817"/>
      <c r="O129" s="817"/>
      <c r="P129" s="817"/>
      <c r="Q129" s="824"/>
      <c r="R129" s="831"/>
      <c r="W129" s="454"/>
      <c r="X129" s="454"/>
      <c r="Y129" s="476"/>
      <c r="Z129" s="476"/>
      <c r="AA129" s="476"/>
    </row>
    <row r="130" spans="1:27" ht="17.399999999999999">
      <c r="A130" s="112" t="s">
        <v>285</v>
      </c>
      <c r="B130" s="112" t="s">
        <v>26</v>
      </c>
      <c r="C130" s="890">
        <v>60000</v>
      </c>
      <c r="D130" s="890">
        <v>120000</v>
      </c>
      <c r="E130" s="890">
        <v>120000</v>
      </c>
      <c r="F130" s="256"/>
      <c r="G130"/>
      <c r="H130" s="454"/>
      <c r="I130" s="454"/>
      <c r="J130" s="454"/>
      <c r="K130" s="454"/>
      <c r="M130" s="817"/>
      <c r="N130" s="817"/>
      <c r="O130" s="817"/>
      <c r="P130" s="817"/>
      <c r="Q130" s="824"/>
      <c r="R130" s="831"/>
      <c r="S130" s="454"/>
      <c r="T130" s="454"/>
      <c r="U130" s="454"/>
      <c r="V130" s="454"/>
      <c r="W130" s="454"/>
      <c r="X130" s="454"/>
      <c r="Y130" s="476"/>
      <c r="Z130" s="476"/>
      <c r="AA130" s="476"/>
    </row>
    <row r="131" spans="1:27" ht="17.399999999999999">
      <c r="A131" s="112" t="s">
        <v>177</v>
      </c>
      <c r="B131" s="112" t="s">
        <v>21</v>
      </c>
      <c r="C131" s="890"/>
      <c r="D131" s="890"/>
      <c r="E131" s="890">
        <v>60000</v>
      </c>
      <c r="F131" s="256"/>
      <c r="G131"/>
      <c r="H131" s="454"/>
      <c r="I131" s="454"/>
      <c r="J131" s="454"/>
      <c r="K131" s="454"/>
      <c r="M131" s="817"/>
      <c r="N131" s="817"/>
      <c r="O131" s="817"/>
      <c r="P131" s="817"/>
      <c r="Q131" s="817"/>
      <c r="R131" s="822"/>
      <c r="S131" s="454"/>
      <c r="T131" s="454"/>
      <c r="U131" s="454"/>
      <c r="V131" s="454"/>
      <c r="W131" s="454"/>
      <c r="X131" s="454"/>
      <c r="Y131" s="476"/>
      <c r="Z131" s="476"/>
      <c r="AA131" s="476"/>
    </row>
    <row r="132" spans="1:27" ht="17.399999999999999">
      <c r="A132" s="112" t="s">
        <v>282</v>
      </c>
      <c r="B132" s="112"/>
      <c r="C132" s="890">
        <v>580000</v>
      </c>
      <c r="D132" s="890">
        <v>583000</v>
      </c>
      <c r="E132" s="890">
        <v>584000</v>
      </c>
      <c r="F132" s="256">
        <v>66000</v>
      </c>
      <c r="G132" s="454"/>
      <c r="H132" s="454"/>
      <c r="I132" s="454"/>
      <c r="J132" s="454"/>
      <c r="K132" s="454"/>
      <c r="L132" s="454"/>
      <c r="M132" s="817"/>
      <c r="N132" s="817"/>
      <c r="O132" s="817"/>
      <c r="P132" s="817"/>
      <c r="Q132" s="817"/>
      <c r="R132" s="822"/>
      <c r="S132" s="454"/>
      <c r="T132" s="454"/>
      <c r="U132" s="454"/>
      <c r="V132" s="817"/>
      <c r="W132" s="476"/>
      <c r="X132" s="476"/>
      <c r="Y132" s="476"/>
      <c r="Z132" s="476"/>
      <c r="AA132" s="476"/>
    </row>
    <row r="133" spans="1:27" ht="17.399999999999999">
      <c r="A133" s="476"/>
      <c r="B133" s="454"/>
      <c r="C133" s="454"/>
      <c r="D133" s="454"/>
      <c r="E133" s="454"/>
      <c r="F133" s="454"/>
      <c r="G133" s="454"/>
      <c r="H133" s="454"/>
      <c r="I133" s="454"/>
      <c r="J133" s="454"/>
      <c r="K133" s="454"/>
      <c r="L133" s="817"/>
      <c r="M133" s="817"/>
      <c r="N133" s="817"/>
      <c r="O133" s="817"/>
      <c r="P133" s="817"/>
      <c r="Q133" s="824"/>
      <c r="R133" s="831"/>
      <c r="S133" s="454"/>
      <c r="T133" s="454"/>
      <c r="U133" s="454"/>
      <c r="V133" s="817"/>
      <c r="W133" s="476"/>
      <c r="X133" s="476"/>
      <c r="Y133" s="476"/>
      <c r="Z133" s="476"/>
      <c r="AA133" s="476"/>
    </row>
    <row r="134" spans="1:27" ht="17.399999999999999">
      <c r="A134" s="476"/>
      <c r="B134" s="454"/>
      <c r="C134" s="454"/>
      <c r="D134" s="454"/>
      <c r="E134" s="454"/>
      <c r="F134" s="454"/>
      <c r="G134" s="454"/>
      <c r="H134" s="454"/>
      <c r="I134" s="454"/>
      <c r="J134" s="454"/>
      <c r="K134" s="454"/>
      <c r="L134" s="817"/>
      <c r="M134" s="817"/>
      <c r="N134" s="817"/>
      <c r="O134" s="478"/>
      <c r="P134" s="823"/>
      <c r="Q134" s="481"/>
      <c r="R134" s="830"/>
      <c r="S134" s="454"/>
      <c r="T134" s="454"/>
      <c r="U134" s="454"/>
      <c r="V134" s="817"/>
      <c r="W134" s="476"/>
      <c r="X134" s="476"/>
      <c r="Y134" s="476"/>
      <c r="Z134" s="476"/>
      <c r="AA134" s="476"/>
    </row>
    <row r="135" spans="1:27" ht="17.399999999999999">
      <c r="A135" s="476"/>
      <c r="B135" s="454"/>
      <c r="C135" s="454"/>
      <c r="D135" s="454"/>
      <c r="E135" s="454"/>
      <c r="F135" s="454"/>
      <c r="G135" s="454"/>
      <c r="H135" s="454"/>
      <c r="I135" s="454"/>
      <c r="J135" s="454"/>
      <c r="K135" s="454"/>
      <c r="L135" s="1002"/>
      <c r="M135" s="1002"/>
      <c r="N135" s="1002"/>
      <c r="O135" s="476"/>
      <c r="P135" s="1002"/>
      <c r="Q135" s="476"/>
      <c r="R135" s="1002"/>
      <c r="S135" s="454"/>
      <c r="T135" s="454"/>
      <c r="U135" s="454"/>
      <c r="V135" s="1002"/>
      <c r="W135" s="476"/>
      <c r="X135" s="476"/>
      <c r="Y135" s="476"/>
      <c r="Z135" s="476"/>
      <c r="AA135" s="476"/>
    </row>
    <row r="136" spans="1:27" ht="17.399999999999999">
      <c r="A136" s="476"/>
      <c r="B136" s="454"/>
      <c r="C136" s="454"/>
      <c r="D136" s="454"/>
      <c r="E136" s="454"/>
      <c r="F136" s="454"/>
      <c r="G136" s="454"/>
      <c r="H136" s="454"/>
      <c r="I136" s="454"/>
      <c r="J136" s="454"/>
      <c r="K136" s="454"/>
      <c r="L136" s="1002"/>
      <c r="M136" s="1002"/>
      <c r="N136" s="1002"/>
      <c r="O136" s="476"/>
      <c r="P136" s="1002"/>
      <c r="Q136" s="476"/>
      <c r="R136" s="1002"/>
      <c r="S136" s="454"/>
      <c r="T136" s="454"/>
      <c r="U136" s="454"/>
      <c r="V136" s="1002"/>
      <c r="W136" s="476"/>
      <c r="X136" s="476"/>
      <c r="Y136" s="476"/>
      <c r="Z136" s="476"/>
      <c r="AA136" s="476"/>
    </row>
    <row r="137" spans="1:27" ht="17.399999999999999">
      <c r="A137" s="476"/>
      <c r="B137" s="454"/>
      <c r="C137" s="454"/>
      <c r="D137" s="454"/>
      <c r="E137" s="454"/>
      <c r="F137" s="454"/>
      <c r="G137" s="454"/>
      <c r="H137" s="454"/>
      <c r="I137" s="454"/>
      <c r="J137" s="454"/>
      <c r="K137" s="454"/>
      <c r="L137" s="1002"/>
      <c r="M137" s="1002"/>
      <c r="N137" s="1002"/>
      <c r="O137" s="476"/>
      <c r="P137" s="1002"/>
      <c r="Q137" s="476"/>
      <c r="R137" s="1002"/>
      <c r="S137" s="454"/>
      <c r="T137" s="454"/>
      <c r="U137" s="454"/>
      <c r="V137" s="1002"/>
      <c r="W137" s="476"/>
      <c r="X137" s="476"/>
      <c r="Y137" s="476"/>
      <c r="Z137" s="476"/>
      <c r="AA137" s="476"/>
    </row>
    <row r="138" spans="1:27" ht="17.399999999999999">
      <c r="A138" s="476"/>
      <c r="B138" s="454"/>
      <c r="C138" s="454"/>
      <c r="D138" s="454"/>
      <c r="E138" s="454"/>
      <c r="F138" s="454"/>
      <c r="G138" s="454"/>
      <c r="H138" s="454"/>
      <c r="I138" s="454"/>
      <c r="J138" s="454"/>
      <c r="K138" s="454"/>
      <c r="L138" s="1002"/>
      <c r="M138" s="1002"/>
      <c r="N138" s="1002"/>
      <c r="O138" s="476"/>
      <c r="P138" s="1002"/>
      <c r="Q138" s="476"/>
      <c r="R138" s="1002"/>
      <c r="S138" s="454"/>
      <c r="T138" s="454"/>
      <c r="U138" s="454"/>
      <c r="V138" s="1002"/>
      <c r="W138" s="476"/>
      <c r="X138" s="476"/>
      <c r="Y138" s="476"/>
      <c r="Z138" s="476"/>
      <c r="AA138" s="476"/>
    </row>
    <row r="139" spans="1:27" ht="17.399999999999999">
      <c r="A139" s="476"/>
      <c r="B139" s="454"/>
      <c r="C139" s="454"/>
      <c r="D139" s="454"/>
      <c r="E139" s="454"/>
      <c r="F139" s="454"/>
      <c r="G139" s="454"/>
      <c r="H139" s="454"/>
      <c r="I139" s="454"/>
      <c r="J139" s="454"/>
      <c r="K139" s="454"/>
      <c r="L139" s="1002"/>
      <c r="M139" s="1002"/>
      <c r="N139" s="1002"/>
      <c r="O139" s="476"/>
      <c r="P139" s="1002"/>
      <c r="Q139" s="476"/>
      <c r="R139" s="1002"/>
      <c r="S139" s="454"/>
      <c r="T139" s="454"/>
      <c r="U139" s="454"/>
      <c r="V139" s="1002"/>
      <c r="W139" s="476"/>
      <c r="X139" s="476"/>
      <c r="Y139" s="476"/>
      <c r="Z139" s="476"/>
      <c r="AA139" s="476"/>
    </row>
    <row r="140" spans="1:27" ht="17.399999999999999">
      <c r="A140" s="476"/>
      <c r="B140" s="454"/>
      <c r="C140" s="454"/>
      <c r="D140" s="454"/>
      <c r="E140" s="454"/>
      <c r="F140" s="454"/>
      <c r="G140" s="454"/>
      <c r="H140" s="454"/>
      <c r="I140" s="454"/>
      <c r="J140" s="454"/>
      <c r="K140" s="454"/>
      <c r="L140" s="1002"/>
      <c r="M140" s="1002"/>
      <c r="N140" s="1002"/>
      <c r="O140" s="476"/>
      <c r="P140" s="1002"/>
      <c r="Q140" s="476"/>
      <c r="R140" s="1002"/>
      <c r="S140" s="454"/>
      <c r="T140" s="454"/>
      <c r="U140" s="454"/>
      <c r="V140" s="1002"/>
      <c r="W140" s="476"/>
      <c r="X140" s="476"/>
      <c r="Y140" s="476"/>
      <c r="Z140" s="476"/>
      <c r="AA140" s="476"/>
    </row>
    <row r="141" spans="1:27" ht="17.399999999999999">
      <c r="A141" s="476"/>
      <c r="B141" s="454"/>
      <c r="C141" s="454"/>
      <c r="D141" s="454"/>
      <c r="E141" s="454"/>
      <c r="F141" s="454"/>
      <c r="G141" s="454"/>
      <c r="H141" s="454"/>
      <c r="I141" s="454"/>
      <c r="J141" s="454"/>
      <c r="K141" s="454"/>
      <c r="L141" s="1002"/>
      <c r="M141" s="1002"/>
      <c r="N141" s="1002"/>
      <c r="O141" s="476"/>
      <c r="P141" s="1002"/>
      <c r="Q141" s="476"/>
      <c r="R141" s="1002"/>
      <c r="S141" s="454"/>
      <c r="T141" s="454"/>
      <c r="U141" s="454"/>
      <c r="V141" s="1002"/>
      <c r="W141" s="476"/>
      <c r="X141" s="476"/>
      <c r="Y141" s="476"/>
      <c r="Z141" s="476"/>
      <c r="AA141" s="476"/>
    </row>
    <row r="142" spans="1:27" ht="17.399999999999999">
      <c r="A142" s="476"/>
      <c r="B142" s="454"/>
      <c r="C142" s="454"/>
      <c r="D142" s="454"/>
      <c r="E142" s="454"/>
      <c r="F142" s="454"/>
      <c r="G142" s="454"/>
      <c r="H142" s="454"/>
      <c r="I142" s="454"/>
      <c r="J142" s="454"/>
      <c r="K142" s="454"/>
      <c r="L142" s="1002"/>
      <c r="M142" s="1002"/>
      <c r="N142" s="1002"/>
      <c r="O142" s="476"/>
      <c r="P142" s="1002"/>
      <c r="Q142" s="476"/>
      <c r="R142" s="1002"/>
      <c r="S142" s="454"/>
      <c r="T142" s="454"/>
      <c r="U142" s="454"/>
      <c r="V142" s="1002"/>
      <c r="W142" s="476"/>
      <c r="X142" s="476"/>
      <c r="Y142" s="476"/>
      <c r="Z142" s="476"/>
      <c r="AA142" s="476"/>
    </row>
    <row r="143" spans="1:27" ht="17.399999999999999">
      <c r="A143" s="476"/>
      <c r="B143" s="454"/>
      <c r="C143" s="454"/>
      <c r="D143" s="454"/>
      <c r="E143" s="454"/>
      <c r="F143" s="454"/>
      <c r="G143" s="454"/>
      <c r="H143" s="454"/>
      <c r="I143" s="454"/>
      <c r="J143" s="454"/>
      <c r="K143" s="454"/>
      <c r="L143" s="1002"/>
      <c r="M143" s="1002"/>
      <c r="N143" s="1002"/>
      <c r="O143" s="476"/>
      <c r="P143" s="1002"/>
      <c r="Q143" s="476"/>
      <c r="R143" s="1002"/>
      <c r="S143" s="454"/>
      <c r="T143" s="454"/>
      <c r="U143" s="454"/>
      <c r="V143" s="1002"/>
      <c r="W143" s="476"/>
      <c r="X143" s="476"/>
      <c r="Y143" s="476"/>
      <c r="Z143" s="476"/>
      <c r="AA143" s="476"/>
    </row>
    <row r="144" spans="1:27" ht="17.399999999999999">
      <c r="A144" s="476"/>
      <c r="B144" s="454"/>
      <c r="C144" s="454"/>
      <c r="D144" s="454"/>
      <c r="E144" s="454"/>
      <c r="F144" s="454"/>
      <c r="G144" s="454"/>
      <c r="H144" s="454"/>
      <c r="I144" s="454"/>
      <c r="J144" s="454"/>
      <c r="K144" s="454"/>
      <c r="L144" s="1002"/>
      <c r="M144" s="1002"/>
      <c r="N144" s="1002"/>
      <c r="O144" s="476"/>
      <c r="P144" s="1002"/>
      <c r="Q144" s="476"/>
      <c r="R144" s="1002"/>
      <c r="S144" s="454"/>
      <c r="T144" s="454"/>
      <c r="U144" s="454"/>
      <c r="V144" s="1002"/>
      <c r="W144" s="476"/>
      <c r="X144" s="476"/>
      <c r="Y144" s="476"/>
      <c r="Z144" s="476"/>
      <c r="AA144" s="476"/>
    </row>
    <row r="145" spans="1:27" ht="17.399999999999999">
      <c r="A145" s="476"/>
      <c r="B145" s="454"/>
      <c r="C145" s="454"/>
      <c r="D145" s="454"/>
      <c r="E145" s="454"/>
      <c r="F145" s="454"/>
      <c r="G145" s="454"/>
      <c r="H145" s="454"/>
      <c r="I145" s="454"/>
      <c r="J145" s="454"/>
      <c r="K145" s="454"/>
      <c r="L145" s="1002"/>
      <c r="M145" s="1002"/>
      <c r="N145" s="1002"/>
      <c r="O145" s="476"/>
      <c r="P145" s="1002"/>
      <c r="Q145" s="476"/>
      <c r="R145" s="1002"/>
      <c r="S145" s="454"/>
      <c r="T145" s="454"/>
      <c r="U145" s="454"/>
      <c r="V145" s="1002"/>
      <c r="W145" s="476"/>
      <c r="X145" s="476"/>
      <c r="Y145" s="476"/>
      <c r="Z145" s="476"/>
      <c r="AA145" s="476"/>
    </row>
    <row r="146" spans="1:27" ht="17.399999999999999">
      <c r="A146" s="476"/>
      <c r="B146" s="454"/>
      <c r="C146" s="454"/>
      <c r="D146" s="454"/>
      <c r="E146" s="454"/>
      <c r="F146" s="454"/>
      <c r="G146" s="454"/>
      <c r="H146" s="454"/>
      <c r="I146" s="454"/>
      <c r="J146" s="454"/>
      <c r="K146" s="454"/>
      <c r="L146" s="1002"/>
      <c r="M146" s="1002"/>
      <c r="N146" s="1002"/>
      <c r="O146" s="476"/>
      <c r="P146" s="1002"/>
      <c r="Q146" s="476"/>
      <c r="R146" s="1002"/>
      <c r="S146" s="454"/>
      <c r="T146" s="454"/>
      <c r="U146" s="454"/>
      <c r="V146" s="1002"/>
      <c r="W146" s="476"/>
      <c r="X146" s="476"/>
      <c r="Y146" s="476"/>
      <c r="Z146" s="476"/>
      <c r="AA146" s="476"/>
    </row>
    <row r="147" spans="1:27" ht="17.399999999999999">
      <c r="A147" s="476"/>
      <c r="B147" s="454"/>
      <c r="C147" s="454"/>
      <c r="D147" s="454"/>
      <c r="E147" s="454"/>
      <c r="F147" s="454"/>
      <c r="G147" s="454"/>
      <c r="H147" s="454"/>
      <c r="I147" s="454"/>
      <c r="J147" s="454"/>
      <c r="K147" s="454"/>
      <c r="L147" s="1002"/>
      <c r="M147" s="1002"/>
      <c r="N147" s="1002"/>
      <c r="O147" s="476"/>
      <c r="P147" s="1002"/>
      <c r="Q147" s="476"/>
      <c r="R147" s="1002"/>
      <c r="S147" s="454"/>
      <c r="T147" s="454"/>
      <c r="U147" s="454"/>
      <c r="V147" s="1002"/>
      <c r="W147" s="476"/>
      <c r="X147" s="476"/>
      <c r="Y147" s="476"/>
      <c r="Z147" s="476"/>
      <c r="AA147" s="476"/>
    </row>
    <row r="148" spans="1:27" ht="17.399999999999999">
      <c r="A148" s="476"/>
      <c r="B148" s="454"/>
      <c r="C148" s="454"/>
      <c r="D148" s="454"/>
      <c r="E148" s="454"/>
      <c r="F148" s="454"/>
      <c r="G148" s="454"/>
      <c r="H148" s="454"/>
      <c r="I148" s="454"/>
      <c r="J148" s="454"/>
      <c r="K148" s="454"/>
      <c r="L148" s="1002"/>
      <c r="M148" s="1002"/>
      <c r="N148" s="1002"/>
      <c r="O148" s="476"/>
      <c r="P148" s="1002"/>
      <c r="Q148" s="476"/>
      <c r="R148" s="1002"/>
      <c r="S148" s="454"/>
      <c r="T148" s="454"/>
      <c r="U148" s="454"/>
      <c r="V148" s="1002"/>
      <c r="W148" s="476"/>
      <c r="X148" s="476"/>
      <c r="Y148" s="476"/>
      <c r="Z148" s="476"/>
      <c r="AA148" s="476"/>
    </row>
    <row r="149" spans="1:27" ht="17.399999999999999">
      <c r="A149" s="476"/>
      <c r="B149" s="454"/>
      <c r="C149" s="454"/>
      <c r="D149" s="454"/>
      <c r="E149" s="454"/>
      <c r="F149" s="454"/>
      <c r="G149" s="454"/>
      <c r="H149" s="454"/>
      <c r="I149" s="454"/>
      <c r="J149" s="454"/>
      <c r="K149" s="454"/>
      <c r="L149" s="1002"/>
      <c r="M149" s="1002"/>
      <c r="N149" s="1002"/>
      <c r="O149" s="476"/>
      <c r="P149" s="1002"/>
      <c r="Q149" s="476"/>
      <c r="R149" s="1002"/>
      <c r="S149" s="454"/>
      <c r="T149" s="454"/>
      <c r="U149" s="454"/>
      <c r="V149" s="1002"/>
      <c r="W149" s="476"/>
      <c r="X149" s="476"/>
      <c r="Y149" s="476"/>
      <c r="Z149" s="476"/>
      <c r="AA149" s="476"/>
    </row>
    <row r="150" spans="1:27" ht="17.399999999999999">
      <c r="A150" s="476"/>
      <c r="B150" s="454"/>
      <c r="C150" s="454"/>
      <c r="D150" s="454"/>
      <c r="E150" s="454"/>
      <c r="F150" s="454"/>
      <c r="G150" s="454"/>
      <c r="H150" s="454"/>
      <c r="I150" s="454"/>
      <c r="J150" s="454"/>
      <c r="K150" s="454"/>
      <c r="L150" s="1002"/>
      <c r="M150" s="1002"/>
      <c r="N150" s="1002"/>
      <c r="O150" s="476"/>
      <c r="P150" s="1002"/>
      <c r="Q150" s="476"/>
      <c r="R150" s="1002"/>
      <c r="S150" s="454"/>
      <c r="T150" s="454"/>
      <c r="U150" s="454"/>
      <c r="V150" s="1002"/>
      <c r="W150" s="476"/>
      <c r="X150" s="476"/>
      <c r="Y150" s="476"/>
      <c r="Z150" s="476"/>
      <c r="AA150" s="476"/>
    </row>
    <row r="151" spans="1:27" ht="17.399999999999999">
      <c r="A151" s="476"/>
      <c r="B151" s="454"/>
      <c r="C151" s="454"/>
      <c r="D151" s="454"/>
      <c r="E151" s="454"/>
      <c r="F151" s="454"/>
      <c r="G151" s="454"/>
      <c r="H151" s="454"/>
      <c r="I151" s="454"/>
      <c r="J151" s="454"/>
      <c r="K151" s="454"/>
      <c r="L151" s="1002"/>
      <c r="M151" s="1002"/>
      <c r="N151" s="1002"/>
      <c r="O151" s="476"/>
      <c r="P151" s="1002"/>
      <c r="Q151" s="476"/>
      <c r="R151" s="1002"/>
      <c r="S151" s="454"/>
      <c r="T151" s="454"/>
      <c r="U151" s="454"/>
      <c r="V151" s="1002"/>
      <c r="W151" s="476"/>
      <c r="X151" s="476"/>
      <c r="Y151" s="476"/>
      <c r="Z151" s="476"/>
      <c r="AA151" s="476"/>
    </row>
    <row r="152" spans="1:27" ht="17.399999999999999">
      <c r="A152" s="476"/>
      <c r="B152" s="454"/>
      <c r="C152" s="454"/>
      <c r="D152" s="454"/>
      <c r="E152" s="454"/>
      <c r="F152" s="454"/>
      <c r="G152" s="454"/>
      <c r="H152" s="454"/>
      <c r="I152" s="454"/>
      <c r="J152" s="454"/>
      <c r="K152" s="454"/>
      <c r="L152" s="1002"/>
      <c r="M152" s="1002"/>
      <c r="N152" s="1002"/>
      <c r="O152" s="476"/>
      <c r="P152" s="1002"/>
      <c r="Q152" s="476"/>
      <c r="R152" s="1002"/>
      <c r="S152" s="454"/>
      <c r="T152" s="454"/>
      <c r="U152" s="454"/>
      <c r="V152" s="1002"/>
      <c r="W152" s="476"/>
      <c r="X152" s="476"/>
      <c r="Y152" s="476"/>
      <c r="Z152" s="476"/>
      <c r="AA152" s="476"/>
    </row>
    <row r="153" spans="1:27" ht="17.399999999999999">
      <c r="A153" s="476"/>
      <c r="B153" s="454"/>
      <c r="C153" s="454"/>
      <c r="D153" s="454"/>
      <c r="E153" s="454"/>
      <c r="F153" s="454"/>
      <c r="G153" s="454"/>
      <c r="H153" s="454"/>
      <c r="I153" s="454"/>
      <c r="J153" s="454"/>
      <c r="K153" s="454"/>
      <c r="L153" s="1002"/>
      <c r="M153" s="1002"/>
      <c r="N153" s="1002"/>
      <c r="O153" s="476"/>
      <c r="P153" s="1002"/>
      <c r="Q153" s="476"/>
      <c r="R153" s="1002"/>
      <c r="S153" s="454"/>
      <c r="T153" s="454"/>
      <c r="U153" s="454"/>
      <c r="V153" s="1002"/>
      <c r="W153" s="476"/>
      <c r="X153" s="476"/>
      <c r="Y153" s="476"/>
      <c r="Z153" s="476"/>
      <c r="AA153" s="476"/>
    </row>
    <row r="154" spans="1:27" ht="17.399999999999999">
      <c r="A154" s="476"/>
      <c r="B154" s="454"/>
      <c r="C154" s="454"/>
      <c r="D154" s="454"/>
      <c r="E154" s="454"/>
      <c r="F154" s="454"/>
      <c r="G154" s="454"/>
      <c r="H154" s="454"/>
      <c r="I154" s="454"/>
      <c r="J154" s="1002"/>
      <c r="K154" s="1002"/>
      <c r="L154" s="1002"/>
      <c r="M154" s="1002"/>
      <c r="N154" s="1002"/>
      <c r="O154" s="476"/>
      <c r="P154" s="1002"/>
      <c r="Q154" s="476"/>
      <c r="R154" s="1002"/>
      <c r="S154" s="454"/>
      <c r="T154" s="454"/>
      <c r="U154" s="454"/>
      <c r="V154" s="1002"/>
      <c r="W154" s="476"/>
      <c r="X154" s="476"/>
      <c r="Y154" s="476"/>
      <c r="Z154" s="476"/>
      <c r="AA154" s="476"/>
    </row>
    <row r="155" spans="1:27" ht="17.399999999999999">
      <c r="A155" s="476"/>
      <c r="B155" s="454"/>
      <c r="C155" s="454"/>
      <c r="D155" s="454"/>
      <c r="E155" s="454"/>
      <c r="F155" s="454"/>
      <c r="G155" s="454"/>
      <c r="H155" s="454"/>
      <c r="I155" s="454"/>
      <c r="J155" s="1002"/>
      <c r="K155" s="1002"/>
      <c r="L155" s="1002"/>
      <c r="M155" s="1002"/>
      <c r="N155" s="1002"/>
      <c r="O155" s="476"/>
      <c r="P155" s="1002"/>
      <c r="Q155" s="476"/>
      <c r="R155" s="1002"/>
      <c r="S155" s="454"/>
      <c r="T155" s="454"/>
      <c r="U155" s="454"/>
      <c r="V155" s="1002"/>
      <c r="W155" s="476"/>
      <c r="X155" s="476"/>
      <c r="Y155" s="476"/>
      <c r="Z155" s="476"/>
      <c r="AA155" s="476"/>
    </row>
    <row r="156" spans="1:27" ht="17.399999999999999">
      <c r="A156" s="476"/>
      <c r="B156" s="454"/>
      <c r="C156" s="454"/>
      <c r="D156" s="454"/>
      <c r="E156" s="454"/>
      <c r="F156" s="454"/>
      <c r="G156" s="454"/>
      <c r="H156" s="454"/>
      <c r="I156" s="454"/>
      <c r="J156" s="1002"/>
      <c r="K156" s="1002"/>
      <c r="L156" s="1002"/>
      <c r="M156" s="1002"/>
      <c r="N156" s="1002"/>
      <c r="O156" s="476"/>
      <c r="P156" s="1002"/>
      <c r="Q156" s="476"/>
      <c r="R156" s="1002"/>
      <c r="S156" s="454"/>
      <c r="T156" s="454"/>
      <c r="U156" s="454"/>
      <c r="V156" s="1002"/>
      <c r="W156" s="476"/>
      <c r="X156" s="476"/>
      <c r="Y156" s="476"/>
      <c r="Z156" s="476"/>
      <c r="AA156" s="476"/>
    </row>
    <row r="157" spans="1:27" ht="17.399999999999999">
      <c r="A157" s="476"/>
      <c r="B157" s="476"/>
      <c r="C157" s="1001"/>
      <c r="D157" s="1002"/>
      <c r="E157" s="476"/>
      <c r="F157" s="1002"/>
      <c r="G157" s="1003"/>
      <c r="H157" s="1002"/>
      <c r="I157" s="1002"/>
      <c r="J157" s="1002"/>
      <c r="K157" s="1002"/>
      <c r="L157" s="1002"/>
      <c r="M157" s="1002"/>
      <c r="N157" s="1002"/>
      <c r="O157" s="476"/>
      <c r="P157" s="1002"/>
      <c r="Q157" s="476"/>
      <c r="R157" s="1002"/>
      <c r="S157" s="454"/>
      <c r="T157" s="454"/>
      <c r="U157" s="454"/>
      <c r="V157" s="1002"/>
      <c r="W157" s="476"/>
      <c r="X157" s="476"/>
      <c r="Y157" s="476"/>
      <c r="Z157" s="476"/>
      <c r="AA157" s="476"/>
    </row>
    <row r="158" spans="1:27" ht="17.399999999999999">
      <c r="A158" s="476"/>
      <c r="B158" s="476"/>
      <c r="C158" s="1001"/>
      <c r="D158" s="1002"/>
      <c r="E158" s="476"/>
      <c r="F158" s="1002"/>
      <c r="G158" s="1003"/>
      <c r="H158" s="1002"/>
      <c r="I158" s="1002"/>
      <c r="J158" s="1002"/>
      <c r="K158" s="1002"/>
      <c r="L158" s="1002"/>
      <c r="M158" s="1002"/>
      <c r="N158" s="1002"/>
      <c r="O158" s="476"/>
      <c r="P158" s="1002"/>
      <c r="Q158" s="476"/>
      <c r="R158" s="1002"/>
      <c r="S158" s="454"/>
      <c r="T158" s="454"/>
      <c r="U158" s="454"/>
      <c r="V158" s="1002"/>
      <c r="W158" s="476"/>
      <c r="X158" s="476"/>
      <c r="Y158" s="476"/>
      <c r="Z158" s="476"/>
      <c r="AA158" s="476"/>
    </row>
    <row r="159" spans="1:27" ht="17.399999999999999">
      <c r="A159" s="476"/>
      <c r="B159" s="476"/>
      <c r="C159" s="1001"/>
      <c r="D159" s="1002"/>
      <c r="E159" s="476"/>
      <c r="F159" s="1002"/>
      <c r="G159" s="1003"/>
      <c r="H159" s="1002"/>
      <c r="I159" s="1002"/>
      <c r="J159" s="1002"/>
      <c r="K159" s="1002"/>
      <c r="L159" s="1002"/>
      <c r="M159" s="1002"/>
      <c r="N159" s="1002"/>
      <c r="O159" s="476"/>
      <c r="P159" s="1002"/>
      <c r="Q159" s="476"/>
      <c r="R159" s="1002"/>
      <c r="S159" s="454"/>
      <c r="T159" s="454"/>
      <c r="U159" s="454"/>
      <c r="V159" s="1002"/>
      <c r="W159" s="476"/>
      <c r="X159" s="476"/>
      <c r="Y159" s="476"/>
      <c r="Z159" s="476"/>
      <c r="AA159" s="476"/>
    </row>
    <row r="160" spans="1:27" ht="17.399999999999999">
      <c r="A160" s="476"/>
      <c r="B160" s="476"/>
      <c r="C160" s="1001"/>
      <c r="D160" s="1002"/>
      <c r="E160" s="476"/>
      <c r="F160" s="1002"/>
      <c r="G160" s="1003"/>
      <c r="H160" s="1002"/>
      <c r="I160" s="1002"/>
      <c r="J160" s="1002"/>
      <c r="K160" s="1002"/>
      <c r="L160" s="1002"/>
      <c r="M160" s="1002"/>
      <c r="N160" s="1002"/>
      <c r="O160" s="476"/>
      <c r="P160" s="1002"/>
      <c r="Q160" s="476"/>
      <c r="R160" s="1002"/>
      <c r="S160" s="454"/>
      <c r="T160" s="454"/>
      <c r="U160" s="454"/>
      <c r="V160" s="1002"/>
      <c r="W160" s="476"/>
      <c r="X160" s="476"/>
      <c r="Y160" s="476"/>
      <c r="Z160" s="476"/>
      <c r="AA160" s="476"/>
    </row>
    <row r="161" spans="1:27" ht="17.399999999999999">
      <c r="A161" s="476"/>
      <c r="B161" s="476"/>
      <c r="C161" s="1001"/>
      <c r="D161" s="1002"/>
      <c r="E161" s="476"/>
      <c r="F161" s="1002"/>
      <c r="G161" s="1003"/>
      <c r="H161" s="1002"/>
      <c r="I161" s="1002"/>
      <c r="J161" s="1002"/>
      <c r="K161" s="1002"/>
      <c r="L161" s="1002"/>
      <c r="M161" s="1002"/>
      <c r="N161" s="1002"/>
      <c r="O161" s="476"/>
      <c r="P161" s="1002"/>
      <c r="Q161" s="476"/>
      <c r="R161" s="1002"/>
      <c r="S161" s="454"/>
      <c r="T161" s="454"/>
      <c r="U161" s="454"/>
      <c r="V161" s="1002"/>
      <c r="W161" s="476"/>
      <c r="X161" s="476"/>
      <c r="Y161" s="476"/>
      <c r="Z161" s="476"/>
      <c r="AA161" s="476"/>
    </row>
    <row r="162" spans="1:27" ht="17.399999999999999">
      <c r="A162" s="476"/>
      <c r="B162" s="476"/>
      <c r="C162" s="1001"/>
      <c r="D162" s="1002"/>
      <c r="E162" s="476"/>
      <c r="F162" s="1002"/>
      <c r="G162" s="1003"/>
      <c r="H162" s="1002"/>
      <c r="I162" s="1002"/>
      <c r="J162" s="1002"/>
      <c r="K162" s="1002"/>
      <c r="L162" s="1002"/>
      <c r="M162" s="1002"/>
      <c r="N162" s="1002"/>
      <c r="O162" s="476"/>
      <c r="P162" s="1002"/>
      <c r="Q162" s="476"/>
      <c r="R162" s="1002"/>
      <c r="S162" s="454"/>
      <c r="T162" s="454"/>
      <c r="U162" s="454"/>
      <c r="V162" s="1002"/>
      <c r="W162" s="476"/>
      <c r="X162" s="476"/>
      <c r="Y162" s="476"/>
      <c r="Z162" s="476"/>
      <c r="AA162" s="476"/>
    </row>
    <row r="163" spans="1:27" ht="17.399999999999999">
      <c r="A163" s="476"/>
      <c r="B163" s="476"/>
      <c r="C163" s="1001"/>
      <c r="D163" s="1002"/>
      <c r="E163" s="476"/>
      <c r="F163" s="1002"/>
      <c r="G163" s="1003"/>
      <c r="H163" s="1002"/>
      <c r="I163" s="1002"/>
      <c r="J163" s="1002"/>
      <c r="K163" s="1002"/>
      <c r="L163" s="1002"/>
      <c r="M163" s="1002"/>
      <c r="N163" s="1002"/>
      <c r="O163" s="476"/>
      <c r="P163" s="1002"/>
      <c r="Q163" s="476"/>
      <c r="R163" s="1002"/>
      <c r="S163" s="454"/>
      <c r="T163" s="454"/>
      <c r="U163" s="454"/>
      <c r="V163" s="1002"/>
      <c r="W163" s="476"/>
      <c r="X163" s="476"/>
      <c r="Y163" s="476"/>
      <c r="Z163" s="476"/>
      <c r="AA163" s="476"/>
    </row>
    <row r="164" spans="1:27" ht="17.399999999999999">
      <c r="A164" s="476"/>
      <c r="B164" s="476"/>
      <c r="C164" s="1001"/>
      <c r="D164" s="1002"/>
      <c r="E164" s="476"/>
      <c r="F164" s="1002"/>
      <c r="G164" s="1003"/>
      <c r="H164" s="1002"/>
      <c r="I164" s="1002"/>
      <c r="J164" s="1002"/>
      <c r="K164" s="1002"/>
      <c r="L164" s="1002"/>
      <c r="M164" s="1002"/>
      <c r="N164" s="1002"/>
      <c r="O164" s="476"/>
      <c r="P164" s="1002"/>
      <c r="Q164" s="476"/>
      <c r="R164" s="1002"/>
      <c r="S164" s="454"/>
      <c r="T164" s="454"/>
      <c r="U164" s="454"/>
      <c r="V164" s="1002"/>
      <c r="W164" s="476"/>
      <c r="X164" s="476"/>
      <c r="Y164" s="476"/>
      <c r="Z164" s="476"/>
      <c r="AA164" s="476"/>
    </row>
    <row r="165" spans="1:27" ht="15" customHeight="1">
      <c r="A165" s="476"/>
      <c r="B165" s="476"/>
      <c r="C165" s="1001"/>
      <c r="D165" s="1002"/>
      <c r="E165" s="476"/>
      <c r="F165" s="1002"/>
      <c r="G165" s="1003"/>
      <c r="H165" s="1002"/>
      <c r="I165" s="1002"/>
      <c r="J165" s="1002"/>
      <c r="K165" s="1002"/>
      <c r="L165" s="1002"/>
      <c r="M165" s="1002"/>
      <c r="N165" s="1002"/>
      <c r="O165" s="476"/>
      <c r="P165" s="1002"/>
      <c r="Q165" s="476"/>
      <c r="R165" s="1002"/>
      <c r="S165" s="1002"/>
      <c r="T165" s="476"/>
      <c r="U165" s="476"/>
      <c r="V165" s="1002"/>
      <c r="W165" s="476"/>
      <c r="X165" s="476"/>
      <c r="Y165" s="476"/>
      <c r="Z165" s="476"/>
      <c r="AA165" s="476"/>
    </row>
    <row r="166" spans="1:27" ht="15" customHeight="1">
      <c r="A166" s="476"/>
      <c r="B166" s="476"/>
      <c r="C166" s="1001"/>
      <c r="D166" s="1002"/>
      <c r="E166" s="476"/>
      <c r="F166" s="1002"/>
      <c r="G166" s="1003"/>
      <c r="H166" s="1002"/>
      <c r="I166" s="1002"/>
      <c r="J166" s="1002"/>
      <c r="K166" s="1002"/>
      <c r="L166" s="1002"/>
      <c r="M166" s="1002"/>
      <c r="N166" s="1002"/>
      <c r="O166" s="476"/>
      <c r="P166" s="1002"/>
      <c r="Q166" s="476"/>
      <c r="R166" s="1002"/>
      <c r="S166" s="1002"/>
      <c r="T166" s="476"/>
      <c r="U166" s="476"/>
      <c r="V166" s="1002"/>
      <c r="W166" s="476"/>
      <c r="X166" s="476"/>
      <c r="Y166" s="476"/>
      <c r="Z166" s="476"/>
      <c r="AA166" s="476"/>
    </row>
    <row r="167" spans="1:27" ht="15" customHeight="1">
      <c r="A167" s="476"/>
      <c r="B167" s="476"/>
      <c r="C167" s="1001"/>
      <c r="D167" s="1002"/>
      <c r="E167" s="476"/>
      <c r="F167" s="1002"/>
      <c r="G167" s="1003"/>
      <c r="H167" s="1002"/>
      <c r="I167" s="1002"/>
      <c r="J167" s="1002"/>
      <c r="K167" s="1002"/>
      <c r="L167" s="1002"/>
      <c r="M167" s="1002"/>
      <c r="N167" s="1002"/>
      <c r="O167" s="476"/>
      <c r="P167" s="1002"/>
      <c r="Q167" s="476"/>
      <c r="R167" s="1002"/>
      <c r="S167" s="1002"/>
      <c r="T167" s="476"/>
      <c r="U167" s="476"/>
      <c r="V167" s="1002"/>
      <c r="W167" s="476"/>
      <c r="X167" s="476"/>
      <c r="Y167" s="476"/>
      <c r="Z167" s="476"/>
      <c r="AA167" s="476"/>
    </row>
    <row r="168" spans="1:27" ht="15" customHeight="1">
      <c r="A168" s="476"/>
      <c r="B168" s="476"/>
      <c r="C168" s="1001"/>
      <c r="D168" s="1002"/>
      <c r="E168" s="476"/>
      <c r="F168" s="1002"/>
      <c r="G168" s="1003"/>
      <c r="H168" s="1002"/>
      <c r="I168" s="1002"/>
      <c r="J168" s="1002"/>
      <c r="K168" s="1002"/>
      <c r="L168" s="1002"/>
      <c r="M168" s="1002"/>
      <c r="N168" s="1002"/>
      <c r="O168" s="476"/>
      <c r="P168" s="1002"/>
      <c r="Q168" s="476"/>
      <c r="R168" s="1002"/>
      <c r="S168" s="1002"/>
      <c r="T168" s="476"/>
      <c r="U168" s="476"/>
      <c r="V168" s="1002"/>
      <c r="W168" s="476"/>
      <c r="X168" s="476"/>
      <c r="Y168" s="476"/>
      <c r="Z168" s="476"/>
      <c r="AA168" s="476"/>
    </row>
    <row r="169" spans="1:27" ht="15" customHeight="1">
      <c r="A169" s="476"/>
      <c r="B169" s="476"/>
      <c r="C169" s="1001"/>
      <c r="D169" s="1002"/>
      <c r="E169" s="476"/>
      <c r="F169" s="1002"/>
      <c r="G169" s="1003"/>
      <c r="H169" s="1002"/>
      <c r="I169" s="1002"/>
      <c r="J169" s="1002"/>
      <c r="K169" s="1002"/>
      <c r="L169" s="1002"/>
      <c r="M169" s="1002"/>
      <c r="N169" s="1002"/>
      <c r="O169" s="476"/>
      <c r="P169" s="1002"/>
      <c r="Q169" s="476"/>
      <c r="R169" s="1002"/>
      <c r="S169" s="1002"/>
      <c r="T169" s="476"/>
      <c r="U169" s="476"/>
      <c r="V169" s="1002"/>
      <c r="W169" s="476"/>
      <c r="X169" s="476"/>
      <c r="Y169" s="476"/>
      <c r="Z169" s="476"/>
      <c r="AA169" s="476"/>
    </row>
    <row r="170" spans="1:27" ht="15" customHeight="1">
      <c r="A170" s="476"/>
      <c r="B170" s="476"/>
      <c r="C170" s="1001"/>
      <c r="D170" s="1002"/>
      <c r="E170" s="476"/>
      <c r="F170" s="1002"/>
      <c r="G170" s="1003"/>
      <c r="H170" s="1002"/>
      <c r="I170" s="1002"/>
      <c r="J170" s="1002"/>
      <c r="K170" s="1002"/>
      <c r="L170" s="1002"/>
      <c r="M170" s="1002"/>
      <c r="N170" s="1002"/>
      <c r="O170" s="476"/>
      <c r="P170" s="1002"/>
      <c r="Q170" s="476"/>
      <c r="R170" s="1002"/>
      <c r="S170" s="1002"/>
      <c r="T170" s="476"/>
      <c r="U170" s="476"/>
      <c r="V170" s="1002"/>
      <c r="W170" s="476"/>
      <c r="X170" s="476"/>
      <c r="Y170" s="476"/>
      <c r="Z170" s="476"/>
      <c r="AA170" s="476"/>
    </row>
    <row r="171" spans="1:27" ht="15" customHeight="1">
      <c r="A171" s="476"/>
      <c r="B171" s="476"/>
      <c r="C171" s="1001"/>
      <c r="D171" s="1002"/>
      <c r="E171" s="476"/>
      <c r="F171" s="1002"/>
      <c r="G171" s="1003"/>
      <c r="H171" s="1002"/>
      <c r="I171" s="1002"/>
      <c r="J171" s="1002"/>
      <c r="K171" s="1002"/>
      <c r="L171" s="1002"/>
      <c r="M171" s="1002"/>
      <c r="N171" s="1002"/>
      <c r="O171" s="476"/>
      <c r="P171" s="1002"/>
      <c r="Q171" s="476"/>
      <c r="R171" s="1002"/>
      <c r="S171" s="1002"/>
      <c r="T171" s="476"/>
      <c r="U171" s="476"/>
      <c r="V171" s="1002"/>
      <c r="W171" s="476"/>
      <c r="X171" s="476"/>
      <c r="Y171" s="476"/>
      <c r="Z171" s="476"/>
      <c r="AA171" s="476"/>
    </row>
    <row r="172" spans="1:27" ht="15" customHeight="1">
      <c r="A172" s="476"/>
      <c r="B172" s="476"/>
      <c r="C172" s="1001"/>
      <c r="D172" s="1002"/>
      <c r="E172" s="476"/>
      <c r="F172" s="1002"/>
      <c r="G172" s="1003"/>
      <c r="H172" s="1002"/>
      <c r="I172" s="1002"/>
      <c r="J172" s="1002"/>
      <c r="K172" s="1002"/>
      <c r="L172" s="1002"/>
      <c r="M172" s="1002"/>
      <c r="N172" s="1002"/>
      <c r="O172" s="476"/>
      <c r="P172" s="1002"/>
      <c r="Q172" s="476"/>
      <c r="R172" s="1002"/>
      <c r="S172" s="1002"/>
      <c r="T172" s="476"/>
      <c r="U172" s="476"/>
      <c r="V172" s="1002"/>
      <c r="W172" s="476"/>
      <c r="X172" s="476"/>
      <c r="Y172" s="476"/>
      <c r="Z172" s="476"/>
      <c r="AA172" s="476"/>
    </row>
    <row r="173" spans="1:27" ht="15" customHeight="1">
      <c r="A173" s="476"/>
      <c r="B173" s="476"/>
      <c r="C173" s="1001"/>
      <c r="D173" s="1002"/>
      <c r="E173" s="476"/>
      <c r="F173" s="1002"/>
      <c r="G173" s="1003"/>
      <c r="H173" s="1002"/>
      <c r="I173" s="1002"/>
      <c r="J173" s="1002"/>
      <c r="K173" s="1002"/>
      <c r="L173" s="1002"/>
      <c r="M173" s="1002"/>
      <c r="N173" s="1002"/>
      <c r="O173" s="476"/>
      <c r="P173" s="1002"/>
      <c r="Q173" s="476"/>
      <c r="R173" s="1002"/>
      <c r="S173" s="1002"/>
      <c r="T173" s="476"/>
      <c r="U173" s="476"/>
      <c r="V173" s="1002"/>
      <c r="W173" s="476"/>
      <c r="X173" s="476"/>
      <c r="Y173" s="476"/>
      <c r="Z173" s="476"/>
      <c r="AA173" s="476"/>
    </row>
    <row r="174" spans="1:27" ht="15" customHeight="1">
      <c r="A174" s="476"/>
      <c r="B174" s="476"/>
      <c r="C174" s="1001"/>
      <c r="D174" s="1002"/>
      <c r="E174" s="476"/>
      <c r="F174" s="1002"/>
      <c r="G174" s="1003"/>
      <c r="H174" s="1002"/>
      <c r="I174" s="1002"/>
      <c r="J174" s="1002"/>
      <c r="K174" s="1002"/>
      <c r="L174" s="1002"/>
      <c r="M174" s="1002"/>
      <c r="N174" s="1002"/>
      <c r="O174" s="476"/>
      <c r="P174" s="1002"/>
      <c r="Q174" s="476"/>
      <c r="R174" s="1002"/>
      <c r="S174" s="1002"/>
      <c r="T174" s="476"/>
      <c r="U174" s="476"/>
      <c r="V174" s="1002"/>
      <c r="W174" s="476"/>
      <c r="X174" s="476"/>
      <c r="Y174" s="476"/>
      <c r="Z174" s="476"/>
      <c r="AA174" s="476"/>
    </row>
    <row r="175" spans="1:27" ht="15" customHeight="1">
      <c r="A175" s="476"/>
      <c r="B175" s="476"/>
      <c r="C175" s="1001"/>
      <c r="D175" s="1002"/>
      <c r="E175" s="476"/>
      <c r="F175" s="1002"/>
      <c r="G175" s="1003"/>
      <c r="H175" s="1002"/>
      <c r="I175" s="1002"/>
      <c r="J175" s="1002"/>
      <c r="K175" s="1002"/>
      <c r="L175" s="1002"/>
      <c r="M175" s="1002"/>
      <c r="N175" s="1002"/>
      <c r="O175" s="476"/>
      <c r="P175" s="1002"/>
      <c r="Q175" s="476"/>
      <c r="R175" s="1002"/>
      <c r="S175" s="1002"/>
      <c r="T175" s="476"/>
      <c r="U175" s="476"/>
      <c r="V175" s="1002"/>
      <c r="W175" s="476"/>
      <c r="X175" s="476"/>
      <c r="Y175" s="476"/>
      <c r="Z175" s="476"/>
      <c r="AA175" s="476"/>
    </row>
    <row r="176" spans="1:27" ht="15" customHeight="1">
      <c r="A176" s="476"/>
      <c r="B176" s="476"/>
      <c r="C176" s="1001"/>
      <c r="D176" s="1002"/>
      <c r="E176" s="476"/>
      <c r="F176" s="1002"/>
      <c r="G176" s="1003"/>
      <c r="H176" s="1002"/>
      <c r="I176" s="1002"/>
      <c r="J176" s="1002"/>
      <c r="K176" s="1002"/>
      <c r="L176" s="1002"/>
      <c r="M176" s="1002"/>
      <c r="N176" s="1002"/>
      <c r="O176" s="476"/>
      <c r="P176" s="1002"/>
      <c r="Q176" s="476"/>
      <c r="R176" s="1002"/>
      <c r="S176" s="1002"/>
      <c r="T176" s="476"/>
      <c r="U176" s="476"/>
      <c r="V176" s="1002"/>
      <c r="W176" s="476"/>
      <c r="X176" s="476"/>
      <c r="Y176" s="476"/>
      <c r="Z176" s="476"/>
      <c r="AA176" s="476"/>
    </row>
    <row r="177" spans="1:27" ht="15" customHeight="1">
      <c r="A177" s="476"/>
      <c r="B177" s="476"/>
      <c r="C177" s="1001"/>
      <c r="D177" s="1002"/>
      <c r="E177" s="476"/>
      <c r="F177" s="1002"/>
      <c r="G177" s="1003"/>
      <c r="H177" s="1002"/>
      <c r="I177" s="1002"/>
      <c r="J177" s="1002"/>
      <c r="K177" s="1002"/>
      <c r="L177" s="1002"/>
      <c r="M177" s="1002"/>
      <c r="N177" s="1002"/>
      <c r="O177" s="476"/>
      <c r="P177" s="1002"/>
      <c r="Q177" s="476"/>
      <c r="R177" s="1002"/>
      <c r="S177" s="1002"/>
      <c r="T177" s="476"/>
      <c r="U177" s="476"/>
      <c r="V177" s="1002"/>
      <c r="W177" s="476"/>
      <c r="X177" s="476"/>
      <c r="Y177" s="476"/>
      <c r="Z177" s="476"/>
      <c r="AA177" s="476"/>
    </row>
    <row r="178" spans="1:27" ht="15" customHeight="1">
      <c r="A178" s="476"/>
      <c r="B178" s="476"/>
      <c r="C178" s="1001"/>
      <c r="D178" s="1002"/>
      <c r="E178" s="476"/>
      <c r="F178" s="1002"/>
      <c r="G178" s="1003"/>
      <c r="H178" s="1002"/>
      <c r="I178" s="1002"/>
      <c r="J178" s="1002"/>
      <c r="K178" s="1002"/>
      <c r="L178" s="1002"/>
      <c r="M178" s="1002"/>
      <c r="N178" s="1002"/>
      <c r="O178" s="476"/>
      <c r="P178" s="1002"/>
      <c r="Q178" s="476"/>
      <c r="R178" s="1002"/>
      <c r="S178" s="1002"/>
      <c r="T178" s="476"/>
      <c r="U178" s="476"/>
      <c r="V178" s="1002"/>
      <c r="W178" s="476"/>
      <c r="X178" s="476"/>
      <c r="Y178" s="476"/>
      <c r="Z178" s="476"/>
      <c r="AA178" s="476"/>
    </row>
    <row r="179" spans="1:27" ht="15" customHeight="1">
      <c r="A179" s="476"/>
      <c r="B179" s="476"/>
      <c r="C179" s="1001"/>
      <c r="D179" s="1002"/>
      <c r="E179" s="476"/>
      <c r="F179" s="1002"/>
      <c r="G179" s="1003"/>
      <c r="H179" s="1002"/>
      <c r="I179" s="1002"/>
      <c r="J179" s="1002"/>
      <c r="K179" s="1002"/>
      <c r="L179" s="1002"/>
      <c r="M179" s="1002"/>
      <c r="N179" s="1002"/>
      <c r="O179" s="476"/>
      <c r="P179" s="1002"/>
      <c r="Q179" s="476"/>
      <c r="R179" s="1002"/>
      <c r="S179" s="1002"/>
      <c r="T179" s="476"/>
      <c r="U179" s="476"/>
      <c r="V179" s="1002"/>
      <c r="W179" s="476"/>
      <c r="X179" s="476"/>
      <c r="Y179" s="476"/>
      <c r="Z179" s="476"/>
      <c r="AA179" s="476"/>
    </row>
    <row r="180" spans="1:27" ht="15" customHeight="1">
      <c r="A180" s="476"/>
      <c r="B180" s="476"/>
      <c r="C180" s="1001"/>
      <c r="D180" s="1002"/>
      <c r="E180" s="476"/>
      <c r="F180" s="1002"/>
      <c r="G180" s="1003"/>
      <c r="H180" s="1002"/>
      <c r="I180" s="1002"/>
      <c r="J180" s="1002"/>
      <c r="K180" s="1002"/>
      <c r="L180" s="1002"/>
      <c r="M180" s="1002"/>
      <c r="N180" s="1002"/>
      <c r="O180" s="476"/>
      <c r="P180" s="1002"/>
      <c r="Q180" s="476"/>
      <c r="R180" s="1002"/>
      <c r="S180" s="1002"/>
      <c r="T180" s="476"/>
      <c r="U180" s="476"/>
      <c r="V180" s="1002"/>
      <c r="W180" s="476"/>
      <c r="X180" s="476"/>
      <c r="Y180" s="476"/>
      <c r="Z180" s="476"/>
      <c r="AA180" s="476"/>
    </row>
    <row r="181" spans="1:27" ht="15" customHeight="1">
      <c r="A181" s="476"/>
      <c r="B181" s="476"/>
      <c r="C181" s="1001"/>
      <c r="D181" s="1002"/>
      <c r="E181" s="476"/>
      <c r="F181" s="1002"/>
      <c r="G181" s="1003"/>
      <c r="H181" s="1002"/>
      <c r="I181" s="1002"/>
      <c r="J181" s="1002"/>
      <c r="K181" s="1002"/>
      <c r="L181" s="1002"/>
      <c r="M181" s="1002"/>
      <c r="N181" s="1002"/>
      <c r="O181" s="476"/>
      <c r="P181" s="1002"/>
      <c r="Q181" s="476"/>
      <c r="R181" s="1002"/>
      <c r="S181" s="1002"/>
      <c r="T181" s="476"/>
      <c r="U181" s="476"/>
      <c r="V181" s="1002"/>
      <c r="W181" s="476"/>
      <c r="X181" s="476"/>
      <c r="Y181" s="476"/>
      <c r="Z181" s="476"/>
      <c r="AA181" s="476"/>
    </row>
    <row r="182" spans="1:27" ht="15" customHeight="1">
      <c r="A182" s="476"/>
      <c r="B182" s="476"/>
      <c r="C182" s="1001"/>
      <c r="D182" s="1002"/>
      <c r="E182" s="476"/>
      <c r="F182" s="1002"/>
      <c r="G182" s="1003"/>
      <c r="H182" s="1002"/>
      <c r="I182" s="1002"/>
      <c r="J182" s="1002"/>
      <c r="K182" s="1002"/>
      <c r="L182" s="1002"/>
      <c r="M182" s="1002"/>
      <c r="N182" s="1002"/>
      <c r="O182" s="476"/>
      <c r="P182" s="1002"/>
      <c r="Q182" s="476"/>
      <c r="R182" s="1002"/>
      <c r="S182" s="1002"/>
      <c r="T182" s="476"/>
      <c r="U182" s="476"/>
      <c r="V182" s="1002"/>
      <c r="W182" s="476"/>
      <c r="X182" s="476"/>
      <c r="Y182" s="476"/>
      <c r="Z182" s="476"/>
      <c r="AA182" s="476"/>
    </row>
    <row r="183" spans="1:27" ht="15" customHeight="1">
      <c r="A183" s="476"/>
      <c r="B183" s="476"/>
      <c r="C183" s="1001"/>
      <c r="D183" s="1002"/>
      <c r="E183" s="476"/>
      <c r="F183" s="1002"/>
      <c r="G183" s="1003"/>
      <c r="H183" s="1002"/>
      <c r="I183" s="1002"/>
      <c r="J183" s="1002"/>
      <c r="K183" s="1002"/>
      <c r="L183" s="1002"/>
      <c r="M183" s="1002"/>
      <c r="N183" s="1002"/>
      <c r="O183" s="476"/>
      <c r="P183" s="1002"/>
      <c r="Q183" s="476"/>
      <c r="R183" s="1002"/>
      <c r="S183" s="1002"/>
      <c r="T183" s="476"/>
      <c r="U183" s="476"/>
      <c r="V183" s="1002"/>
      <c r="W183" s="476"/>
      <c r="X183" s="476"/>
      <c r="Y183" s="476"/>
      <c r="Z183" s="476"/>
      <c r="AA183" s="476"/>
    </row>
    <row r="184" spans="1:27" ht="15" customHeight="1">
      <c r="A184" s="476"/>
      <c r="B184" s="476"/>
      <c r="C184" s="1001"/>
      <c r="D184" s="1002"/>
      <c r="E184" s="476"/>
      <c r="F184" s="1002"/>
      <c r="G184" s="1003"/>
      <c r="H184" s="1002"/>
      <c r="I184" s="1002"/>
      <c r="J184" s="1002"/>
      <c r="K184" s="1002"/>
      <c r="L184" s="1002"/>
      <c r="M184" s="1002"/>
      <c r="N184" s="1002"/>
      <c r="O184" s="476"/>
      <c r="P184" s="1002"/>
      <c r="Q184" s="476"/>
      <c r="R184" s="1002"/>
      <c r="S184" s="1002"/>
      <c r="T184" s="476"/>
      <c r="U184" s="476"/>
      <c r="V184" s="1002"/>
      <c r="W184" s="476"/>
      <c r="X184" s="476"/>
      <c r="Y184" s="476"/>
      <c r="Z184" s="476"/>
      <c r="AA184" s="476"/>
    </row>
    <row r="185" spans="1:27" ht="15" customHeight="1">
      <c r="A185" s="476"/>
      <c r="B185" s="476"/>
      <c r="C185" s="1001"/>
      <c r="D185" s="1002"/>
      <c r="E185" s="476"/>
      <c r="F185" s="1002"/>
      <c r="G185" s="1003"/>
      <c r="H185" s="1002"/>
      <c r="I185" s="1002"/>
      <c r="J185" s="1002"/>
      <c r="K185" s="1002"/>
      <c r="L185" s="1002"/>
      <c r="M185" s="1002"/>
      <c r="N185" s="1002"/>
      <c r="O185" s="476"/>
      <c r="P185" s="1002"/>
      <c r="Q185" s="476"/>
      <c r="R185" s="1002"/>
      <c r="S185" s="1002"/>
      <c r="T185" s="476"/>
      <c r="U185" s="476"/>
      <c r="V185" s="1002"/>
      <c r="W185" s="476"/>
      <c r="X185" s="476"/>
      <c r="Y185" s="476"/>
      <c r="Z185" s="476"/>
      <c r="AA185" s="476"/>
    </row>
    <row r="186" spans="1:27" ht="15" customHeight="1">
      <c r="A186" s="476"/>
      <c r="B186" s="476"/>
      <c r="C186" s="1001"/>
      <c r="D186" s="1002"/>
      <c r="E186" s="476"/>
      <c r="F186" s="1002"/>
      <c r="G186" s="1003"/>
      <c r="H186" s="1002"/>
      <c r="I186" s="1002"/>
      <c r="J186" s="1002"/>
      <c r="K186" s="1002"/>
      <c r="L186" s="1002"/>
      <c r="M186" s="1002"/>
      <c r="N186" s="1002"/>
      <c r="O186" s="476"/>
      <c r="P186" s="1002"/>
      <c r="Q186" s="476"/>
      <c r="R186" s="1002"/>
      <c r="S186" s="1002"/>
      <c r="T186" s="476"/>
      <c r="U186" s="476"/>
      <c r="V186" s="1002"/>
      <c r="W186" s="476"/>
      <c r="X186" s="476"/>
      <c r="Y186" s="476"/>
      <c r="Z186" s="476"/>
      <c r="AA186" s="476"/>
    </row>
    <row r="187" spans="1:27" ht="15" customHeight="1">
      <c r="A187" s="476"/>
      <c r="B187" s="476"/>
      <c r="C187" s="1001"/>
      <c r="D187" s="1002"/>
      <c r="E187" s="476"/>
      <c r="F187" s="1002"/>
      <c r="G187" s="1003"/>
      <c r="H187" s="1002"/>
      <c r="I187" s="1002"/>
      <c r="J187" s="1002"/>
      <c r="K187" s="1002"/>
      <c r="L187" s="1002"/>
      <c r="M187" s="1002"/>
      <c r="N187" s="1002"/>
      <c r="O187" s="476"/>
      <c r="P187" s="1002"/>
      <c r="Q187" s="476"/>
      <c r="R187" s="1002"/>
      <c r="S187" s="1002"/>
      <c r="T187" s="476"/>
      <c r="U187" s="476"/>
      <c r="V187" s="1002"/>
      <c r="W187" s="476"/>
      <c r="X187" s="476"/>
      <c r="Y187" s="476"/>
      <c r="Z187" s="476"/>
      <c r="AA187" s="476"/>
    </row>
    <row r="188" spans="1:27" ht="15" customHeight="1">
      <c r="A188" s="476"/>
      <c r="B188" s="476"/>
      <c r="C188" s="1001"/>
      <c r="D188" s="1002"/>
      <c r="E188" s="476"/>
      <c r="F188" s="1002"/>
      <c r="G188" s="1003"/>
      <c r="H188" s="1002"/>
      <c r="I188" s="1002"/>
      <c r="J188" s="1002"/>
      <c r="K188" s="1002"/>
      <c r="L188" s="1002"/>
      <c r="M188" s="1002"/>
      <c r="N188" s="1002"/>
      <c r="O188" s="476"/>
      <c r="P188" s="1002"/>
      <c r="Q188" s="476"/>
      <c r="R188" s="1002"/>
      <c r="S188" s="1002"/>
      <c r="T188" s="476"/>
      <c r="U188" s="476"/>
      <c r="V188" s="1002"/>
      <c r="W188" s="476"/>
      <c r="X188" s="476"/>
      <c r="Y188" s="476"/>
      <c r="Z188" s="476"/>
      <c r="AA188" s="476"/>
    </row>
    <row r="189" spans="1:27" ht="15" customHeight="1">
      <c r="A189" s="476"/>
      <c r="B189" s="476"/>
      <c r="C189" s="1001"/>
      <c r="D189" s="1002"/>
      <c r="E189" s="476"/>
      <c r="F189" s="1002"/>
      <c r="G189" s="1003"/>
      <c r="H189" s="1002"/>
      <c r="I189" s="1002"/>
      <c r="J189" s="1002"/>
      <c r="K189" s="1002"/>
      <c r="L189" s="1002"/>
      <c r="M189" s="1002"/>
      <c r="N189" s="1002"/>
      <c r="O189" s="476"/>
      <c r="P189" s="1002"/>
      <c r="Q189" s="476"/>
      <c r="R189" s="1002"/>
      <c r="S189" s="1002"/>
      <c r="T189" s="476"/>
      <c r="U189" s="476"/>
      <c r="V189" s="1002"/>
      <c r="W189" s="476"/>
      <c r="X189" s="476"/>
      <c r="Y189" s="476"/>
      <c r="Z189" s="476"/>
      <c r="AA189" s="476"/>
    </row>
    <row r="190" spans="1:27" ht="15" customHeight="1">
      <c r="A190" s="476"/>
      <c r="B190" s="476"/>
      <c r="C190" s="1001"/>
      <c r="D190" s="1002"/>
      <c r="E190" s="476"/>
      <c r="F190" s="1002"/>
      <c r="G190" s="1003"/>
      <c r="H190" s="1002"/>
      <c r="I190" s="1002"/>
      <c r="J190" s="1002"/>
      <c r="K190" s="1002"/>
      <c r="L190" s="1002"/>
      <c r="M190" s="1002"/>
      <c r="N190" s="1002"/>
      <c r="O190" s="476"/>
      <c r="P190" s="1002"/>
      <c r="Q190" s="476"/>
      <c r="R190" s="1002"/>
      <c r="S190" s="1002"/>
      <c r="T190" s="476"/>
      <c r="U190" s="476"/>
      <c r="V190" s="1002"/>
      <c r="W190" s="476"/>
      <c r="X190" s="476"/>
      <c r="Y190" s="476"/>
      <c r="Z190" s="476"/>
      <c r="AA190" s="476"/>
    </row>
    <row r="191" spans="1:27" ht="15" customHeight="1">
      <c r="A191" s="476"/>
      <c r="B191" s="476"/>
      <c r="C191" s="1001"/>
      <c r="D191" s="1002"/>
      <c r="E191" s="476"/>
      <c r="F191" s="1002"/>
      <c r="G191" s="1003"/>
      <c r="H191" s="1002"/>
      <c r="I191" s="1002"/>
      <c r="J191" s="1002"/>
      <c r="K191" s="1002"/>
      <c r="L191" s="1002"/>
      <c r="M191" s="1002"/>
      <c r="N191" s="1002"/>
      <c r="O191" s="476"/>
      <c r="P191" s="1002"/>
      <c r="Q191" s="476"/>
      <c r="R191" s="1002"/>
      <c r="S191" s="1002"/>
      <c r="T191" s="476"/>
      <c r="U191" s="476"/>
      <c r="V191" s="1002"/>
      <c r="W191" s="476"/>
      <c r="X191" s="476"/>
      <c r="Y191" s="476"/>
      <c r="Z191" s="476"/>
      <c r="AA191" s="476"/>
    </row>
    <row r="192" spans="1:27" ht="15" customHeight="1">
      <c r="A192" s="476"/>
      <c r="B192" s="476"/>
      <c r="C192" s="1001"/>
      <c r="D192" s="1002"/>
      <c r="E192" s="476"/>
      <c r="F192" s="1002"/>
      <c r="G192" s="1003"/>
      <c r="H192" s="1002"/>
      <c r="I192" s="1002"/>
      <c r="J192" s="1002"/>
      <c r="K192" s="1002"/>
      <c r="L192" s="1002"/>
      <c r="M192" s="1002"/>
      <c r="N192" s="1002"/>
      <c r="O192" s="476"/>
      <c r="P192" s="1002"/>
      <c r="Q192" s="476"/>
      <c r="R192" s="1002"/>
      <c r="S192" s="1002"/>
      <c r="T192" s="476"/>
      <c r="U192" s="476"/>
      <c r="V192" s="1002"/>
      <c r="W192" s="476"/>
      <c r="X192" s="476"/>
      <c r="Y192" s="476"/>
      <c r="Z192" s="476"/>
      <c r="AA192" s="476"/>
    </row>
    <row r="193" spans="1:27" ht="15" customHeight="1">
      <c r="A193" s="476"/>
      <c r="B193" s="476"/>
      <c r="C193" s="1001"/>
      <c r="D193" s="1002"/>
      <c r="E193" s="476"/>
      <c r="F193" s="1002"/>
      <c r="G193" s="1003"/>
      <c r="H193" s="1002"/>
      <c r="I193" s="1002"/>
      <c r="J193" s="1002"/>
      <c r="K193" s="1002"/>
      <c r="L193" s="1002"/>
      <c r="M193" s="1002"/>
      <c r="N193" s="1002"/>
      <c r="O193" s="476"/>
      <c r="P193" s="1002"/>
      <c r="Q193" s="476"/>
      <c r="R193" s="1002"/>
      <c r="S193" s="1002"/>
      <c r="T193" s="476"/>
      <c r="U193" s="476"/>
      <c r="V193" s="1002"/>
      <c r="W193" s="476"/>
      <c r="X193" s="476"/>
      <c r="Y193" s="476"/>
      <c r="Z193" s="476"/>
      <c r="AA193" s="476"/>
    </row>
    <row r="194" spans="1:27" ht="15" customHeight="1">
      <c r="A194" s="476"/>
      <c r="B194" s="476"/>
      <c r="C194" s="1001"/>
      <c r="D194" s="1002"/>
      <c r="E194" s="476"/>
      <c r="F194" s="1002"/>
      <c r="G194" s="1003"/>
      <c r="H194" s="1002"/>
      <c r="I194" s="1002"/>
      <c r="J194" s="1002"/>
      <c r="K194" s="1002"/>
      <c r="L194" s="1002"/>
      <c r="M194" s="1002"/>
      <c r="N194" s="1002"/>
      <c r="O194" s="476"/>
      <c r="P194" s="1002"/>
      <c r="Q194" s="476"/>
      <c r="R194" s="1002"/>
      <c r="S194" s="1002"/>
      <c r="T194" s="476"/>
      <c r="U194" s="476"/>
      <c r="V194" s="1002"/>
      <c r="W194" s="476"/>
      <c r="X194" s="476"/>
      <c r="Y194" s="476"/>
      <c r="Z194" s="476"/>
      <c r="AA194" s="476"/>
    </row>
    <row r="195" spans="1:27" ht="15" customHeight="1">
      <c r="A195" s="476"/>
      <c r="B195" s="476"/>
      <c r="C195" s="1001"/>
      <c r="D195" s="1002"/>
      <c r="E195" s="476"/>
      <c r="F195" s="1002"/>
      <c r="G195" s="1003"/>
      <c r="H195" s="1002"/>
      <c r="I195" s="1002"/>
      <c r="J195" s="1002"/>
      <c r="K195" s="1002"/>
      <c r="L195" s="1002"/>
      <c r="M195" s="1002"/>
      <c r="N195" s="1002"/>
      <c r="O195" s="476"/>
      <c r="P195" s="1002"/>
      <c r="Q195" s="476"/>
      <c r="R195" s="1002"/>
      <c r="S195" s="1002"/>
      <c r="T195" s="476"/>
      <c r="U195" s="476"/>
      <c r="V195" s="1002"/>
      <c r="W195" s="476"/>
      <c r="X195" s="476"/>
      <c r="Y195" s="476"/>
      <c r="Z195" s="476"/>
      <c r="AA195" s="476"/>
    </row>
    <row r="196" spans="1:27" ht="15" customHeight="1">
      <c r="A196" s="476"/>
      <c r="B196" s="476"/>
      <c r="C196" s="1001"/>
      <c r="D196" s="1002"/>
      <c r="E196" s="476"/>
      <c r="F196" s="1002"/>
      <c r="G196" s="1003"/>
      <c r="H196" s="1002"/>
      <c r="I196" s="1002"/>
      <c r="J196" s="1002"/>
      <c r="K196" s="1002"/>
      <c r="L196" s="1002"/>
      <c r="M196" s="1002"/>
      <c r="N196" s="1002"/>
      <c r="O196" s="476"/>
      <c r="P196" s="1002"/>
      <c r="Q196" s="476"/>
      <c r="R196" s="1002"/>
      <c r="S196" s="1002"/>
      <c r="T196" s="476"/>
      <c r="U196" s="476"/>
      <c r="V196" s="1002"/>
      <c r="W196" s="476"/>
      <c r="X196" s="476"/>
      <c r="Y196" s="476"/>
      <c r="Z196" s="476"/>
      <c r="AA196" s="476"/>
    </row>
    <row r="197" spans="1:27" ht="15" customHeight="1">
      <c r="A197" s="476"/>
      <c r="B197" s="476"/>
      <c r="C197" s="1001"/>
      <c r="D197" s="1002"/>
      <c r="E197" s="476"/>
      <c r="F197" s="1002"/>
      <c r="G197" s="1003"/>
      <c r="H197" s="1002"/>
      <c r="I197" s="1002"/>
      <c r="J197" s="1002"/>
      <c r="K197" s="1002"/>
      <c r="L197" s="1002"/>
      <c r="M197" s="1002"/>
      <c r="N197" s="1002"/>
      <c r="O197" s="476"/>
      <c r="P197" s="1002"/>
      <c r="Q197" s="476"/>
      <c r="R197" s="1002"/>
      <c r="S197" s="1002"/>
      <c r="T197" s="476"/>
      <c r="U197" s="476"/>
      <c r="V197" s="1002"/>
      <c r="W197" s="476"/>
      <c r="X197" s="476"/>
      <c r="Y197" s="476"/>
      <c r="Z197" s="476"/>
      <c r="AA197" s="476"/>
    </row>
    <row r="198" spans="1:27" ht="15" customHeight="1">
      <c r="A198" s="476"/>
      <c r="B198" s="476"/>
      <c r="C198" s="1001"/>
      <c r="D198" s="1002"/>
      <c r="E198" s="476"/>
      <c r="F198" s="1002"/>
      <c r="G198" s="1003"/>
      <c r="H198" s="1002"/>
      <c r="I198" s="1002"/>
      <c r="J198" s="1002"/>
      <c r="K198" s="1002"/>
      <c r="L198" s="1002"/>
      <c r="M198" s="1002"/>
      <c r="N198" s="1002"/>
      <c r="O198" s="476"/>
      <c r="P198" s="1002"/>
      <c r="Q198" s="476"/>
      <c r="R198" s="1002"/>
      <c r="S198" s="1002"/>
      <c r="T198" s="476"/>
      <c r="U198" s="476"/>
      <c r="V198" s="1002"/>
      <c r="W198" s="476"/>
      <c r="X198" s="476"/>
      <c r="Y198" s="476"/>
      <c r="Z198" s="476"/>
      <c r="AA198" s="476"/>
    </row>
    <row r="199" spans="1:27" ht="15" customHeight="1">
      <c r="A199" s="476"/>
      <c r="B199" s="476"/>
      <c r="C199" s="1001"/>
      <c r="D199" s="1002"/>
      <c r="E199" s="476"/>
      <c r="F199" s="1002"/>
      <c r="G199" s="1003"/>
      <c r="H199" s="1002"/>
      <c r="I199" s="1002"/>
      <c r="J199" s="1002"/>
      <c r="K199" s="1002"/>
      <c r="L199" s="1002"/>
      <c r="M199" s="1002"/>
      <c r="N199" s="1002"/>
      <c r="O199" s="476"/>
      <c r="P199" s="1002"/>
      <c r="Q199" s="476"/>
      <c r="R199" s="1002"/>
      <c r="S199" s="1002"/>
      <c r="T199" s="476"/>
      <c r="U199" s="476"/>
      <c r="V199" s="1002"/>
      <c r="W199" s="476"/>
      <c r="X199" s="476"/>
      <c r="Y199" s="476"/>
      <c r="Z199" s="476"/>
      <c r="AA199" s="476"/>
    </row>
    <row r="200" spans="1:27" ht="15" customHeight="1">
      <c r="A200" s="476"/>
      <c r="B200" s="476"/>
      <c r="C200" s="1001"/>
      <c r="D200" s="1002"/>
      <c r="E200" s="476"/>
      <c r="F200" s="1002"/>
      <c r="G200" s="1003"/>
      <c r="H200" s="1002"/>
      <c r="I200" s="1002"/>
      <c r="J200" s="1002"/>
      <c r="K200" s="1002"/>
      <c r="L200" s="1002"/>
      <c r="M200" s="1002"/>
      <c r="N200" s="1002"/>
      <c r="O200" s="476"/>
      <c r="P200" s="1002"/>
      <c r="Q200" s="476"/>
      <c r="R200" s="1002"/>
      <c r="S200" s="1002"/>
      <c r="T200" s="476"/>
      <c r="U200" s="476"/>
      <c r="V200" s="1002"/>
      <c r="W200" s="476"/>
      <c r="X200" s="476"/>
      <c r="Y200" s="476"/>
      <c r="Z200" s="476"/>
      <c r="AA200" s="476"/>
    </row>
    <row r="201" spans="1:27" ht="15" customHeight="1">
      <c r="A201" s="476"/>
      <c r="B201" s="476"/>
      <c r="C201" s="1001"/>
      <c r="D201" s="1002"/>
      <c r="E201" s="476"/>
      <c r="F201" s="1002"/>
      <c r="G201" s="1003"/>
      <c r="H201" s="1002"/>
      <c r="I201" s="1002"/>
      <c r="J201" s="1002"/>
      <c r="K201" s="1002"/>
      <c r="L201" s="1002"/>
      <c r="M201" s="1002"/>
      <c r="N201" s="1002"/>
      <c r="O201" s="476"/>
      <c r="P201" s="1002"/>
      <c r="Q201" s="476"/>
      <c r="R201" s="1002"/>
      <c r="S201" s="1002"/>
      <c r="T201" s="476"/>
      <c r="U201" s="476"/>
      <c r="V201" s="1002"/>
      <c r="W201" s="476"/>
      <c r="X201" s="476"/>
      <c r="Y201" s="476"/>
      <c r="Z201" s="476"/>
      <c r="AA201" s="476"/>
    </row>
    <row r="202" spans="1:27" ht="15" customHeight="1">
      <c r="A202" s="476"/>
      <c r="B202" s="476"/>
      <c r="C202" s="1001"/>
      <c r="D202" s="1002"/>
      <c r="E202" s="476"/>
      <c r="F202" s="1002"/>
      <c r="G202" s="1003"/>
      <c r="H202" s="1002"/>
      <c r="I202" s="1002"/>
      <c r="J202" s="1002"/>
      <c r="K202" s="1002"/>
      <c r="L202" s="1002"/>
      <c r="M202" s="1002"/>
      <c r="N202" s="1002"/>
      <c r="O202" s="476"/>
      <c r="P202" s="1002"/>
      <c r="Q202" s="476"/>
      <c r="R202" s="1002"/>
      <c r="S202" s="1002"/>
      <c r="T202" s="476"/>
      <c r="U202" s="476"/>
      <c r="V202" s="1002"/>
      <c r="W202" s="476"/>
      <c r="X202" s="476"/>
      <c r="Y202" s="476"/>
      <c r="Z202" s="476"/>
      <c r="AA202" s="476"/>
    </row>
    <row r="203" spans="1:27" ht="15" customHeight="1">
      <c r="A203" s="476"/>
      <c r="B203" s="476"/>
      <c r="C203" s="1001"/>
      <c r="D203" s="1002"/>
      <c r="E203" s="476"/>
      <c r="F203" s="1002"/>
      <c r="G203" s="1003"/>
      <c r="H203" s="1002"/>
      <c r="I203" s="1002"/>
      <c r="J203" s="1002"/>
      <c r="K203" s="1002"/>
      <c r="L203" s="1002"/>
      <c r="M203" s="1002"/>
      <c r="N203" s="1002"/>
      <c r="O203" s="476"/>
      <c r="P203" s="1002"/>
      <c r="Q203" s="476"/>
      <c r="R203" s="1002"/>
      <c r="S203" s="1002"/>
      <c r="T203" s="476"/>
      <c r="U203" s="476"/>
      <c r="V203" s="1002"/>
      <c r="W203" s="476"/>
      <c r="X203" s="476"/>
      <c r="Y203" s="476"/>
      <c r="Z203" s="476"/>
      <c r="AA203" s="476"/>
    </row>
    <row r="204" spans="1:27" ht="15" customHeight="1">
      <c r="A204" s="476"/>
      <c r="B204" s="476"/>
      <c r="C204" s="1001"/>
      <c r="D204" s="1002"/>
      <c r="E204" s="476"/>
      <c r="F204" s="1002"/>
      <c r="G204" s="1003"/>
      <c r="H204" s="1002"/>
      <c r="I204" s="1002"/>
      <c r="J204" s="1002"/>
      <c r="K204" s="1002"/>
      <c r="L204" s="1002"/>
      <c r="M204" s="1002"/>
      <c r="N204" s="1002"/>
      <c r="O204" s="476"/>
      <c r="P204" s="1002"/>
      <c r="Q204" s="476"/>
      <c r="R204" s="1002"/>
      <c r="S204" s="1002"/>
      <c r="T204" s="476"/>
      <c r="U204" s="476"/>
      <c r="V204" s="1002"/>
      <c r="W204" s="476"/>
      <c r="X204" s="476"/>
      <c r="Y204" s="476"/>
      <c r="Z204" s="476"/>
      <c r="AA204" s="476"/>
    </row>
    <row r="205" spans="1:27" ht="15" customHeight="1">
      <c r="A205" s="476"/>
      <c r="B205" s="476"/>
      <c r="C205" s="1001"/>
      <c r="D205" s="1002"/>
      <c r="E205" s="476"/>
      <c r="F205" s="1002"/>
      <c r="G205" s="1003"/>
      <c r="H205" s="1002"/>
      <c r="I205" s="1002"/>
      <c r="J205" s="1002"/>
      <c r="K205" s="1002"/>
      <c r="L205" s="1002"/>
      <c r="M205" s="1002"/>
      <c r="N205" s="1002"/>
      <c r="O205" s="476"/>
      <c r="P205" s="1002"/>
      <c r="Q205" s="476"/>
      <c r="R205" s="1002"/>
      <c r="S205" s="1002"/>
      <c r="T205" s="476"/>
      <c r="U205" s="476"/>
      <c r="V205" s="1002"/>
      <c r="W205" s="476"/>
      <c r="X205" s="476"/>
      <c r="Y205" s="476"/>
      <c r="Z205" s="476"/>
      <c r="AA205" s="476"/>
    </row>
    <row r="206" spans="1:27" ht="15" customHeight="1">
      <c r="A206" s="476"/>
      <c r="B206" s="476"/>
      <c r="C206" s="1001"/>
      <c r="D206" s="1002"/>
      <c r="E206" s="476"/>
      <c r="F206" s="1002"/>
      <c r="G206" s="1003"/>
      <c r="H206" s="1002"/>
      <c r="I206" s="1002"/>
      <c r="J206" s="1002"/>
      <c r="K206" s="1002"/>
      <c r="L206" s="1002"/>
      <c r="M206" s="1002"/>
      <c r="N206" s="1002"/>
      <c r="O206" s="476"/>
      <c r="P206" s="1002"/>
      <c r="Q206" s="476"/>
      <c r="R206" s="1002"/>
      <c r="S206" s="1002"/>
      <c r="T206" s="476"/>
      <c r="U206" s="476"/>
      <c r="V206" s="1002"/>
      <c r="W206" s="476"/>
      <c r="X206" s="476"/>
      <c r="Y206" s="476"/>
      <c r="Z206" s="476"/>
      <c r="AA206" s="476"/>
    </row>
    <row r="207" spans="1:27" ht="15" customHeight="1">
      <c r="A207" s="476"/>
      <c r="B207" s="476"/>
      <c r="C207" s="1001"/>
      <c r="D207" s="1002"/>
      <c r="E207" s="476"/>
      <c r="F207" s="1002"/>
      <c r="G207" s="1003"/>
      <c r="H207" s="1002"/>
      <c r="I207" s="1002"/>
      <c r="J207" s="1002"/>
      <c r="K207" s="1002"/>
      <c r="L207" s="1002"/>
      <c r="M207" s="1002"/>
      <c r="N207" s="1002"/>
      <c r="O207" s="476"/>
      <c r="P207" s="1002"/>
      <c r="Q207" s="476"/>
      <c r="R207" s="1002"/>
      <c r="S207" s="1002"/>
      <c r="T207" s="476"/>
      <c r="U207" s="476"/>
      <c r="V207" s="1002"/>
      <c r="W207" s="476"/>
      <c r="X207" s="476"/>
      <c r="Y207" s="476"/>
      <c r="Z207" s="476"/>
      <c r="AA207" s="476"/>
    </row>
    <row r="208" spans="1:27" ht="15" customHeight="1">
      <c r="A208" s="476"/>
      <c r="B208" s="476"/>
      <c r="C208" s="1001"/>
      <c r="D208" s="1002"/>
      <c r="E208" s="476"/>
      <c r="F208" s="1002"/>
      <c r="G208" s="1003"/>
      <c r="H208" s="1002"/>
      <c r="I208" s="1002"/>
      <c r="J208" s="1002"/>
      <c r="K208" s="1002"/>
      <c r="L208" s="1002"/>
      <c r="M208" s="1002"/>
      <c r="N208" s="1002"/>
      <c r="O208" s="476"/>
      <c r="P208" s="1002"/>
      <c r="Q208" s="476"/>
      <c r="R208" s="1002"/>
      <c r="S208" s="1002"/>
      <c r="T208" s="476"/>
      <c r="U208" s="476"/>
      <c r="V208" s="1002"/>
      <c r="W208" s="476"/>
      <c r="X208" s="476"/>
      <c r="Y208" s="476"/>
      <c r="Z208" s="476"/>
      <c r="AA208" s="476"/>
    </row>
    <row r="209" spans="1:27" ht="15" customHeight="1">
      <c r="A209" s="476"/>
      <c r="B209" s="476"/>
      <c r="C209" s="1001"/>
      <c r="D209" s="1002"/>
      <c r="E209" s="476"/>
      <c r="F209" s="1002"/>
      <c r="G209" s="1003"/>
      <c r="H209" s="1002"/>
      <c r="I209" s="1002"/>
      <c r="J209" s="1002"/>
      <c r="K209" s="1002"/>
      <c r="L209" s="1002"/>
      <c r="M209" s="1002"/>
      <c r="N209" s="1002"/>
      <c r="O209" s="476"/>
      <c r="P209" s="1002"/>
      <c r="Q209" s="476"/>
      <c r="R209" s="1002"/>
      <c r="S209" s="1002"/>
      <c r="T209" s="476"/>
      <c r="U209" s="476"/>
      <c r="V209" s="1002"/>
      <c r="W209" s="476"/>
      <c r="X209" s="476"/>
      <c r="Y209" s="476"/>
      <c r="Z209" s="476"/>
      <c r="AA209" s="476"/>
    </row>
    <row r="210" spans="1:27" ht="15" customHeight="1">
      <c r="A210" s="476"/>
      <c r="B210" s="476"/>
      <c r="C210" s="1001"/>
      <c r="D210" s="1002"/>
      <c r="E210" s="476"/>
      <c r="F210" s="1002"/>
      <c r="G210" s="1003"/>
      <c r="H210" s="1002"/>
      <c r="I210" s="1002"/>
      <c r="J210" s="1002"/>
      <c r="K210" s="1002"/>
      <c r="L210" s="1002"/>
      <c r="M210" s="1002"/>
      <c r="N210" s="1002"/>
      <c r="O210" s="476"/>
      <c r="P210" s="1002"/>
      <c r="Q210" s="476"/>
      <c r="R210" s="1002"/>
      <c r="S210" s="1002"/>
      <c r="T210" s="476"/>
      <c r="U210" s="476"/>
      <c r="V210" s="1002"/>
      <c r="W210" s="476"/>
      <c r="X210" s="476"/>
      <c r="Y210" s="476"/>
      <c r="Z210" s="476"/>
      <c r="AA210" s="476"/>
    </row>
    <row r="211" spans="1:27" ht="15" customHeight="1">
      <c r="A211" s="476"/>
      <c r="B211" s="476"/>
      <c r="C211" s="1001"/>
      <c r="D211" s="1002"/>
      <c r="E211" s="476"/>
      <c r="F211" s="1002"/>
      <c r="G211" s="1003"/>
      <c r="H211" s="1002"/>
      <c r="I211" s="1002"/>
      <c r="J211" s="1002"/>
      <c r="K211" s="1002"/>
      <c r="L211" s="1002"/>
      <c r="M211" s="1002"/>
      <c r="N211" s="1002"/>
      <c r="O211" s="476"/>
      <c r="P211" s="1002"/>
      <c r="Q211" s="476"/>
      <c r="R211" s="1002"/>
      <c r="S211" s="1002"/>
      <c r="T211" s="476"/>
      <c r="U211" s="476"/>
      <c r="V211" s="1002"/>
      <c r="W211" s="476"/>
      <c r="X211" s="476"/>
      <c r="Y211" s="476"/>
      <c r="Z211" s="476"/>
      <c r="AA211" s="476"/>
    </row>
    <row r="212" spans="1:27" ht="15" customHeight="1">
      <c r="A212" s="476"/>
      <c r="B212" s="476"/>
      <c r="C212" s="1001"/>
      <c r="D212" s="1002"/>
      <c r="E212" s="476"/>
      <c r="F212" s="1002"/>
      <c r="G212" s="1003"/>
      <c r="H212" s="1002"/>
      <c r="I212" s="1002"/>
      <c r="J212" s="1002"/>
      <c r="K212" s="1002"/>
      <c r="L212" s="1002"/>
      <c r="M212" s="1002"/>
      <c r="N212" s="1002"/>
      <c r="O212" s="476"/>
      <c r="P212" s="1002"/>
      <c r="Q212" s="476"/>
      <c r="R212" s="1002"/>
      <c r="S212" s="1002"/>
      <c r="T212" s="476"/>
      <c r="U212" s="476"/>
      <c r="V212" s="1002"/>
      <c r="W212" s="476"/>
      <c r="X212" s="476"/>
      <c r="Y212" s="476"/>
      <c r="Z212" s="476"/>
      <c r="AA212" s="476"/>
    </row>
    <row r="213" spans="1:27" ht="15" customHeight="1">
      <c r="A213" s="476"/>
      <c r="B213" s="476"/>
      <c r="C213" s="1001"/>
      <c r="D213" s="1002"/>
      <c r="E213" s="476"/>
      <c r="F213" s="1002"/>
      <c r="G213" s="1003"/>
      <c r="H213" s="1002"/>
      <c r="I213" s="1002"/>
      <c r="J213" s="1002"/>
      <c r="K213" s="1002"/>
      <c r="L213" s="1002"/>
      <c r="M213" s="1002"/>
      <c r="N213" s="1002"/>
      <c r="O213" s="476"/>
      <c r="P213" s="1002"/>
      <c r="Q213" s="476"/>
      <c r="R213" s="1002"/>
      <c r="S213" s="1002"/>
      <c r="T213" s="476"/>
      <c r="U213" s="476"/>
      <c r="V213" s="1002"/>
      <c r="W213" s="476"/>
      <c r="X213" s="476"/>
      <c r="Y213" s="476"/>
      <c r="Z213" s="476"/>
      <c r="AA213" s="476"/>
    </row>
    <row r="214" spans="1:27" ht="15" customHeight="1">
      <c r="A214" s="476"/>
      <c r="B214" s="476"/>
      <c r="C214" s="1001"/>
      <c r="D214" s="1002"/>
      <c r="E214" s="476"/>
      <c r="F214" s="1002"/>
      <c r="G214" s="1003"/>
      <c r="H214" s="1002"/>
      <c r="I214" s="1002"/>
      <c r="J214" s="1002"/>
      <c r="K214" s="1002"/>
      <c r="L214" s="1002"/>
      <c r="M214" s="1002"/>
      <c r="N214" s="1002"/>
      <c r="O214" s="476"/>
      <c r="P214" s="1002"/>
      <c r="Q214" s="476"/>
      <c r="R214" s="1002"/>
      <c r="S214" s="1002"/>
      <c r="T214" s="476"/>
      <c r="U214" s="476"/>
      <c r="V214" s="1002"/>
      <c r="W214" s="476"/>
      <c r="X214" s="476"/>
      <c r="Y214" s="476"/>
      <c r="Z214" s="476"/>
      <c r="AA214" s="476"/>
    </row>
    <row r="215" spans="1:27" ht="15" customHeight="1">
      <c r="A215" s="476"/>
      <c r="B215" s="476"/>
      <c r="C215" s="1001"/>
      <c r="D215" s="1002"/>
      <c r="E215" s="476"/>
      <c r="F215" s="1002"/>
      <c r="G215" s="1003"/>
      <c r="H215" s="1002"/>
      <c r="I215" s="1002"/>
      <c r="J215" s="1002"/>
      <c r="K215" s="1002"/>
      <c r="L215" s="1002"/>
      <c r="M215" s="1002"/>
      <c r="N215" s="1002"/>
      <c r="O215" s="476"/>
      <c r="P215" s="1002"/>
      <c r="Q215" s="476"/>
      <c r="R215" s="1002"/>
      <c r="S215" s="1002"/>
      <c r="T215" s="476"/>
      <c r="U215" s="476"/>
      <c r="V215" s="1002"/>
      <c r="W215" s="476"/>
      <c r="X215" s="476"/>
      <c r="Y215" s="476"/>
      <c r="Z215" s="476"/>
      <c r="AA215" s="476"/>
    </row>
    <row r="216" spans="1:27" ht="15" customHeight="1">
      <c r="A216" s="476"/>
      <c r="B216" s="476"/>
      <c r="C216" s="1001"/>
      <c r="D216" s="1002"/>
      <c r="E216" s="476"/>
      <c r="F216" s="1002"/>
      <c r="G216" s="1003"/>
      <c r="H216" s="1002"/>
      <c r="I216" s="1002"/>
      <c r="J216" s="1002"/>
      <c r="K216" s="1002"/>
      <c r="L216" s="1002"/>
      <c r="M216" s="1002"/>
      <c r="N216" s="1002"/>
      <c r="O216" s="476"/>
      <c r="P216" s="1002"/>
      <c r="Q216" s="476"/>
      <c r="R216" s="1002"/>
      <c r="S216" s="1002"/>
      <c r="T216" s="476"/>
      <c r="U216" s="476"/>
      <c r="V216" s="1002"/>
      <c r="W216" s="476"/>
      <c r="X216" s="476"/>
      <c r="Y216" s="476"/>
      <c r="Z216" s="476"/>
      <c r="AA216" s="476"/>
    </row>
    <row r="217" spans="1:27" ht="15" customHeight="1">
      <c r="A217" s="476"/>
      <c r="B217" s="476"/>
      <c r="C217" s="1001"/>
      <c r="D217" s="1002"/>
      <c r="E217" s="476"/>
      <c r="F217" s="1002"/>
      <c r="G217" s="1003"/>
      <c r="H217" s="1002"/>
      <c r="I217" s="1002"/>
      <c r="J217" s="1002"/>
      <c r="K217" s="1002"/>
      <c r="L217" s="1002"/>
      <c r="M217" s="1002"/>
      <c r="N217" s="1002"/>
      <c r="O217" s="476"/>
      <c r="P217" s="1002"/>
      <c r="Q217" s="476"/>
      <c r="R217" s="1002"/>
      <c r="S217" s="1002"/>
      <c r="T217" s="476"/>
      <c r="U217" s="476"/>
      <c r="V217" s="1002"/>
      <c r="W217" s="476"/>
      <c r="X217" s="476"/>
      <c r="Y217" s="476"/>
      <c r="Z217" s="476"/>
      <c r="AA217" s="476"/>
    </row>
    <row r="218" spans="1:27" ht="15" customHeight="1">
      <c r="A218" s="476"/>
      <c r="B218" s="476"/>
      <c r="C218" s="1001"/>
      <c r="D218" s="1002"/>
      <c r="E218" s="476"/>
      <c r="F218" s="1002"/>
      <c r="G218" s="1003"/>
      <c r="H218" s="1002"/>
      <c r="I218" s="1002"/>
      <c r="J218" s="1002"/>
      <c r="K218" s="1002"/>
      <c r="L218" s="1002"/>
      <c r="M218" s="1002"/>
      <c r="N218" s="1002"/>
      <c r="O218" s="476"/>
      <c r="P218" s="1002"/>
      <c r="Q218" s="476"/>
      <c r="R218" s="1002"/>
      <c r="S218" s="1002"/>
      <c r="T218" s="476"/>
      <c r="U218" s="476"/>
      <c r="V218" s="1002"/>
      <c r="W218" s="476"/>
      <c r="X218" s="476"/>
      <c r="Y218" s="476"/>
      <c r="Z218" s="476"/>
      <c r="AA218" s="476"/>
    </row>
    <row r="219" spans="1:27" ht="15" customHeight="1">
      <c r="A219" s="476"/>
      <c r="B219" s="476"/>
      <c r="C219" s="1001"/>
      <c r="D219" s="1002"/>
      <c r="E219" s="476"/>
      <c r="F219" s="1002"/>
      <c r="G219" s="1003"/>
      <c r="H219" s="1002"/>
      <c r="I219" s="1002"/>
      <c r="J219" s="1002"/>
      <c r="K219" s="1002"/>
      <c r="L219" s="1002"/>
      <c r="M219" s="1002"/>
      <c r="N219" s="1002"/>
      <c r="O219" s="476"/>
      <c r="P219" s="1002"/>
      <c r="Q219" s="476"/>
      <c r="R219" s="1002"/>
      <c r="S219" s="1002"/>
      <c r="T219" s="476"/>
      <c r="U219" s="476"/>
      <c r="V219" s="1002"/>
      <c r="W219" s="476"/>
      <c r="X219" s="476"/>
      <c r="Y219" s="476"/>
      <c r="Z219" s="476"/>
      <c r="AA219" s="476"/>
    </row>
    <row r="220" spans="1:27" ht="15" customHeight="1">
      <c r="A220" s="476"/>
      <c r="B220" s="476"/>
      <c r="C220" s="1001"/>
      <c r="D220" s="1002"/>
      <c r="E220" s="476"/>
      <c r="F220" s="1002"/>
      <c r="G220" s="1003"/>
      <c r="H220" s="1002"/>
      <c r="I220" s="1002"/>
      <c r="J220" s="1002"/>
      <c r="K220" s="1002"/>
      <c r="L220" s="1002"/>
      <c r="M220" s="1002"/>
      <c r="N220" s="1002"/>
      <c r="O220" s="476"/>
      <c r="P220" s="1002"/>
      <c r="Q220" s="476"/>
      <c r="R220" s="1002"/>
      <c r="S220" s="1002"/>
      <c r="T220" s="476"/>
      <c r="U220" s="476"/>
      <c r="V220" s="1002"/>
      <c r="W220" s="476"/>
      <c r="X220" s="476"/>
      <c r="Y220" s="476"/>
      <c r="Z220" s="476"/>
      <c r="AA220" s="476"/>
    </row>
    <row r="221" spans="1:27" ht="15" customHeight="1">
      <c r="A221" s="476"/>
      <c r="B221" s="476"/>
      <c r="C221" s="1001"/>
      <c r="D221" s="1002"/>
      <c r="E221" s="476"/>
      <c r="F221" s="1002"/>
      <c r="G221" s="1003"/>
      <c r="H221" s="1002"/>
      <c r="I221" s="1002"/>
      <c r="J221" s="1002"/>
      <c r="K221" s="1002"/>
      <c r="L221" s="1002"/>
      <c r="M221" s="1002"/>
      <c r="N221" s="1002"/>
      <c r="O221" s="476"/>
      <c r="P221" s="1002"/>
      <c r="Q221" s="476"/>
      <c r="R221" s="1002"/>
      <c r="S221" s="1002"/>
      <c r="T221" s="476"/>
      <c r="U221" s="476"/>
      <c r="V221" s="1002"/>
      <c r="W221" s="476"/>
      <c r="X221" s="476"/>
      <c r="Y221" s="476"/>
      <c r="Z221" s="476"/>
      <c r="AA221" s="476"/>
    </row>
    <row r="222" spans="1:27" ht="15" customHeight="1">
      <c r="A222" s="476"/>
      <c r="B222" s="476"/>
      <c r="C222" s="1001"/>
      <c r="D222" s="1002"/>
      <c r="E222" s="476"/>
      <c r="F222" s="1002"/>
      <c r="G222" s="1003"/>
      <c r="H222" s="1002"/>
      <c r="I222" s="1002"/>
      <c r="J222" s="1002"/>
      <c r="K222" s="1002"/>
      <c r="L222" s="1002"/>
      <c r="M222" s="1002"/>
      <c r="N222" s="1002"/>
      <c r="O222" s="476"/>
      <c r="P222" s="1002"/>
      <c r="Q222" s="476"/>
      <c r="R222" s="1002"/>
      <c r="S222" s="1002"/>
      <c r="T222" s="476"/>
      <c r="U222" s="476"/>
      <c r="V222" s="1002"/>
      <c r="W222" s="476"/>
      <c r="X222" s="476"/>
      <c r="Y222" s="476"/>
      <c r="Z222" s="476"/>
      <c r="AA222" s="476"/>
    </row>
    <row r="223" spans="1:27" ht="15" customHeight="1">
      <c r="A223" s="476"/>
      <c r="B223" s="476"/>
      <c r="C223" s="1001"/>
      <c r="D223" s="1002"/>
      <c r="E223" s="476"/>
      <c r="F223" s="1002"/>
      <c r="G223" s="1003"/>
      <c r="H223" s="1002"/>
      <c r="I223" s="1002"/>
      <c r="J223" s="1002"/>
      <c r="K223" s="1002"/>
      <c r="L223" s="1002"/>
      <c r="M223" s="1002"/>
      <c r="N223" s="1002"/>
      <c r="O223" s="476"/>
      <c r="P223" s="1002"/>
      <c r="Q223" s="476"/>
      <c r="R223" s="1002"/>
      <c r="S223" s="1002"/>
      <c r="T223" s="476"/>
      <c r="U223" s="476"/>
      <c r="V223" s="1002"/>
      <c r="W223" s="476"/>
      <c r="X223" s="476"/>
      <c r="Y223" s="476"/>
      <c r="Z223" s="476"/>
      <c r="AA223" s="476"/>
    </row>
    <row r="224" spans="1:27" ht="15" customHeight="1">
      <c r="A224" s="476"/>
      <c r="B224" s="476"/>
      <c r="C224" s="1001"/>
      <c r="D224" s="1002"/>
      <c r="E224" s="476"/>
      <c r="F224" s="1002"/>
      <c r="G224" s="1003"/>
      <c r="H224" s="1002"/>
      <c r="I224" s="1002"/>
      <c r="J224" s="1002"/>
      <c r="K224" s="1002"/>
      <c r="L224" s="1002"/>
      <c r="M224" s="1002"/>
      <c r="N224" s="1002"/>
      <c r="O224" s="476"/>
      <c r="P224" s="1002"/>
      <c r="Q224" s="476"/>
      <c r="R224" s="1002"/>
      <c r="S224" s="1002"/>
      <c r="T224" s="476"/>
      <c r="U224" s="476"/>
      <c r="V224" s="1002"/>
      <c r="W224" s="476"/>
      <c r="X224" s="476"/>
      <c r="Y224" s="476"/>
      <c r="Z224" s="476"/>
      <c r="AA224" s="476"/>
    </row>
    <row r="225" spans="1:27" ht="15" customHeight="1">
      <c r="A225" s="476"/>
      <c r="B225" s="476"/>
      <c r="C225" s="1001"/>
      <c r="D225" s="1002"/>
      <c r="E225" s="476"/>
      <c r="F225" s="1002"/>
      <c r="G225" s="1003"/>
      <c r="H225" s="1002"/>
      <c r="I225" s="1002"/>
      <c r="J225" s="1002"/>
      <c r="K225" s="1002"/>
      <c r="L225" s="1002"/>
      <c r="M225" s="1002"/>
      <c r="N225" s="1002"/>
      <c r="O225" s="476"/>
      <c r="P225" s="1002"/>
      <c r="Q225" s="476"/>
      <c r="R225" s="1002"/>
      <c r="S225" s="1002"/>
      <c r="T225" s="476"/>
      <c r="U225" s="476"/>
      <c r="V225" s="1002"/>
      <c r="W225" s="476"/>
      <c r="X225" s="476"/>
      <c r="Y225" s="476"/>
      <c r="Z225" s="476"/>
      <c r="AA225" s="476"/>
    </row>
    <row r="226" spans="1:27" ht="15" customHeight="1">
      <c r="A226" s="476"/>
      <c r="B226" s="476"/>
      <c r="C226" s="1001"/>
      <c r="D226" s="1002"/>
      <c r="E226" s="476"/>
      <c r="F226" s="1002"/>
      <c r="G226" s="1003"/>
      <c r="H226" s="1002"/>
      <c r="I226" s="1002"/>
      <c r="J226" s="1002"/>
      <c r="K226" s="1002"/>
      <c r="L226" s="1002"/>
      <c r="M226" s="1002"/>
      <c r="N226" s="1002"/>
      <c r="O226" s="476"/>
      <c r="P226" s="1002"/>
      <c r="Q226" s="476"/>
      <c r="R226" s="1002"/>
      <c r="S226" s="1002"/>
      <c r="T226" s="476"/>
      <c r="U226" s="476"/>
      <c r="V226" s="1002"/>
      <c r="W226" s="476"/>
      <c r="X226" s="476"/>
      <c r="Y226" s="476"/>
      <c r="Z226" s="476"/>
      <c r="AA226" s="476"/>
    </row>
    <row r="227" spans="1:27" ht="15" customHeight="1">
      <c r="A227" s="476"/>
      <c r="B227" s="476"/>
      <c r="C227" s="1001"/>
      <c r="D227" s="1002"/>
      <c r="E227" s="476"/>
      <c r="F227" s="1002"/>
      <c r="G227" s="1003"/>
      <c r="H227" s="1002"/>
      <c r="I227" s="1002"/>
      <c r="J227" s="1002"/>
      <c r="K227" s="1002"/>
      <c r="L227" s="1002"/>
      <c r="M227" s="1002"/>
      <c r="N227" s="1002"/>
      <c r="O227" s="476"/>
      <c r="P227" s="1002"/>
      <c r="Q227" s="476"/>
      <c r="R227" s="1002"/>
      <c r="S227" s="1002"/>
      <c r="T227" s="476"/>
      <c r="U227" s="476"/>
      <c r="V227" s="1002"/>
      <c r="W227" s="476"/>
      <c r="X227" s="476"/>
      <c r="Y227" s="476"/>
      <c r="Z227" s="476"/>
      <c r="AA227" s="476"/>
    </row>
    <row r="228" spans="1:27" ht="15" customHeight="1">
      <c r="A228" s="476"/>
      <c r="B228" s="476"/>
      <c r="C228" s="1001"/>
      <c r="D228" s="1002"/>
      <c r="E228" s="476"/>
      <c r="F228" s="1002"/>
      <c r="G228" s="1003"/>
      <c r="H228" s="1002"/>
      <c r="I228" s="1002"/>
      <c r="J228" s="1002"/>
      <c r="K228" s="1002"/>
      <c r="L228" s="1002"/>
      <c r="M228" s="1002"/>
      <c r="N228" s="1002"/>
      <c r="O228" s="476"/>
      <c r="P228" s="1002"/>
      <c r="Q228" s="476"/>
      <c r="R228" s="1002"/>
      <c r="S228" s="1002"/>
      <c r="T228" s="476"/>
      <c r="U228" s="476"/>
      <c r="V228" s="1002"/>
      <c r="W228" s="476"/>
      <c r="X228" s="476"/>
      <c r="Y228" s="476"/>
      <c r="Z228" s="476"/>
      <c r="AA228" s="476"/>
    </row>
    <row r="229" spans="1:27" ht="15" customHeight="1">
      <c r="A229" s="476"/>
      <c r="B229" s="476"/>
      <c r="C229" s="1001"/>
      <c r="D229" s="1002"/>
      <c r="E229" s="476"/>
      <c r="F229" s="1002"/>
      <c r="G229" s="1003"/>
      <c r="H229" s="1002"/>
      <c r="I229" s="1002"/>
      <c r="J229" s="1002"/>
      <c r="K229" s="1002"/>
      <c r="L229" s="1002"/>
      <c r="M229" s="1002"/>
      <c r="N229" s="1002"/>
      <c r="O229" s="476"/>
      <c r="P229" s="1002"/>
      <c r="Q229" s="476"/>
      <c r="R229" s="1002"/>
      <c r="S229" s="1002"/>
      <c r="T229" s="476"/>
      <c r="U229" s="476"/>
      <c r="V229" s="1002"/>
      <c r="W229" s="476"/>
      <c r="X229" s="476"/>
      <c r="Y229" s="476"/>
      <c r="Z229" s="476"/>
      <c r="AA229" s="476"/>
    </row>
    <row r="230" spans="1:27" ht="15" customHeight="1">
      <c r="A230" s="476"/>
      <c r="B230" s="476"/>
      <c r="C230" s="1001"/>
      <c r="D230" s="1002"/>
      <c r="E230" s="476"/>
      <c r="F230" s="1002"/>
      <c r="G230" s="1003"/>
      <c r="H230" s="1002"/>
      <c r="I230" s="1002"/>
      <c r="J230" s="1002"/>
      <c r="K230" s="1002"/>
      <c r="L230" s="1002"/>
      <c r="M230" s="1002"/>
      <c r="N230" s="1002"/>
      <c r="O230" s="476"/>
      <c r="P230" s="1002"/>
      <c r="Q230" s="476"/>
      <c r="R230" s="1002"/>
      <c r="S230" s="1002"/>
      <c r="T230" s="476"/>
      <c r="U230" s="476"/>
      <c r="V230" s="1002"/>
      <c r="W230" s="476"/>
      <c r="X230" s="476"/>
      <c r="Y230" s="476"/>
      <c r="Z230" s="476"/>
      <c r="AA230" s="476"/>
    </row>
    <row r="231" spans="1:27" ht="15" customHeight="1">
      <c r="A231" s="476"/>
      <c r="B231" s="476"/>
      <c r="C231" s="1001"/>
      <c r="D231" s="1002"/>
      <c r="E231" s="476"/>
      <c r="F231" s="1002"/>
      <c r="G231" s="1003"/>
      <c r="H231" s="1002"/>
      <c r="I231" s="1002"/>
      <c r="J231" s="1002"/>
      <c r="K231" s="1002"/>
      <c r="L231" s="1002"/>
      <c r="M231" s="1002"/>
      <c r="N231" s="1002"/>
      <c r="O231" s="476"/>
      <c r="P231" s="1002"/>
      <c r="Q231" s="476"/>
      <c r="R231" s="1002"/>
      <c r="S231" s="1002"/>
      <c r="T231" s="476"/>
      <c r="U231" s="476"/>
      <c r="V231" s="1002"/>
      <c r="W231" s="476"/>
      <c r="X231" s="476"/>
      <c r="Y231" s="476"/>
      <c r="Z231" s="476"/>
      <c r="AA231" s="476"/>
    </row>
    <row r="232" spans="1:27" ht="15" customHeight="1">
      <c r="A232" s="476"/>
      <c r="B232" s="476"/>
      <c r="C232" s="1001"/>
      <c r="D232" s="1002"/>
      <c r="E232" s="476"/>
      <c r="F232" s="1002"/>
      <c r="G232" s="1003"/>
      <c r="H232" s="1002"/>
      <c r="I232" s="1002"/>
      <c r="J232" s="1002"/>
      <c r="K232" s="1002"/>
      <c r="L232" s="1002"/>
      <c r="M232" s="1002"/>
      <c r="N232" s="1002"/>
      <c r="O232" s="476"/>
      <c r="P232" s="1002"/>
      <c r="Q232" s="476"/>
      <c r="R232" s="1002"/>
      <c r="S232" s="1002"/>
      <c r="T232" s="476"/>
      <c r="U232" s="476"/>
      <c r="V232" s="1002"/>
      <c r="W232" s="476"/>
      <c r="X232" s="476"/>
      <c r="Y232" s="476"/>
      <c r="Z232" s="476"/>
      <c r="AA232" s="476"/>
    </row>
    <row r="233" spans="1:27" ht="15" customHeight="1">
      <c r="A233" s="476"/>
      <c r="B233" s="476"/>
      <c r="C233" s="1001"/>
      <c r="D233" s="1002"/>
      <c r="E233" s="476"/>
      <c r="F233" s="1002"/>
      <c r="G233" s="1003"/>
      <c r="H233" s="1002"/>
      <c r="I233" s="1002"/>
      <c r="J233" s="1002"/>
      <c r="K233" s="1002"/>
      <c r="L233" s="1002"/>
      <c r="M233" s="1002"/>
      <c r="N233" s="1002"/>
      <c r="O233" s="476"/>
      <c r="P233" s="1002"/>
      <c r="Q233" s="476"/>
      <c r="R233" s="1002"/>
      <c r="S233" s="1002"/>
      <c r="T233" s="476"/>
      <c r="U233" s="476"/>
      <c r="V233" s="1002"/>
      <c r="W233" s="476"/>
      <c r="X233" s="476"/>
      <c r="Y233" s="476"/>
      <c r="Z233" s="476"/>
      <c r="AA233" s="476"/>
    </row>
    <row r="234" spans="1:27" ht="15" customHeight="1">
      <c r="A234" s="476"/>
      <c r="B234" s="476"/>
      <c r="C234" s="1001"/>
      <c r="D234" s="1002"/>
      <c r="E234" s="476"/>
      <c r="F234" s="1002"/>
      <c r="G234" s="1003"/>
      <c r="H234" s="1002"/>
      <c r="I234" s="1002"/>
      <c r="J234" s="1002"/>
      <c r="K234" s="1002"/>
      <c r="L234" s="1002"/>
      <c r="M234" s="1002"/>
      <c r="N234" s="1002"/>
      <c r="O234" s="476"/>
      <c r="P234" s="1002"/>
      <c r="Q234" s="476"/>
      <c r="R234" s="1002"/>
      <c r="S234" s="1002"/>
      <c r="T234" s="476"/>
      <c r="U234" s="476"/>
      <c r="V234" s="1002"/>
      <c r="W234" s="476"/>
      <c r="X234" s="476"/>
      <c r="Y234" s="476"/>
      <c r="Z234" s="476"/>
      <c r="AA234" s="476"/>
    </row>
    <row r="235" spans="1:27" ht="15" customHeight="1">
      <c r="A235" s="476"/>
      <c r="B235" s="476"/>
      <c r="C235" s="1001"/>
      <c r="D235" s="1002"/>
      <c r="E235" s="476"/>
      <c r="F235" s="1002"/>
      <c r="G235" s="1003"/>
      <c r="H235" s="1002"/>
      <c r="I235" s="1002"/>
      <c r="J235" s="1002"/>
      <c r="K235" s="1002"/>
      <c r="L235" s="1002"/>
      <c r="M235" s="1002"/>
      <c r="N235" s="1002"/>
      <c r="O235" s="476"/>
      <c r="P235" s="1002"/>
      <c r="Q235" s="476"/>
      <c r="R235" s="1002"/>
      <c r="S235" s="1002"/>
      <c r="T235" s="476"/>
      <c r="U235" s="476"/>
      <c r="V235" s="1002"/>
      <c r="W235" s="476"/>
      <c r="X235" s="476"/>
      <c r="Y235" s="476"/>
      <c r="Z235" s="476"/>
      <c r="AA235" s="476"/>
    </row>
    <row r="236" spans="1:27" ht="15" customHeight="1">
      <c r="A236" s="476"/>
      <c r="B236" s="476"/>
      <c r="C236" s="1001"/>
      <c r="D236" s="1002"/>
      <c r="E236" s="476"/>
      <c r="F236" s="1002"/>
      <c r="G236" s="1003"/>
      <c r="H236" s="1002"/>
      <c r="I236" s="1002"/>
      <c r="J236" s="1002"/>
      <c r="K236" s="1002"/>
      <c r="L236" s="1002"/>
      <c r="M236" s="1002"/>
      <c r="N236" s="1002"/>
      <c r="O236" s="476"/>
      <c r="P236" s="1002"/>
      <c r="Q236" s="476"/>
      <c r="R236" s="1002"/>
      <c r="S236" s="1002"/>
      <c r="T236" s="476"/>
      <c r="U236" s="476"/>
      <c r="V236" s="1002"/>
      <c r="W236" s="476"/>
      <c r="X236" s="476"/>
      <c r="Y236" s="476"/>
      <c r="Z236" s="476"/>
      <c r="AA236" s="476"/>
    </row>
    <row r="237" spans="1:27" ht="15" customHeight="1">
      <c r="A237" s="476"/>
      <c r="B237" s="476"/>
      <c r="C237" s="1001"/>
      <c r="D237" s="1002"/>
      <c r="E237" s="476"/>
      <c r="F237" s="1002"/>
      <c r="G237" s="1003"/>
      <c r="H237" s="1002"/>
      <c r="I237" s="1002"/>
      <c r="J237" s="1002"/>
      <c r="K237" s="1002"/>
      <c r="L237" s="1002"/>
      <c r="M237" s="1002"/>
      <c r="N237" s="1002"/>
      <c r="O237" s="476"/>
      <c r="P237" s="1002"/>
      <c r="Q237" s="476"/>
      <c r="R237" s="1002"/>
      <c r="S237" s="1002"/>
      <c r="T237" s="476"/>
      <c r="U237" s="476"/>
      <c r="V237" s="1002"/>
      <c r="W237" s="476"/>
      <c r="X237" s="476"/>
      <c r="Y237" s="476"/>
      <c r="Z237" s="476"/>
      <c r="AA237" s="476"/>
    </row>
    <row r="238" spans="1:27" ht="15" customHeight="1">
      <c r="A238" s="476"/>
      <c r="B238" s="476"/>
      <c r="C238" s="1001"/>
      <c r="D238" s="1002"/>
      <c r="E238" s="476"/>
      <c r="F238" s="1002"/>
      <c r="G238" s="1003"/>
      <c r="H238" s="1002"/>
      <c r="I238" s="1002"/>
      <c r="J238" s="1002"/>
      <c r="K238" s="1002"/>
      <c r="L238" s="1002"/>
      <c r="M238" s="1002"/>
      <c r="N238" s="1002"/>
      <c r="O238" s="476"/>
      <c r="P238" s="1002"/>
      <c r="Q238" s="476"/>
      <c r="R238" s="1002"/>
      <c r="S238" s="1002"/>
      <c r="T238" s="476"/>
      <c r="U238" s="476"/>
      <c r="V238" s="1002"/>
      <c r="W238" s="476"/>
      <c r="X238" s="476"/>
      <c r="Y238" s="476"/>
      <c r="Z238" s="476"/>
      <c r="AA238" s="476"/>
    </row>
    <row r="239" spans="1:27" ht="15" customHeight="1">
      <c r="A239" s="476"/>
      <c r="B239" s="476"/>
      <c r="C239" s="1001"/>
      <c r="D239" s="1002"/>
      <c r="E239" s="476"/>
      <c r="F239" s="1002"/>
      <c r="G239" s="1003"/>
      <c r="H239" s="1002"/>
      <c r="I239" s="1002"/>
      <c r="J239" s="1002"/>
      <c r="K239" s="1002"/>
      <c r="L239" s="1002"/>
      <c r="M239" s="1002"/>
      <c r="N239" s="1002"/>
      <c r="O239" s="476"/>
      <c r="P239" s="1002"/>
      <c r="Q239" s="476"/>
      <c r="R239" s="1002"/>
      <c r="S239" s="1002"/>
      <c r="T239" s="476"/>
      <c r="U239" s="476"/>
      <c r="V239" s="1002"/>
      <c r="W239" s="476"/>
      <c r="X239" s="476"/>
      <c r="Y239" s="476"/>
      <c r="Z239" s="476"/>
      <c r="AA239" s="476"/>
    </row>
    <row r="240" spans="1:27" ht="15" customHeight="1">
      <c r="A240" s="476"/>
      <c r="B240" s="476"/>
      <c r="C240" s="1001"/>
      <c r="D240" s="1002"/>
      <c r="E240" s="476"/>
      <c r="F240" s="1002"/>
      <c r="G240" s="1003"/>
      <c r="H240" s="1002"/>
      <c r="I240" s="1002"/>
      <c r="J240" s="1002"/>
      <c r="K240" s="1002"/>
      <c r="L240" s="1002"/>
      <c r="M240" s="1002"/>
      <c r="N240" s="1002"/>
      <c r="O240" s="476"/>
      <c r="P240" s="1002"/>
      <c r="Q240" s="476"/>
      <c r="R240" s="1002"/>
      <c r="S240" s="1002"/>
      <c r="T240" s="476"/>
      <c r="U240" s="476"/>
      <c r="V240" s="1002"/>
      <c r="W240" s="476"/>
      <c r="X240" s="476"/>
      <c r="Y240" s="476"/>
      <c r="Z240" s="476"/>
      <c r="AA240" s="476"/>
    </row>
    <row r="241" spans="1:27" ht="15" customHeight="1">
      <c r="A241" s="476"/>
      <c r="B241" s="476"/>
      <c r="C241" s="1001"/>
      <c r="D241" s="1002"/>
      <c r="E241" s="476"/>
      <c r="F241" s="1002"/>
      <c r="G241" s="1003"/>
      <c r="H241" s="1002"/>
      <c r="I241" s="1002"/>
      <c r="J241" s="1002"/>
      <c r="K241" s="1002"/>
      <c r="L241" s="1002"/>
      <c r="M241" s="1002"/>
      <c r="N241" s="1002"/>
      <c r="O241" s="476"/>
      <c r="P241" s="1002"/>
      <c r="Q241" s="476"/>
      <c r="R241" s="1002"/>
      <c r="S241" s="1002"/>
      <c r="T241" s="476"/>
      <c r="U241" s="476"/>
      <c r="V241" s="1002"/>
      <c r="W241" s="476"/>
      <c r="X241" s="476"/>
      <c r="Y241" s="476"/>
      <c r="Z241" s="476"/>
      <c r="AA241" s="476"/>
    </row>
    <row r="242" spans="1:27" ht="15" customHeight="1">
      <c r="A242" s="476"/>
      <c r="B242" s="476"/>
      <c r="C242" s="1001"/>
      <c r="D242" s="1002"/>
      <c r="E242" s="476"/>
      <c r="F242" s="1002"/>
      <c r="G242" s="1003"/>
      <c r="H242" s="1002"/>
      <c r="I242" s="1002"/>
      <c r="J242" s="1002"/>
      <c r="K242" s="1002"/>
      <c r="L242" s="1002"/>
      <c r="M242" s="1002"/>
      <c r="N242" s="1002"/>
      <c r="O242" s="476"/>
      <c r="P242" s="1002"/>
      <c r="Q242" s="476"/>
      <c r="R242" s="1002"/>
      <c r="S242" s="1002"/>
      <c r="T242" s="476"/>
      <c r="U242" s="476"/>
      <c r="V242" s="1002"/>
      <c r="W242" s="476"/>
      <c r="X242" s="476"/>
      <c r="Y242" s="476"/>
      <c r="Z242" s="476"/>
      <c r="AA242" s="476"/>
    </row>
    <row r="243" spans="1:27" ht="15" customHeight="1">
      <c r="A243" s="476"/>
      <c r="B243" s="476"/>
      <c r="C243" s="1001"/>
      <c r="D243" s="1002"/>
      <c r="E243" s="476"/>
      <c r="F243" s="1002"/>
      <c r="G243" s="1003"/>
      <c r="H243" s="1002"/>
      <c r="I243" s="1002"/>
      <c r="J243" s="1002"/>
      <c r="K243" s="1002"/>
      <c r="L243" s="1002"/>
      <c r="M243" s="1002"/>
      <c r="N243" s="1002"/>
      <c r="O243" s="476"/>
      <c r="P243" s="1002"/>
      <c r="Q243" s="476"/>
      <c r="R243" s="1002"/>
      <c r="S243" s="1002"/>
      <c r="T243" s="476"/>
      <c r="U243" s="476"/>
      <c r="V243" s="1002"/>
      <c r="W243" s="476"/>
      <c r="X243" s="476"/>
      <c r="Y243" s="476"/>
      <c r="Z243" s="476"/>
      <c r="AA243" s="476"/>
    </row>
    <row r="244" spans="1:27" ht="15" customHeight="1">
      <c r="A244" s="476"/>
      <c r="B244" s="476"/>
      <c r="C244" s="1001"/>
      <c r="D244" s="1002"/>
      <c r="E244" s="476"/>
      <c r="F244" s="1002"/>
      <c r="G244" s="1003"/>
      <c r="H244" s="1002"/>
      <c r="I244" s="1002"/>
      <c r="J244" s="1002"/>
      <c r="K244" s="1002"/>
      <c r="L244" s="1002"/>
      <c r="M244" s="1002"/>
      <c r="N244" s="1002"/>
      <c r="O244" s="476"/>
      <c r="P244" s="1002"/>
      <c r="Q244" s="476"/>
      <c r="R244" s="1002"/>
      <c r="S244" s="1002"/>
      <c r="T244" s="476"/>
      <c r="U244" s="476"/>
      <c r="V244" s="1002"/>
      <c r="W244" s="476"/>
      <c r="X244" s="476"/>
      <c r="Y244" s="476"/>
      <c r="Z244" s="476"/>
      <c r="AA244" s="476"/>
    </row>
    <row r="245" spans="1:27" ht="15" customHeight="1">
      <c r="A245" s="476"/>
      <c r="B245" s="476"/>
      <c r="C245" s="1001"/>
      <c r="D245" s="1002"/>
      <c r="E245" s="476"/>
      <c r="F245" s="1002"/>
      <c r="G245" s="1003"/>
      <c r="H245" s="1002"/>
      <c r="I245" s="1002"/>
      <c r="J245" s="1002"/>
      <c r="K245" s="1002"/>
      <c r="L245" s="1002"/>
      <c r="M245" s="1002"/>
      <c r="N245" s="1002"/>
      <c r="O245" s="476"/>
      <c r="P245" s="1002"/>
      <c r="Q245" s="476"/>
      <c r="R245" s="1002"/>
      <c r="S245" s="1002"/>
      <c r="T245" s="476"/>
      <c r="U245" s="476"/>
      <c r="V245" s="1002"/>
      <c r="W245" s="476"/>
      <c r="X245" s="476"/>
      <c r="Y245" s="476"/>
      <c r="Z245" s="476"/>
      <c r="AA245" s="476"/>
    </row>
    <row r="246" spans="1:27" ht="15" customHeight="1">
      <c r="A246" s="476"/>
      <c r="B246" s="476"/>
      <c r="C246" s="1001"/>
      <c r="D246" s="1002"/>
      <c r="E246" s="476"/>
      <c r="F246" s="1002"/>
      <c r="G246" s="1003"/>
      <c r="H246" s="1002"/>
      <c r="I246" s="1002"/>
      <c r="J246" s="1002"/>
      <c r="K246" s="1002"/>
      <c r="L246" s="1002"/>
      <c r="M246" s="1002"/>
      <c r="N246" s="1002"/>
      <c r="O246" s="476"/>
      <c r="P246" s="1002"/>
      <c r="Q246" s="476"/>
      <c r="R246" s="1002"/>
      <c r="S246" s="1002"/>
      <c r="T246" s="476"/>
      <c r="U246" s="476"/>
      <c r="V246" s="1002"/>
      <c r="W246" s="476"/>
      <c r="X246" s="476"/>
      <c r="Y246" s="476"/>
      <c r="Z246" s="476"/>
      <c r="AA246" s="476"/>
    </row>
    <row r="247" spans="1:27" ht="15" customHeight="1">
      <c r="A247" s="476"/>
      <c r="B247" s="476"/>
      <c r="C247" s="1001"/>
      <c r="D247" s="1002"/>
      <c r="E247" s="476"/>
      <c r="F247" s="1002"/>
      <c r="G247" s="1003"/>
      <c r="H247" s="1002"/>
      <c r="I247" s="1002"/>
      <c r="J247" s="1002"/>
      <c r="K247" s="1002"/>
      <c r="L247" s="1002"/>
      <c r="M247" s="1002"/>
      <c r="N247" s="1002"/>
      <c r="O247" s="476"/>
      <c r="P247" s="1002"/>
      <c r="Q247" s="476"/>
      <c r="R247" s="1002"/>
      <c r="S247" s="1002"/>
      <c r="T247" s="476"/>
      <c r="U247" s="476"/>
      <c r="V247" s="1002"/>
      <c r="W247" s="476"/>
      <c r="X247" s="476"/>
      <c r="Y247" s="476"/>
      <c r="Z247" s="476"/>
      <c r="AA247" s="476"/>
    </row>
    <row r="248" spans="1:27" ht="15" customHeight="1">
      <c r="A248" s="476"/>
      <c r="B248" s="476"/>
      <c r="C248" s="1001"/>
      <c r="D248" s="1002"/>
      <c r="E248" s="476"/>
      <c r="F248" s="1002"/>
      <c r="G248" s="1003"/>
      <c r="H248" s="1002"/>
      <c r="I248" s="1002"/>
      <c r="J248" s="1002"/>
      <c r="K248" s="1002"/>
      <c r="L248" s="1002"/>
      <c r="M248" s="1002"/>
      <c r="N248" s="1002"/>
      <c r="O248" s="476"/>
      <c r="P248" s="1002"/>
      <c r="Q248" s="476"/>
      <c r="R248" s="1002"/>
      <c r="S248" s="1002"/>
      <c r="T248" s="476"/>
      <c r="U248" s="476"/>
      <c r="V248" s="1002"/>
      <c r="W248" s="476"/>
      <c r="X248" s="476"/>
      <c r="Y248" s="476"/>
      <c r="Z248" s="476"/>
      <c r="AA248" s="476"/>
    </row>
    <row r="249" spans="1:27" ht="15" customHeight="1">
      <c r="A249" s="476"/>
      <c r="B249" s="476"/>
      <c r="C249" s="1001"/>
      <c r="D249" s="1002"/>
      <c r="E249" s="476"/>
      <c r="F249" s="1002"/>
      <c r="G249" s="1003"/>
      <c r="H249" s="1002"/>
      <c r="I249" s="1002"/>
      <c r="J249" s="1002"/>
      <c r="K249" s="1002"/>
      <c r="L249" s="1002"/>
      <c r="M249" s="1002"/>
      <c r="N249" s="1002"/>
      <c r="O249" s="476"/>
      <c r="P249" s="1002"/>
      <c r="Q249" s="476"/>
      <c r="R249" s="1002"/>
      <c r="S249" s="1002"/>
      <c r="T249" s="476"/>
      <c r="U249" s="476"/>
      <c r="V249" s="1002"/>
      <c r="W249" s="476"/>
      <c r="X249" s="476"/>
      <c r="Y249" s="476"/>
      <c r="Z249" s="476"/>
      <c r="AA249" s="476"/>
    </row>
    <row r="250" spans="1:27" ht="15" customHeight="1">
      <c r="A250" s="476"/>
      <c r="B250" s="476"/>
      <c r="C250" s="1001"/>
      <c r="D250" s="1002"/>
      <c r="E250" s="476"/>
      <c r="F250" s="1002"/>
      <c r="G250" s="1003"/>
      <c r="H250" s="1002"/>
      <c r="I250" s="1002"/>
      <c r="J250" s="1002"/>
      <c r="K250" s="1002"/>
      <c r="L250" s="1002"/>
      <c r="M250" s="1002"/>
      <c r="N250" s="1002"/>
      <c r="O250" s="476"/>
      <c r="P250" s="1002"/>
      <c r="Q250" s="476"/>
      <c r="R250" s="1002"/>
      <c r="S250" s="1002"/>
      <c r="T250" s="476"/>
      <c r="U250" s="476"/>
      <c r="V250" s="1002"/>
      <c r="W250" s="476"/>
      <c r="X250" s="476"/>
      <c r="Y250" s="476"/>
      <c r="Z250" s="476"/>
      <c r="AA250" s="476"/>
    </row>
    <row r="251" spans="1:27" ht="15" customHeight="1">
      <c r="A251" s="476"/>
      <c r="B251" s="476"/>
      <c r="C251" s="1001"/>
      <c r="D251" s="1002"/>
      <c r="E251" s="476"/>
      <c r="F251" s="1002"/>
      <c r="G251" s="1003"/>
      <c r="H251" s="1002"/>
      <c r="I251" s="1002"/>
      <c r="J251" s="1002"/>
      <c r="K251" s="1002"/>
      <c r="L251" s="1002"/>
      <c r="M251" s="1002"/>
      <c r="N251" s="1002"/>
      <c r="O251" s="476"/>
      <c r="P251" s="1002"/>
      <c r="Q251" s="476"/>
      <c r="R251" s="1002"/>
      <c r="S251" s="1002"/>
      <c r="T251" s="476"/>
      <c r="U251" s="476"/>
      <c r="V251" s="1002"/>
      <c r="W251" s="476"/>
      <c r="X251" s="476"/>
      <c r="Y251" s="476"/>
      <c r="Z251" s="476"/>
      <c r="AA251" s="476"/>
    </row>
    <row r="252" spans="1:27" ht="15" customHeight="1">
      <c r="A252" s="476"/>
      <c r="B252" s="476"/>
      <c r="C252" s="1001"/>
      <c r="D252" s="1002"/>
      <c r="E252" s="476"/>
      <c r="F252" s="1002"/>
      <c r="G252" s="1003"/>
      <c r="H252" s="1002"/>
      <c r="I252" s="1002"/>
      <c r="J252" s="1002"/>
      <c r="K252" s="1002"/>
      <c r="L252" s="1002"/>
      <c r="M252" s="1002"/>
      <c r="N252" s="1002"/>
      <c r="O252" s="476"/>
      <c r="P252" s="1002"/>
      <c r="Q252" s="476"/>
      <c r="R252" s="1002"/>
      <c r="S252" s="1002"/>
      <c r="T252" s="476"/>
      <c r="U252" s="476"/>
      <c r="V252" s="1002"/>
      <c r="W252" s="476"/>
      <c r="X252" s="476"/>
      <c r="Y252" s="476"/>
      <c r="Z252" s="476"/>
      <c r="AA252" s="476"/>
    </row>
    <row r="253" spans="1:27" ht="15" customHeight="1">
      <c r="A253" s="476"/>
      <c r="B253" s="476"/>
      <c r="C253" s="1001"/>
      <c r="D253" s="1002"/>
      <c r="E253" s="476"/>
      <c r="F253" s="1002"/>
      <c r="G253" s="1003"/>
      <c r="H253" s="1002"/>
      <c r="I253" s="1002"/>
      <c r="J253" s="1002"/>
      <c r="K253" s="1002"/>
      <c r="L253" s="1002"/>
      <c r="M253" s="1002"/>
      <c r="N253" s="1002"/>
      <c r="O253" s="476"/>
      <c r="P253" s="1002"/>
      <c r="Q253" s="476"/>
      <c r="R253" s="1002"/>
      <c r="S253" s="1002"/>
      <c r="T253" s="476"/>
      <c r="U253" s="476"/>
      <c r="V253" s="1002"/>
      <c r="W253" s="476"/>
      <c r="X253" s="476"/>
      <c r="Y253" s="476"/>
      <c r="Z253" s="476"/>
      <c r="AA253" s="476"/>
    </row>
    <row r="254" spans="1:27" ht="15" customHeight="1">
      <c r="A254" s="476"/>
      <c r="B254" s="476"/>
      <c r="C254" s="1001"/>
      <c r="D254" s="1002"/>
      <c r="E254" s="476"/>
      <c r="F254" s="1002"/>
      <c r="G254" s="1003"/>
      <c r="H254" s="1002"/>
      <c r="I254" s="1002"/>
      <c r="J254" s="1002"/>
      <c r="K254" s="1002"/>
      <c r="L254" s="1002"/>
      <c r="M254" s="1002"/>
      <c r="N254" s="1002"/>
      <c r="O254" s="476"/>
      <c r="P254" s="1002"/>
      <c r="Q254" s="476"/>
      <c r="R254" s="1002"/>
      <c r="S254" s="1002"/>
      <c r="T254" s="476"/>
      <c r="U254" s="476"/>
      <c r="V254" s="1002"/>
      <c r="W254" s="476"/>
      <c r="X254" s="476"/>
      <c r="Y254" s="476"/>
      <c r="Z254" s="476"/>
      <c r="AA254" s="476"/>
    </row>
    <row r="255" spans="1:27" ht="15" customHeight="1">
      <c r="A255" s="476"/>
      <c r="B255" s="476"/>
      <c r="C255" s="1001"/>
      <c r="D255" s="1002"/>
      <c r="E255" s="476"/>
      <c r="F255" s="1002"/>
      <c r="G255" s="1003"/>
      <c r="H255" s="1002"/>
      <c r="I255" s="1002"/>
      <c r="J255" s="1002"/>
      <c r="K255" s="1002"/>
      <c r="L255" s="1002"/>
      <c r="M255" s="1002"/>
      <c r="N255" s="1002"/>
      <c r="O255" s="476"/>
      <c r="P255" s="1002"/>
      <c r="Q255" s="476"/>
      <c r="R255" s="1002"/>
      <c r="S255" s="1002"/>
      <c r="T255" s="476"/>
      <c r="U255" s="476"/>
      <c r="V255" s="1002"/>
      <c r="W255" s="476"/>
      <c r="X255" s="476"/>
      <c r="Y255" s="476"/>
      <c r="Z255" s="476"/>
      <c r="AA255" s="476"/>
    </row>
    <row r="256" spans="1:27" ht="15" customHeight="1">
      <c r="A256" s="476"/>
      <c r="B256" s="476"/>
      <c r="C256" s="1001"/>
      <c r="D256" s="1002"/>
      <c r="E256" s="476"/>
      <c r="F256" s="1002"/>
      <c r="G256" s="1003"/>
      <c r="H256" s="1002"/>
      <c r="I256" s="1002"/>
      <c r="J256" s="1002"/>
      <c r="K256" s="1002"/>
      <c r="L256" s="1002"/>
      <c r="M256" s="1002"/>
      <c r="N256" s="1002"/>
      <c r="O256" s="476"/>
      <c r="P256" s="1002"/>
      <c r="Q256" s="476"/>
      <c r="R256" s="1002"/>
      <c r="S256" s="1002"/>
      <c r="T256" s="476"/>
      <c r="U256" s="476"/>
      <c r="V256" s="1002"/>
      <c r="W256" s="476"/>
      <c r="X256" s="476"/>
      <c r="Y256" s="476"/>
      <c r="Z256" s="476"/>
      <c r="AA256" s="476"/>
    </row>
    <row r="257" spans="1:27" ht="15" customHeight="1">
      <c r="A257" s="476"/>
      <c r="B257" s="476"/>
      <c r="C257" s="1001"/>
      <c r="D257" s="1002"/>
      <c r="E257" s="476"/>
      <c r="F257" s="1002"/>
      <c r="G257" s="1003"/>
      <c r="H257" s="1002"/>
      <c r="I257" s="1002"/>
      <c r="J257" s="1002"/>
      <c r="K257" s="1002"/>
      <c r="L257" s="1002"/>
      <c r="M257" s="1002"/>
      <c r="N257" s="1002"/>
      <c r="O257" s="476"/>
      <c r="P257" s="1002"/>
      <c r="Q257" s="476"/>
      <c r="R257" s="1002"/>
      <c r="S257" s="1002"/>
      <c r="T257" s="476"/>
      <c r="U257" s="476"/>
      <c r="V257" s="1002"/>
      <c r="W257" s="476"/>
      <c r="X257" s="476"/>
      <c r="Y257" s="476"/>
      <c r="Z257" s="476"/>
      <c r="AA257" s="476"/>
    </row>
    <row r="258" spans="1:27" ht="15" customHeight="1">
      <c r="A258" s="476"/>
      <c r="B258" s="476"/>
      <c r="C258" s="1001"/>
      <c r="D258" s="1002"/>
      <c r="E258" s="476"/>
      <c r="F258" s="1002"/>
      <c r="G258" s="1003"/>
      <c r="H258" s="1002"/>
      <c r="I258" s="1002"/>
      <c r="J258" s="1002"/>
      <c r="K258" s="1002"/>
      <c r="L258" s="1002"/>
      <c r="M258" s="1002"/>
      <c r="N258" s="1002"/>
      <c r="O258" s="476"/>
      <c r="P258" s="1002"/>
      <c r="Q258" s="476"/>
      <c r="R258" s="1002"/>
      <c r="S258" s="1002"/>
      <c r="T258" s="476"/>
      <c r="U258" s="476"/>
      <c r="V258" s="1002"/>
      <c r="W258" s="476"/>
      <c r="X258" s="476"/>
      <c r="Y258" s="476"/>
      <c r="Z258" s="476"/>
      <c r="AA258" s="476"/>
    </row>
    <row r="259" spans="1:27" ht="15" customHeight="1">
      <c r="A259" s="476"/>
      <c r="B259" s="476"/>
      <c r="C259" s="1001"/>
      <c r="D259" s="1002"/>
      <c r="E259" s="476"/>
      <c r="F259" s="1002"/>
      <c r="G259" s="1003"/>
      <c r="H259" s="1002"/>
      <c r="I259" s="1002"/>
      <c r="J259" s="1002"/>
      <c r="K259" s="1002"/>
      <c r="L259" s="1002"/>
      <c r="M259" s="1002"/>
      <c r="N259" s="1002"/>
      <c r="O259" s="476"/>
      <c r="P259" s="1002"/>
      <c r="Q259" s="476"/>
      <c r="R259" s="1002"/>
      <c r="S259" s="1002"/>
      <c r="T259" s="476"/>
      <c r="U259" s="476"/>
      <c r="V259" s="1002"/>
      <c r="W259" s="476"/>
      <c r="X259" s="476"/>
      <c r="Y259" s="476"/>
      <c r="Z259" s="476"/>
      <c r="AA259" s="476"/>
    </row>
    <row r="260" spans="1:27" ht="15" customHeight="1">
      <c r="A260" s="476"/>
      <c r="B260" s="476"/>
      <c r="C260" s="1001"/>
      <c r="D260" s="1002"/>
      <c r="E260" s="476"/>
      <c r="F260" s="1002"/>
      <c r="G260" s="1003"/>
      <c r="H260" s="1002"/>
      <c r="I260" s="1002"/>
      <c r="J260" s="1002"/>
      <c r="K260" s="1002"/>
      <c r="L260" s="1002"/>
      <c r="M260" s="1002"/>
      <c r="N260" s="1002"/>
      <c r="O260" s="476"/>
      <c r="P260" s="1002"/>
      <c r="Q260" s="476"/>
      <c r="R260" s="1002"/>
      <c r="S260" s="1002"/>
      <c r="T260" s="476"/>
      <c r="U260" s="476"/>
      <c r="V260" s="1002"/>
      <c r="W260" s="476"/>
      <c r="X260" s="476"/>
      <c r="Y260" s="476"/>
      <c r="Z260" s="476"/>
      <c r="AA260" s="476"/>
    </row>
    <row r="261" spans="1:27" ht="15" customHeight="1">
      <c r="A261" s="476"/>
      <c r="B261" s="476"/>
      <c r="C261" s="1001"/>
      <c r="D261" s="1002"/>
      <c r="E261" s="476"/>
      <c r="F261" s="1002"/>
      <c r="G261" s="1003"/>
      <c r="H261" s="1002"/>
      <c r="I261" s="1002"/>
      <c r="J261" s="1002"/>
      <c r="K261" s="1002"/>
      <c r="L261" s="1002"/>
      <c r="M261" s="1002"/>
      <c r="N261" s="1002"/>
      <c r="O261" s="476"/>
      <c r="P261" s="1002"/>
      <c r="Q261" s="476"/>
      <c r="R261" s="1002"/>
      <c r="S261" s="1002"/>
      <c r="T261" s="476"/>
      <c r="U261" s="476"/>
      <c r="V261" s="1002"/>
      <c r="W261" s="476"/>
      <c r="X261" s="476"/>
      <c r="Y261" s="476"/>
      <c r="Z261" s="476"/>
      <c r="AA261" s="476"/>
    </row>
    <row r="262" spans="1:27" ht="15" customHeight="1">
      <c r="A262" s="476"/>
      <c r="B262" s="476"/>
      <c r="C262" s="1001"/>
      <c r="D262" s="1002"/>
      <c r="E262" s="476"/>
      <c r="F262" s="1002"/>
      <c r="G262" s="1003"/>
      <c r="H262" s="1002"/>
      <c r="I262" s="1002"/>
      <c r="J262" s="1002"/>
      <c r="K262" s="1002"/>
      <c r="L262" s="1002"/>
      <c r="M262" s="1002"/>
      <c r="N262" s="1002"/>
      <c r="O262" s="476"/>
      <c r="P262" s="1002"/>
      <c r="Q262" s="476"/>
      <c r="R262" s="1002"/>
      <c r="S262" s="1002"/>
      <c r="T262" s="476"/>
      <c r="U262" s="476"/>
      <c r="V262" s="1002"/>
      <c r="W262" s="476"/>
      <c r="X262" s="476"/>
      <c r="Y262" s="476"/>
      <c r="Z262" s="476"/>
      <c r="AA262" s="476"/>
    </row>
    <row r="263" spans="1:27" ht="15" customHeight="1">
      <c r="A263" s="476"/>
      <c r="B263" s="476"/>
      <c r="C263" s="1001"/>
      <c r="D263" s="1002"/>
      <c r="E263" s="476"/>
      <c r="F263" s="1002"/>
      <c r="G263" s="1003"/>
      <c r="H263" s="1002"/>
      <c r="I263" s="1002"/>
      <c r="J263" s="1002"/>
      <c r="K263" s="1002"/>
      <c r="L263" s="1002"/>
      <c r="M263" s="1002"/>
      <c r="N263" s="1002"/>
      <c r="O263" s="476"/>
      <c r="P263" s="1002"/>
      <c r="Q263" s="476"/>
      <c r="R263" s="1002"/>
      <c r="S263" s="1002"/>
      <c r="T263" s="476"/>
      <c r="U263" s="476"/>
      <c r="V263" s="1002"/>
      <c r="W263" s="476"/>
      <c r="X263" s="476"/>
      <c r="Y263" s="476"/>
      <c r="Z263" s="476"/>
      <c r="AA263" s="476"/>
    </row>
    <row r="264" spans="1:27" ht="15" customHeight="1">
      <c r="A264" s="476"/>
      <c r="B264" s="476"/>
      <c r="C264" s="1001"/>
      <c r="D264" s="1002"/>
      <c r="E264" s="476"/>
      <c r="F264" s="1002"/>
      <c r="G264" s="1003"/>
      <c r="H264" s="1002"/>
      <c r="I264" s="1002"/>
      <c r="J264" s="1002"/>
      <c r="K264" s="1002"/>
      <c r="L264" s="1002"/>
      <c r="M264" s="1002"/>
      <c r="N264" s="1002"/>
      <c r="O264" s="476"/>
      <c r="P264" s="1002"/>
      <c r="Q264" s="476"/>
      <c r="R264" s="1002"/>
      <c r="S264" s="1002"/>
      <c r="T264" s="476"/>
      <c r="U264" s="476"/>
      <c r="V264" s="1002"/>
      <c r="W264" s="476"/>
      <c r="X264" s="476"/>
      <c r="Y264" s="476"/>
      <c r="Z264" s="476"/>
      <c r="AA264" s="476"/>
    </row>
    <row r="265" spans="1:27" ht="15" customHeight="1">
      <c r="A265" s="476"/>
      <c r="B265" s="476"/>
      <c r="C265" s="1001"/>
      <c r="D265" s="1002"/>
      <c r="E265" s="476"/>
      <c r="F265" s="1002"/>
      <c r="G265" s="1003"/>
      <c r="H265" s="1002"/>
      <c r="I265" s="1002"/>
      <c r="J265" s="1002"/>
      <c r="K265" s="1002"/>
      <c r="L265" s="1002"/>
      <c r="M265" s="1002"/>
      <c r="N265" s="1002"/>
      <c r="O265" s="476"/>
      <c r="P265" s="1002"/>
      <c r="Q265" s="476"/>
      <c r="R265" s="1002"/>
      <c r="S265" s="1002"/>
      <c r="T265" s="476"/>
      <c r="U265" s="476"/>
      <c r="V265" s="1002"/>
      <c r="W265" s="476"/>
      <c r="X265" s="476"/>
      <c r="Y265" s="476"/>
      <c r="Z265" s="476"/>
      <c r="AA265" s="476"/>
    </row>
    <row r="266" spans="1:27" ht="15" customHeight="1">
      <c r="A266" s="476"/>
      <c r="B266" s="476"/>
      <c r="C266" s="1001"/>
      <c r="D266" s="1002"/>
      <c r="E266" s="476"/>
      <c r="F266" s="1002"/>
      <c r="G266" s="1003"/>
      <c r="H266" s="1002"/>
      <c r="I266" s="1002"/>
      <c r="J266" s="1002"/>
      <c r="K266" s="1002"/>
      <c r="L266" s="1002"/>
      <c r="M266" s="1002"/>
      <c r="N266" s="1002"/>
      <c r="O266" s="476"/>
      <c r="P266" s="1002"/>
      <c r="Q266" s="476"/>
      <c r="R266" s="1002"/>
      <c r="S266" s="1002"/>
      <c r="T266" s="476"/>
      <c r="U266" s="476"/>
      <c r="V266" s="1002"/>
      <c r="W266" s="476"/>
      <c r="X266" s="476"/>
      <c r="Y266" s="476"/>
      <c r="Z266" s="476"/>
      <c r="AA266" s="476"/>
    </row>
    <row r="267" spans="1:27" ht="15" customHeight="1">
      <c r="A267" s="476"/>
      <c r="B267" s="476"/>
      <c r="C267" s="1001"/>
      <c r="D267" s="1002"/>
      <c r="E267" s="476"/>
      <c r="F267" s="1002"/>
      <c r="G267" s="1003"/>
      <c r="H267" s="1002"/>
      <c r="I267" s="1002"/>
      <c r="J267" s="1002"/>
      <c r="K267" s="1002"/>
      <c r="L267" s="1002"/>
      <c r="M267" s="1002"/>
      <c r="N267" s="1002"/>
      <c r="O267" s="476"/>
      <c r="P267" s="1002"/>
      <c r="Q267" s="476"/>
      <c r="R267" s="1002"/>
      <c r="S267" s="1002"/>
      <c r="T267" s="476"/>
      <c r="U267" s="476"/>
      <c r="V267" s="1002"/>
      <c r="W267" s="476"/>
      <c r="X267" s="476"/>
      <c r="Y267" s="476"/>
      <c r="Z267" s="476"/>
      <c r="AA267" s="476"/>
    </row>
    <row r="268" spans="1:27" ht="15" customHeight="1">
      <c r="A268" s="476"/>
      <c r="B268" s="476"/>
      <c r="C268" s="1001"/>
      <c r="D268" s="1002"/>
      <c r="E268" s="476"/>
      <c r="F268" s="1002"/>
      <c r="G268" s="1003"/>
      <c r="H268" s="1002"/>
      <c r="I268" s="1002"/>
      <c r="J268" s="1002"/>
      <c r="K268" s="1002"/>
      <c r="L268" s="1002"/>
      <c r="M268" s="1002"/>
      <c r="N268" s="1002"/>
      <c r="O268" s="476"/>
      <c r="P268" s="1002"/>
      <c r="Q268" s="476"/>
      <c r="R268" s="1002"/>
      <c r="S268" s="1002"/>
      <c r="T268" s="476"/>
      <c r="U268" s="476"/>
      <c r="V268" s="1002"/>
      <c r="W268" s="476"/>
      <c r="X268" s="476"/>
      <c r="Y268" s="476"/>
      <c r="Z268" s="476"/>
      <c r="AA268" s="476"/>
    </row>
    <row r="269" spans="1:27" ht="15" customHeight="1">
      <c r="A269" s="476"/>
      <c r="B269" s="476"/>
      <c r="C269" s="1001"/>
      <c r="D269" s="1002"/>
      <c r="E269" s="476"/>
      <c r="F269" s="1002"/>
      <c r="G269" s="1003"/>
      <c r="H269" s="1002"/>
      <c r="I269" s="1002"/>
      <c r="J269" s="1002"/>
      <c r="K269" s="1002"/>
      <c r="L269" s="1002"/>
      <c r="M269" s="1002"/>
      <c r="N269" s="1002"/>
      <c r="O269" s="476"/>
      <c r="P269" s="1002"/>
      <c r="Q269" s="476"/>
      <c r="R269" s="1002"/>
      <c r="S269" s="1002"/>
      <c r="T269" s="476"/>
      <c r="U269" s="476"/>
      <c r="V269" s="1002"/>
      <c r="W269" s="476"/>
      <c r="X269" s="476"/>
      <c r="Y269" s="476"/>
      <c r="Z269" s="476"/>
      <c r="AA269" s="476"/>
    </row>
    <row r="270" spans="1:27" ht="15" customHeight="1">
      <c r="A270" s="476"/>
      <c r="B270" s="476"/>
      <c r="C270" s="1001"/>
      <c r="D270" s="1002"/>
      <c r="E270" s="476"/>
      <c r="F270" s="1002"/>
      <c r="G270" s="1003"/>
      <c r="H270" s="1002"/>
      <c r="I270" s="1002"/>
      <c r="J270" s="1002"/>
      <c r="K270" s="1002"/>
      <c r="L270" s="1002"/>
      <c r="M270" s="1002"/>
      <c r="N270" s="1002"/>
      <c r="O270" s="476"/>
      <c r="P270" s="1002"/>
      <c r="Q270" s="476"/>
      <c r="R270" s="1002"/>
      <c r="S270" s="1002"/>
      <c r="T270" s="476"/>
      <c r="U270" s="476"/>
      <c r="V270" s="1002"/>
      <c r="W270" s="476"/>
      <c r="X270" s="476"/>
      <c r="Y270" s="476"/>
      <c r="Z270" s="476"/>
      <c r="AA270" s="476"/>
    </row>
    <row r="271" spans="1:27" ht="15" customHeight="1">
      <c r="A271" s="476"/>
      <c r="B271" s="476"/>
      <c r="C271" s="1001"/>
      <c r="D271" s="1002"/>
      <c r="E271" s="476"/>
      <c r="F271" s="1002"/>
      <c r="G271" s="1003"/>
      <c r="H271" s="1002"/>
      <c r="I271" s="1002"/>
      <c r="J271" s="1002"/>
      <c r="K271" s="1002"/>
      <c r="L271" s="1002"/>
      <c r="M271" s="1002"/>
      <c r="N271" s="1002"/>
      <c r="O271" s="476"/>
      <c r="P271" s="1002"/>
      <c r="Q271" s="476"/>
      <c r="R271" s="1002"/>
      <c r="S271" s="1002"/>
      <c r="T271" s="476"/>
      <c r="U271" s="476"/>
      <c r="V271" s="1002"/>
      <c r="W271" s="476"/>
      <c r="X271" s="476"/>
      <c r="Y271" s="476"/>
      <c r="Z271" s="476"/>
      <c r="AA271" s="476"/>
    </row>
    <row r="272" spans="1:27" ht="15" customHeight="1">
      <c r="A272" s="476"/>
      <c r="B272" s="476"/>
      <c r="C272" s="1001"/>
      <c r="D272" s="1002"/>
      <c r="E272" s="476"/>
      <c r="F272" s="1002"/>
      <c r="G272" s="1003"/>
      <c r="H272" s="1002"/>
      <c r="I272" s="1002"/>
      <c r="J272" s="1002"/>
      <c r="K272" s="1002"/>
      <c r="L272" s="1002"/>
      <c r="M272" s="1002"/>
      <c r="N272" s="1002"/>
      <c r="O272" s="476"/>
      <c r="P272" s="1002"/>
      <c r="Q272" s="476"/>
      <c r="R272" s="1002"/>
      <c r="S272" s="1002"/>
      <c r="T272" s="476"/>
      <c r="U272" s="476"/>
      <c r="V272" s="1002"/>
      <c r="W272" s="476"/>
      <c r="X272" s="476"/>
      <c r="Y272" s="476"/>
      <c r="Z272" s="476"/>
      <c r="AA272" s="476"/>
    </row>
    <row r="273" spans="1:27" ht="15" customHeight="1">
      <c r="A273" s="476"/>
      <c r="B273" s="476"/>
      <c r="C273" s="1001"/>
      <c r="D273" s="1002"/>
      <c r="E273" s="476"/>
      <c r="F273" s="1002"/>
      <c r="G273" s="1003"/>
      <c r="H273" s="1002"/>
      <c r="I273" s="1002"/>
      <c r="J273" s="1002"/>
      <c r="K273" s="1002"/>
      <c r="L273" s="1002"/>
      <c r="M273" s="1002"/>
      <c r="N273" s="1002"/>
      <c r="O273" s="476"/>
      <c r="P273" s="1002"/>
      <c r="Q273" s="476"/>
      <c r="R273" s="1002"/>
      <c r="S273" s="1002"/>
      <c r="T273" s="476"/>
      <c r="U273" s="476"/>
      <c r="V273" s="1002"/>
      <c r="W273" s="476"/>
      <c r="X273" s="476"/>
      <c r="Y273" s="476"/>
      <c r="Z273" s="476"/>
      <c r="AA273" s="476"/>
    </row>
    <row r="274" spans="1:27" ht="15" customHeight="1">
      <c r="A274" s="476"/>
      <c r="B274" s="476"/>
      <c r="C274" s="1001"/>
      <c r="D274" s="1002"/>
      <c r="E274" s="476"/>
      <c r="F274" s="1002"/>
      <c r="G274" s="1003"/>
      <c r="H274" s="1002"/>
      <c r="I274" s="1002"/>
      <c r="J274" s="1002"/>
      <c r="K274" s="1002"/>
      <c r="L274" s="1002"/>
      <c r="M274" s="1002"/>
      <c r="N274" s="1002"/>
      <c r="O274" s="476"/>
      <c r="P274" s="1002"/>
      <c r="Q274" s="476"/>
      <c r="R274" s="1002"/>
      <c r="S274" s="1002"/>
      <c r="T274" s="476"/>
      <c r="U274" s="476"/>
      <c r="V274" s="1002"/>
      <c r="W274" s="476"/>
      <c r="X274" s="476"/>
      <c r="Y274" s="476"/>
      <c r="Z274" s="476"/>
      <c r="AA274" s="476"/>
    </row>
    <row r="275" spans="1:27" ht="15" customHeight="1">
      <c r="A275" s="476"/>
      <c r="B275" s="476"/>
      <c r="C275" s="1001"/>
      <c r="D275" s="1002"/>
      <c r="E275" s="476"/>
      <c r="F275" s="1002"/>
      <c r="G275" s="1003"/>
      <c r="H275" s="1002"/>
      <c r="I275" s="1002"/>
      <c r="J275" s="1002"/>
      <c r="K275" s="1002"/>
      <c r="L275" s="1002"/>
      <c r="M275" s="1002"/>
      <c r="N275" s="1002"/>
      <c r="O275" s="476"/>
      <c r="P275" s="1002"/>
      <c r="Q275" s="476"/>
      <c r="R275" s="1002"/>
      <c r="S275" s="1002"/>
      <c r="T275" s="476"/>
      <c r="U275" s="476"/>
      <c r="V275" s="1002"/>
      <c r="W275" s="476"/>
      <c r="X275" s="476"/>
      <c r="Y275" s="476"/>
      <c r="Z275" s="476"/>
      <c r="AA275" s="476"/>
    </row>
    <row r="276" spans="1:27" ht="15" customHeight="1">
      <c r="A276" s="476"/>
      <c r="B276" s="476"/>
      <c r="C276" s="1001"/>
      <c r="D276" s="1002"/>
      <c r="E276" s="476"/>
      <c r="F276" s="1002"/>
      <c r="G276" s="1003"/>
      <c r="H276" s="1002"/>
      <c r="I276" s="1002"/>
      <c r="J276" s="1002"/>
      <c r="K276" s="1002"/>
      <c r="L276" s="1002"/>
      <c r="M276" s="1002"/>
      <c r="N276" s="1002"/>
      <c r="O276" s="476"/>
      <c r="P276" s="1002"/>
      <c r="Q276" s="476"/>
      <c r="R276" s="1002"/>
      <c r="S276" s="1002"/>
      <c r="T276" s="476"/>
      <c r="U276" s="476"/>
      <c r="V276" s="1002"/>
      <c r="W276" s="476"/>
      <c r="X276" s="476"/>
      <c r="Y276" s="476"/>
      <c r="Z276" s="476"/>
      <c r="AA276" s="476"/>
    </row>
    <row r="277" spans="1:27" ht="15" customHeight="1">
      <c r="A277" s="476"/>
      <c r="B277" s="476"/>
      <c r="C277" s="1001"/>
      <c r="D277" s="1002"/>
      <c r="E277" s="476"/>
      <c r="F277" s="1002"/>
      <c r="G277" s="1003"/>
      <c r="H277" s="1002"/>
      <c r="I277" s="1002"/>
      <c r="J277" s="1002"/>
      <c r="K277" s="1002"/>
      <c r="L277" s="1002"/>
      <c r="M277" s="1002"/>
      <c r="N277" s="1002"/>
      <c r="O277" s="476"/>
      <c r="P277" s="1002"/>
      <c r="Q277" s="476"/>
      <c r="R277" s="1002"/>
      <c r="S277" s="1002"/>
      <c r="T277" s="476"/>
      <c r="U277" s="476"/>
      <c r="V277" s="1002"/>
      <c r="W277" s="476"/>
      <c r="X277" s="476"/>
      <c r="Y277" s="476"/>
      <c r="Z277" s="476"/>
      <c r="AA277" s="476"/>
    </row>
    <row r="278" spans="1:27" ht="15" customHeight="1">
      <c r="A278" s="476"/>
      <c r="B278" s="476"/>
      <c r="C278" s="1001"/>
      <c r="D278" s="1002"/>
      <c r="E278" s="476"/>
      <c r="F278" s="1002"/>
      <c r="G278" s="1003"/>
      <c r="H278" s="1002"/>
      <c r="I278" s="1002"/>
      <c r="J278" s="1002"/>
      <c r="K278" s="1002"/>
      <c r="L278" s="1002"/>
      <c r="M278" s="1002"/>
      <c r="N278" s="1002"/>
      <c r="O278" s="476"/>
      <c r="P278" s="1002"/>
      <c r="Q278" s="476"/>
      <c r="R278" s="1002"/>
      <c r="S278" s="1002"/>
      <c r="T278" s="476"/>
      <c r="U278" s="476"/>
      <c r="V278" s="1002"/>
      <c r="W278" s="476"/>
      <c r="X278" s="476"/>
      <c r="Y278" s="476"/>
      <c r="Z278" s="476"/>
      <c r="AA278" s="476"/>
    </row>
    <row r="279" spans="1:27" ht="15" customHeight="1">
      <c r="A279" s="476"/>
      <c r="B279" s="476"/>
      <c r="C279" s="1001"/>
      <c r="D279" s="1002"/>
      <c r="E279" s="476"/>
      <c r="F279" s="1002"/>
      <c r="G279" s="1003"/>
      <c r="H279" s="1002"/>
      <c r="I279" s="1002"/>
      <c r="J279" s="1002"/>
      <c r="K279" s="1002"/>
      <c r="L279" s="1002"/>
      <c r="M279" s="1002"/>
      <c r="N279" s="1002"/>
      <c r="O279" s="476"/>
      <c r="P279" s="1002"/>
      <c r="Q279" s="476"/>
      <c r="R279" s="1002"/>
      <c r="S279" s="1002"/>
      <c r="T279" s="476"/>
      <c r="U279" s="476"/>
      <c r="V279" s="1002"/>
      <c r="W279" s="476"/>
      <c r="X279" s="476"/>
      <c r="Y279" s="476"/>
      <c r="Z279" s="476"/>
      <c r="AA279" s="476"/>
    </row>
    <row r="280" spans="1:27" ht="15" customHeight="1">
      <c r="A280" s="476"/>
      <c r="B280" s="476"/>
      <c r="C280" s="1001"/>
      <c r="D280" s="1002"/>
      <c r="E280" s="476"/>
      <c r="F280" s="1002"/>
      <c r="G280" s="1003"/>
      <c r="H280" s="1002"/>
      <c r="I280" s="1002"/>
      <c r="J280" s="1002"/>
      <c r="K280" s="1002"/>
      <c r="L280" s="1002"/>
      <c r="M280" s="1002"/>
      <c r="N280" s="1002"/>
      <c r="O280" s="476"/>
      <c r="P280" s="1002"/>
      <c r="Q280" s="476"/>
      <c r="R280" s="1002"/>
      <c r="S280" s="1002"/>
      <c r="T280" s="476"/>
      <c r="U280" s="476"/>
      <c r="V280" s="1002"/>
      <c r="W280" s="476"/>
      <c r="X280" s="476"/>
      <c r="Y280" s="476"/>
      <c r="Z280" s="476"/>
      <c r="AA280" s="476"/>
    </row>
    <row r="281" spans="1:27" ht="15" customHeight="1">
      <c r="A281" s="476"/>
      <c r="B281" s="476"/>
      <c r="C281" s="1001"/>
      <c r="D281" s="1002"/>
      <c r="E281" s="476"/>
      <c r="F281" s="1002"/>
      <c r="G281" s="1003"/>
      <c r="H281" s="1002"/>
      <c r="I281" s="1002"/>
      <c r="J281" s="1002"/>
      <c r="K281" s="1002"/>
      <c r="L281" s="1002"/>
      <c r="M281" s="1002"/>
      <c r="N281" s="1002"/>
      <c r="O281" s="476"/>
      <c r="P281" s="1002"/>
      <c r="Q281" s="476"/>
      <c r="R281" s="1002"/>
      <c r="S281" s="1002"/>
      <c r="T281" s="476"/>
      <c r="U281" s="476"/>
      <c r="V281" s="1002"/>
      <c r="W281" s="476"/>
      <c r="X281" s="476"/>
      <c r="Y281" s="476"/>
      <c r="Z281" s="476"/>
      <c r="AA281" s="476"/>
    </row>
    <row r="282" spans="1:27" ht="15" customHeight="1">
      <c r="A282" s="476"/>
      <c r="B282" s="476"/>
      <c r="C282" s="1001"/>
      <c r="D282" s="1002"/>
      <c r="E282" s="476"/>
      <c r="F282" s="1002"/>
      <c r="G282" s="1003"/>
      <c r="H282" s="1002"/>
      <c r="I282" s="1002"/>
      <c r="J282" s="1002"/>
      <c r="K282" s="1002"/>
      <c r="L282" s="1002"/>
      <c r="M282" s="1002"/>
      <c r="N282" s="1002"/>
      <c r="O282" s="476"/>
      <c r="P282" s="1002"/>
      <c r="Q282" s="476"/>
      <c r="R282" s="1002"/>
      <c r="S282" s="1002"/>
      <c r="T282" s="476"/>
      <c r="U282" s="476"/>
      <c r="V282" s="1002"/>
      <c r="W282" s="476"/>
      <c r="X282" s="476"/>
      <c r="Y282" s="476"/>
      <c r="Z282" s="476"/>
      <c r="AA282" s="476"/>
    </row>
    <row r="283" spans="1:27" ht="15" customHeight="1">
      <c r="A283" s="476"/>
      <c r="B283" s="476"/>
      <c r="C283" s="1001"/>
      <c r="D283" s="1002"/>
      <c r="E283" s="476"/>
      <c r="F283" s="1002"/>
      <c r="G283" s="1003"/>
      <c r="H283" s="1002"/>
      <c r="I283" s="1002"/>
      <c r="J283" s="1002"/>
      <c r="K283" s="1002"/>
      <c r="L283" s="1002"/>
      <c r="M283" s="1002"/>
      <c r="N283" s="1002"/>
      <c r="O283" s="476"/>
      <c r="P283" s="1002"/>
      <c r="Q283" s="476"/>
      <c r="R283" s="1002"/>
      <c r="S283" s="1002"/>
      <c r="T283" s="476"/>
      <c r="U283" s="476"/>
      <c r="V283" s="1002"/>
      <c r="W283" s="476"/>
      <c r="X283" s="476"/>
      <c r="Y283" s="476"/>
      <c r="Z283" s="476"/>
      <c r="AA283" s="476"/>
    </row>
    <row r="284" spans="1:27" ht="15" customHeight="1">
      <c r="A284" s="476"/>
      <c r="B284" s="476"/>
      <c r="C284" s="1001"/>
      <c r="D284" s="1002"/>
      <c r="E284" s="476"/>
      <c r="F284" s="1002"/>
      <c r="G284" s="1003"/>
      <c r="H284" s="1002"/>
      <c r="I284" s="1002"/>
      <c r="J284" s="1002"/>
      <c r="K284" s="1002"/>
      <c r="L284" s="1002"/>
      <c r="M284" s="1002"/>
      <c r="N284" s="1002"/>
      <c r="O284" s="476"/>
      <c r="P284" s="1002"/>
      <c r="Q284" s="476"/>
      <c r="R284" s="1002"/>
      <c r="S284" s="1002"/>
      <c r="T284" s="476"/>
      <c r="U284" s="476"/>
      <c r="V284" s="1002"/>
      <c r="W284" s="476"/>
      <c r="X284" s="476"/>
      <c r="Y284" s="476"/>
      <c r="Z284" s="476"/>
      <c r="AA284" s="476"/>
    </row>
    <row r="285" spans="1:27" ht="15" customHeight="1">
      <c r="A285" s="476"/>
      <c r="B285" s="476"/>
      <c r="C285" s="1001"/>
      <c r="D285" s="1002"/>
      <c r="E285" s="476"/>
      <c r="F285" s="1002"/>
      <c r="G285" s="1003"/>
      <c r="H285" s="1002"/>
      <c r="I285" s="1002"/>
      <c r="J285" s="1002"/>
      <c r="K285" s="1002"/>
      <c r="L285" s="1002"/>
      <c r="M285" s="1002"/>
      <c r="N285" s="1002"/>
      <c r="O285" s="476"/>
      <c r="P285" s="1002"/>
      <c r="Q285" s="476"/>
      <c r="R285" s="1002"/>
      <c r="S285" s="1002"/>
      <c r="T285" s="476"/>
      <c r="U285" s="476"/>
      <c r="V285" s="1002"/>
      <c r="W285" s="476"/>
      <c r="X285" s="476"/>
      <c r="Y285" s="476"/>
      <c r="Z285" s="476"/>
      <c r="AA285" s="476"/>
    </row>
    <row r="286" spans="1:27" ht="15" customHeight="1">
      <c r="A286" s="476"/>
      <c r="B286" s="476"/>
      <c r="C286" s="1001"/>
      <c r="D286" s="1002"/>
      <c r="E286" s="476"/>
      <c r="F286" s="1002"/>
      <c r="G286" s="1003"/>
      <c r="H286" s="1002"/>
      <c r="I286" s="1002"/>
      <c r="J286" s="1002"/>
      <c r="K286" s="1002"/>
      <c r="L286" s="1002"/>
      <c r="M286" s="1002"/>
      <c r="N286" s="1002"/>
      <c r="O286" s="476"/>
      <c r="P286" s="1002"/>
      <c r="Q286" s="476"/>
      <c r="R286" s="1002"/>
      <c r="S286" s="1002"/>
      <c r="T286" s="476"/>
      <c r="U286" s="476"/>
      <c r="V286" s="1002"/>
      <c r="W286" s="476"/>
      <c r="X286" s="476"/>
      <c r="Y286" s="476"/>
      <c r="Z286" s="476"/>
      <c r="AA286" s="476"/>
    </row>
    <row r="287" spans="1:27" ht="15" customHeight="1">
      <c r="A287" s="476"/>
      <c r="B287" s="476"/>
      <c r="C287" s="1001"/>
      <c r="D287" s="1002"/>
      <c r="E287" s="476"/>
      <c r="F287" s="1002"/>
      <c r="G287" s="1003"/>
      <c r="H287" s="1002"/>
      <c r="I287" s="1002"/>
      <c r="J287" s="1002"/>
      <c r="K287" s="1002"/>
      <c r="L287" s="1002"/>
      <c r="M287" s="1002"/>
      <c r="N287" s="1002"/>
      <c r="O287" s="476"/>
      <c r="P287" s="1002"/>
      <c r="Q287" s="476"/>
      <c r="R287" s="1002"/>
      <c r="S287" s="1002"/>
      <c r="T287" s="476"/>
      <c r="U287" s="476"/>
      <c r="V287" s="1002"/>
      <c r="W287" s="476"/>
      <c r="X287" s="476"/>
      <c r="Y287" s="476"/>
      <c r="Z287" s="476"/>
      <c r="AA287" s="476"/>
    </row>
    <row r="288" spans="1:27" ht="15" customHeight="1">
      <c r="A288" s="476"/>
      <c r="B288" s="476"/>
      <c r="C288" s="1001"/>
      <c r="D288" s="1002"/>
      <c r="E288" s="476"/>
      <c r="F288" s="1002"/>
      <c r="G288" s="1003"/>
      <c r="H288" s="1002"/>
      <c r="I288" s="1002"/>
      <c r="J288" s="1002"/>
      <c r="K288" s="1002"/>
      <c r="L288" s="1002"/>
      <c r="M288" s="1002"/>
      <c r="N288" s="1002"/>
      <c r="O288" s="476"/>
      <c r="P288" s="1002"/>
      <c r="Q288" s="476"/>
      <c r="R288" s="1002"/>
      <c r="S288" s="1002"/>
      <c r="T288" s="476"/>
      <c r="U288" s="476"/>
      <c r="V288" s="1002"/>
      <c r="W288" s="476"/>
      <c r="X288" s="476"/>
      <c r="Y288" s="476"/>
      <c r="Z288" s="476"/>
      <c r="AA288" s="476"/>
    </row>
    <row r="289" spans="1:27" ht="15" customHeight="1">
      <c r="A289" s="476"/>
      <c r="B289" s="476"/>
      <c r="C289" s="1001"/>
      <c r="D289" s="1002"/>
      <c r="E289" s="476"/>
      <c r="F289" s="1002"/>
      <c r="G289" s="1003"/>
      <c r="H289" s="1002"/>
      <c r="I289" s="1002"/>
      <c r="J289" s="1002"/>
      <c r="K289" s="1002"/>
      <c r="L289" s="1002"/>
      <c r="M289" s="1002"/>
      <c r="N289" s="1002"/>
      <c r="O289" s="476"/>
      <c r="P289" s="1002"/>
      <c r="Q289" s="476"/>
      <c r="R289" s="1002"/>
      <c r="S289" s="1002"/>
      <c r="T289" s="476"/>
      <c r="U289" s="476"/>
      <c r="V289" s="1002"/>
      <c r="W289" s="476"/>
      <c r="X289" s="476"/>
      <c r="Y289" s="476"/>
      <c r="Z289" s="476"/>
      <c r="AA289" s="476"/>
    </row>
    <row r="290" spans="1:27" ht="15" customHeight="1">
      <c r="A290" s="476"/>
      <c r="B290" s="476"/>
      <c r="C290" s="1001"/>
      <c r="D290" s="1002"/>
      <c r="E290" s="476"/>
      <c r="F290" s="1002"/>
      <c r="G290" s="1003"/>
      <c r="H290" s="1002"/>
      <c r="I290" s="1002"/>
      <c r="J290" s="1002"/>
      <c r="K290" s="1002"/>
      <c r="L290" s="1002"/>
      <c r="M290" s="1002"/>
      <c r="N290" s="1002"/>
      <c r="O290" s="476"/>
      <c r="P290" s="1002"/>
      <c r="Q290" s="476"/>
      <c r="R290" s="1002"/>
      <c r="S290" s="1002"/>
      <c r="T290" s="476"/>
      <c r="U290" s="476"/>
      <c r="V290" s="1002"/>
      <c r="W290" s="476"/>
      <c r="X290" s="476"/>
      <c r="Y290" s="476"/>
      <c r="Z290" s="476"/>
      <c r="AA290" s="476"/>
    </row>
    <row r="291" spans="1:27" ht="15" customHeight="1">
      <c r="A291" s="476"/>
      <c r="B291" s="476"/>
      <c r="C291" s="1001"/>
      <c r="D291" s="1002"/>
      <c r="E291" s="476"/>
      <c r="F291" s="1002"/>
      <c r="G291" s="1003"/>
      <c r="H291" s="1002"/>
      <c r="I291" s="1002"/>
      <c r="J291" s="1002"/>
      <c r="K291" s="1002"/>
      <c r="L291" s="1002"/>
      <c r="M291" s="1002"/>
      <c r="N291" s="1002"/>
      <c r="O291" s="476"/>
      <c r="P291" s="1002"/>
      <c r="Q291" s="476"/>
      <c r="R291" s="1002"/>
      <c r="S291" s="1002"/>
      <c r="T291" s="476"/>
      <c r="U291" s="476"/>
      <c r="V291" s="1002"/>
      <c r="W291" s="476"/>
      <c r="X291" s="476"/>
      <c r="Y291" s="476"/>
      <c r="Z291" s="476"/>
      <c r="AA291" s="476"/>
    </row>
    <row r="292" spans="1:27" ht="15" customHeight="1">
      <c r="A292" s="476"/>
      <c r="B292" s="476"/>
      <c r="C292" s="1001"/>
      <c r="D292" s="1002"/>
      <c r="E292" s="476"/>
      <c r="F292" s="1002"/>
      <c r="G292" s="1003"/>
      <c r="H292" s="1002"/>
      <c r="I292" s="1002"/>
      <c r="J292" s="1002"/>
      <c r="K292" s="1002"/>
      <c r="L292" s="1002"/>
      <c r="M292" s="1002"/>
      <c r="N292" s="1002"/>
      <c r="O292" s="476"/>
      <c r="P292" s="1002"/>
      <c r="Q292" s="476"/>
      <c r="R292" s="1002"/>
      <c r="S292" s="1002"/>
      <c r="T292" s="476"/>
      <c r="U292" s="476"/>
      <c r="V292" s="1002"/>
      <c r="W292" s="476"/>
      <c r="X292" s="476"/>
      <c r="Y292" s="476"/>
      <c r="Z292" s="476"/>
      <c r="AA292" s="476"/>
    </row>
    <row r="293" spans="1:27" ht="15" customHeight="1">
      <c r="A293" s="476"/>
      <c r="B293" s="476"/>
      <c r="C293" s="1001"/>
      <c r="D293" s="1002"/>
      <c r="E293" s="476"/>
      <c r="F293" s="1002"/>
      <c r="G293" s="1003"/>
      <c r="H293" s="1002"/>
      <c r="I293" s="1002"/>
      <c r="J293" s="1002"/>
      <c r="K293" s="1002"/>
      <c r="L293" s="1002"/>
      <c r="M293" s="1002"/>
      <c r="N293" s="1002"/>
      <c r="O293" s="476"/>
      <c r="P293" s="1002"/>
      <c r="Q293" s="476"/>
      <c r="R293" s="1002"/>
      <c r="S293" s="1002"/>
      <c r="T293" s="476"/>
      <c r="U293" s="476"/>
      <c r="V293" s="1002"/>
      <c r="W293" s="476"/>
      <c r="X293" s="476"/>
      <c r="Y293" s="476"/>
      <c r="Z293" s="476"/>
      <c r="AA293" s="476"/>
    </row>
    <row r="294" spans="1:27" ht="15" customHeight="1">
      <c r="A294" s="476"/>
      <c r="B294" s="476"/>
      <c r="C294" s="1001"/>
      <c r="D294" s="1002"/>
      <c r="E294" s="476"/>
      <c r="F294" s="1002"/>
      <c r="G294" s="1003"/>
      <c r="H294" s="1002"/>
      <c r="I294" s="1002"/>
      <c r="J294" s="1002"/>
      <c r="K294" s="1002"/>
      <c r="L294" s="1002"/>
      <c r="M294" s="1002"/>
      <c r="N294" s="1002"/>
      <c r="O294" s="476"/>
      <c r="P294" s="1002"/>
      <c r="Q294" s="476"/>
      <c r="R294" s="1002"/>
      <c r="S294" s="1002"/>
      <c r="T294" s="476"/>
      <c r="U294" s="476"/>
      <c r="V294" s="1002"/>
      <c r="W294" s="476"/>
      <c r="X294" s="476"/>
      <c r="Y294" s="476"/>
      <c r="Z294" s="476"/>
      <c r="AA294" s="476"/>
    </row>
    <row r="295" spans="1:27" ht="15" customHeight="1">
      <c r="A295" s="476"/>
      <c r="B295" s="476"/>
      <c r="C295" s="1001"/>
      <c r="D295" s="1002"/>
      <c r="E295" s="476"/>
      <c r="F295" s="1002"/>
      <c r="G295" s="1003"/>
      <c r="H295" s="1002"/>
      <c r="I295" s="1002"/>
      <c r="J295" s="1002"/>
      <c r="K295" s="1002"/>
      <c r="L295" s="1002"/>
      <c r="M295" s="1002"/>
      <c r="N295" s="1002"/>
      <c r="O295" s="476"/>
      <c r="P295" s="1002"/>
      <c r="Q295" s="476"/>
      <c r="R295" s="1002"/>
      <c r="S295" s="1002"/>
      <c r="T295" s="476"/>
      <c r="U295" s="476"/>
      <c r="V295" s="1002"/>
      <c r="W295" s="476"/>
      <c r="X295" s="476"/>
      <c r="Y295" s="476"/>
      <c r="Z295" s="476"/>
      <c r="AA295" s="476"/>
    </row>
    <row r="296" spans="1:27" ht="15" customHeight="1">
      <c r="A296" s="476"/>
      <c r="B296" s="476"/>
      <c r="C296" s="1001"/>
      <c r="D296" s="1002"/>
      <c r="E296" s="476"/>
      <c r="F296" s="1002"/>
      <c r="G296" s="1003"/>
      <c r="H296" s="1002"/>
      <c r="I296" s="1002"/>
      <c r="J296" s="1002"/>
      <c r="K296" s="1002"/>
      <c r="L296" s="1002"/>
      <c r="M296" s="1002"/>
      <c r="N296" s="1002"/>
      <c r="O296" s="476"/>
      <c r="P296" s="1002"/>
      <c r="Q296" s="476"/>
      <c r="R296" s="1002"/>
      <c r="S296" s="1002"/>
      <c r="T296" s="476"/>
      <c r="U296" s="476"/>
      <c r="V296" s="1002"/>
      <c r="W296" s="476"/>
      <c r="X296" s="476"/>
      <c r="Y296" s="476"/>
      <c r="Z296" s="476"/>
      <c r="AA296" s="476"/>
    </row>
    <row r="297" spans="1:27" ht="15" customHeight="1">
      <c r="A297" s="476"/>
      <c r="B297" s="476"/>
      <c r="C297" s="1001"/>
      <c r="D297" s="1002"/>
      <c r="E297" s="476"/>
      <c r="F297" s="1002"/>
      <c r="G297" s="1003"/>
      <c r="H297" s="1002"/>
      <c r="I297" s="1002"/>
      <c r="J297" s="1002"/>
      <c r="K297" s="1002"/>
      <c r="L297" s="1002"/>
      <c r="M297" s="1002"/>
      <c r="N297" s="1002"/>
      <c r="O297" s="476"/>
      <c r="P297" s="1002"/>
      <c r="Q297" s="476"/>
      <c r="R297" s="1002"/>
      <c r="S297" s="1002"/>
      <c r="T297" s="476"/>
      <c r="U297" s="476"/>
      <c r="V297" s="1002"/>
      <c r="W297" s="476"/>
      <c r="X297" s="476"/>
      <c r="Y297" s="476"/>
      <c r="Z297" s="476"/>
      <c r="AA297" s="476"/>
    </row>
    <row r="298" spans="1:27" ht="15" customHeight="1">
      <c r="A298" s="476"/>
      <c r="B298" s="476"/>
      <c r="C298" s="1001"/>
      <c r="D298" s="1002"/>
      <c r="E298" s="476"/>
      <c r="F298" s="1002"/>
      <c r="G298" s="1003"/>
      <c r="H298" s="1002"/>
      <c r="I298" s="1002"/>
      <c r="J298" s="1002"/>
      <c r="K298" s="1002"/>
      <c r="L298" s="1002"/>
      <c r="M298" s="1002"/>
      <c r="N298" s="1002"/>
      <c r="O298" s="476"/>
      <c r="P298" s="1002"/>
      <c r="Q298" s="476"/>
      <c r="R298" s="1002"/>
      <c r="S298" s="1002"/>
      <c r="T298" s="476"/>
      <c r="U298" s="476"/>
      <c r="V298" s="1002"/>
      <c r="W298" s="476"/>
      <c r="X298" s="476"/>
      <c r="Y298" s="476"/>
      <c r="Z298" s="476"/>
      <c r="AA298" s="476"/>
    </row>
    <row r="299" spans="1:27" ht="15" customHeight="1">
      <c r="A299" s="476"/>
      <c r="B299" s="476"/>
      <c r="C299" s="1001"/>
      <c r="D299" s="1002"/>
      <c r="E299" s="476"/>
      <c r="F299" s="1002"/>
      <c r="G299" s="1003"/>
      <c r="H299" s="1002"/>
      <c r="I299" s="1002"/>
      <c r="J299" s="1002"/>
      <c r="K299" s="1002"/>
      <c r="L299" s="1002"/>
      <c r="M299" s="1002"/>
      <c r="N299" s="1002"/>
      <c r="O299" s="476"/>
      <c r="P299" s="1002"/>
      <c r="Q299" s="476"/>
      <c r="R299" s="1002"/>
      <c r="S299" s="1002"/>
      <c r="T299" s="476"/>
      <c r="U299" s="476"/>
      <c r="V299" s="1002"/>
      <c r="W299" s="476"/>
      <c r="X299" s="476"/>
      <c r="Y299" s="476"/>
      <c r="Z299" s="476"/>
      <c r="AA299" s="476"/>
    </row>
    <row r="300" spans="1:27" ht="15" customHeight="1">
      <c r="A300" s="476"/>
      <c r="B300" s="476"/>
      <c r="C300" s="1001"/>
      <c r="D300" s="1002"/>
      <c r="E300" s="476"/>
      <c r="F300" s="1002"/>
      <c r="G300" s="1003"/>
      <c r="H300" s="1002"/>
      <c r="I300" s="1002"/>
      <c r="J300" s="1002"/>
      <c r="K300" s="1002"/>
      <c r="L300" s="1002"/>
      <c r="M300" s="1002"/>
      <c r="N300" s="1002"/>
      <c r="O300" s="476"/>
      <c r="P300" s="1002"/>
      <c r="Q300" s="476"/>
      <c r="R300" s="1002"/>
      <c r="S300" s="1002"/>
      <c r="T300" s="476"/>
      <c r="U300" s="476"/>
      <c r="V300" s="1002"/>
      <c r="W300" s="476"/>
      <c r="X300" s="476"/>
      <c r="Y300" s="476"/>
      <c r="Z300" s="476"/>
      <c r="AA300" s="476"/>
    </row>
    <row r="301" spans="1:27" ht="15" customHeight="1">
      <c r="A301" s="476"/>
      <c r="B301" s="476"/>
      <c r="C301" s="1001"/>
      <c r="D301" s="1002"/>
      <c r="E301" s="476"/>
      <c r="F301" s="1002"/>
      <c r="G301" s="1003"/>
      <c r="H301" s="1002"/>
      <c r="I301" s="1002"/>
      <c r="J301" s="1002"/>
      <c r="K301" s="1002"/>
      <c r="L301" s="1002"/>
      <c r="M301" s="1002"/>
      <c r="N301" s="1002"/>
      <c r="O301" s="476"/>
      <c r="P301" s="1002"/>
      <c r="Q301" s="476"/>
      <c r="R301" s="1002"/>
      <c r="S301" s="1002"/>
      <c r="T301" s="476"/>
      <c r="U301" s="476"/>
      <c r="V301" s="1002"/>
      <c r="W301" s="476"/>
      <c r="X301" s="476"/>
      <c r="Y301" s="476"/>
      <c r="Z301" s="476"/>
      <c r="AA301" s="476"/>
    </row>
    <row r="302" spans="1:27" ht="15" customHeight="1">
      <c r="A302" s="476"/>
      <c r="B302" s="476"/>
      <c r="C302" s="1001"/>
      <c r="D302" s="1002"/>
      <c r="E302" s="476"/>
      <c r="F302" s="1002"/>
      <c r="G302" s="1003"/>
      <c r="H302" s="1002"/>
      <c r="I302" s="1002"/>
      <c r="J302" s="1002"/>
      <c r="K302" s="1002"/>
      <c r="L302" s="1002"/>
      <c r="M302" s="1002"/>
      <c r="N302" s="1002"/>
      <c r="O302" s="476"/>
      <c r="P302" s="1002"/>
      <c r="Q302" s="476"/>
      <c r="R302" s="1002"/>
      <c r="S302" s="1002"/>
      <c r="T302" s="476"/>
      <c r="U302" s="476"/>
      <c r="V302" s="1002"/>
      <c r="W302" s="476"/>
      <c r="X302" s="476"/>
      <c r="Y302" s="476"/>
      <c r="Z302" s="476"/>
      <c r="AA302" s="476"/>
    </row>
    <row r="303" spans="1:27" ht="15" customHeight="1">
      <c r="A303" s="476"/>
      <c r="B303" s="476"/>
      <c r="C303" s="1001"/>
      <c r="D303" s="1002"/>
      <c r="E303" s="476"/>
      <c r="F303" s="1002"/>
      <c r="G303" s="1003"/>
      <c r="H303" s="1002"/>
      <c r="I303" s="1002"/>
      <c r="J303" s="1002"/>
      <c r="K303" s="1002"/>
      <c r="L303" s="1002"/>
      <c r="M303" s="1002"/>
      <c r="N303" s="1002"/>
      <c r="O303" s="476"/>
      <c r="P303" s="1002"/>
      <c r="Q303" s="476"/>
      <c r="R303" s="1002"/>
      <c r="S303" s="1002"/>
      <c r="T303" s="476"/>
      <c r="U303" s="476"/>
      <c r="V303" s="1002"/>
      <c r="W303" s="476"/>
      <c r="X303" s="476"/>
      <c r="Y303" s="476"/>
      <c r="Z303" s="476"/>
      <c r="AA303" s="476"/>
    </row>
    <row r="304" spans="1:27" ht="15" customHeight="1">
      <c r="A304" s="476"/>
      <c r="B304" s="476"/>
      <c r="C304" s="1001"/>
      <c r="D304" s="1002"/>
      <c r="E304" s="476"/>
      <c r="F304" s="1002"/>
      <c r="G304" s="1003"/>
      <c r="H304" s="1002"/>
      <c r="I304" s="1002"/>
      <c r="J304" s="1002"/>
      <c r="K304" s="1002"/>
      <c r="L304" s="1002"/>
      <c r="M304" s="1002"/>
      <c r="N304" s="1002"/>
      <c r="O304" s="476"/>
      <c r="P304" s="1002"/>
      <c r="Q304" s="476"/>
      <c r="R304" s="1002"/>
      <c r="S304" s="1002"/>
      <c r="T304" s="476"/>
      <c r="U304" s="476"/>
      <c r="V304" s="1002"/>
      <c r="W304" s="476"/>
      <c r="X304" s="476"/>
      <c r="Y304" s="476"/>
      <c r="Z304" s="476"/>
      <c r="AA304" s="476"/>
    </row>
    <row r="305" spans="1:27" ht="15" customHeight="1">
      <c r="A305" s="476"/>
      <c r="B305" s="476"/>
      <c r="C305" s="1001"/>
      <c r="D305" s="1002"/>
      <c r="E305" s="476"/>
      <c r="F305" s="1002"/>
      <c r="G305" s="1003"/>
      <c r="H305" s="1002"/>
      <c r="I305" s="1002"/>
      <c r="J305" s="1002"/>
      <c r="K305" s="1002"/>
      <c r="L305" s="1002"/>
      <c r="M305" s="1002"/>
      <c r="N305" s="1002"/>
      <c r="O305" s="476"/>
      <c r="P305" s="1002"/>
      <c r="Q305" s="476"/>
      <c r="R305" s="1002"/>
      <c r="S305" s="1002"/>
      <c r="T305" s="476"/>
      <c r="U305" s="476"/>
      <c r="V305" s="1002"/>
      <c r="W305" s="476"/>
      <c r="X305" s="476"/>
      <c r="Y305" s="476"/>
      <c r="Z305" s="476"/>
      <c r="AA305" s="476"/>
    </row>
    <row r="306" spans="1:27" ht="15" customHeight="1">
      <c r="A306" s="476"/>
      <c r="B306" s="476"/>
      <c r="C306" s="1001"/>
      <c r="D306" s="1002"/>
      <c r="E306" s="476"/>
      <c r="F306" s="1002"/>
      <c r="G306" s="1003"/>
      <c r="H306" s="1002"/>
      <c r="I306" s="1002"/>
      <c r="J306" s="1002"/>
      <c r="K306" s="1002"/>
      <c r="L306" s="1002"/>
      <c r="M306" s="1002"/>
      <c r="N306" s="1002"/>
      <c r="O306" s="476"/>
      <c r="P306" s="1002"/>
      <c r="Q306" s="476"/>
      <c r="R306" s="1002"/>
      <c r="S306" s="1002"/>
      <c r="T306" s="476"/>
      <c r="U306" s="476"/>
      <c r="V306" s="1002"/>
      <c r="W306" s="476"/>
      <c r="X306" s="476"/>
      <c r="Y306" s="476"/>
      <c r="Z306" s="476"/>
      <c r="AA306" s="476"/>
    </row>
    <row r="307" spans="1:27" ht="15" customHeight="1">
      <c r="A307" s="476"/>
      <c r="B307" s="476"/>
      <c r="C307" s="1001"/>
      <c r="D307" s="1002"/>
      <c r="E307" s="476"/>
      <c r="F307" s="1002"/>
      <c r="G307" s="1003"/>
      <c r="H307" s="1002"/>
      <c r="I307" s="1002"/>
      <c r="J307" s="1002"/>
      <c r="K307" s="1002"/>
      <c r="L307" s="1002"/>
      <c r="M307" s="1002"/>
      <c r="N307" s="1002"/>
      <c r="O307" s="476"/>
      <c r="P307" s="1002"/>
      <c r="Q307" s="476"/>
      <c r="R307" s="1002"/>
      <c r="S307" s="1002"/>
      <c r="T307" s="476"/>
      <c r="U307" s="476"/>
      <c r="V307" s="1002"/>
      <c r="W307" s="476"/>
      <c r="X307" s="476"/>
      <c r="Y307" s="476"/>
      <c r="Z307" s="476"/>
      <c r="AA307" s="476"/>
    </row>
    <row r="308" spans="1:27" ht="15" customHeight="1">
      <c r="A308" s="476"/>
      <c r="B308" s="476"/>
      <c r="C308" s="1001"/>
      <c r="D308" s="1002"/>
      <c r="E308" s="476"/>
      <c r="F308" s="1002"/>
      <c r="G308" s="1003"/>
      <c r="H308" s="1002"/>
      <c r="I308" s="1002"/>
      <c r="J308" s="1002"/>
      <c r="K308" s="1002"/>
      <c r="L308" s="1002"/>
      <c r="M308" s="1002"/>
      <c r="N308" s="1002"/>
      <c r="O308" s="476"/>
      <c r="P308" s="1002"/>
      <c r="Q308" s="476"/>
      <c r="R308" s="1002"/>
      <c r="S308" s="1002"/>
      <c r="T308" s="476"/>
      <c r="U308" s="476"/>
      <c r="V308" s="1002"/>
      <c r="W308" s="476"/>
      <c r="X308" s="476"/>
      <c r="Y308" s="476"/>
      <c r="Z308" s="476"/>
      <c r="AA308" s="476"/>
    </row>
    <row r="309" spans="1:27" ht="15" customHeight="1">
      <c r="A309" s="476"/>
      <c r="B309" s="476"/>
      <c r="C309" s="1001"/>
      <c r="D309" s="1002"/>
      <c r="E309" s="476"/>
      <c r="F309" s="1002"/>
      <c r="G309" s="1003"/>
      <c r="H309" s="1002"/>
      <c r="I309" s="1002"/>
      <c r="J309" s="1002"/>
      <c r="K309" s="1002"/>
      <c r="L309" s="1002"/>
      <c r="M309" s="1002"/>
      <c r="N309" s="1002"/>
      <c r="O309" s="476"/>
      <c r="P309" s="1002"/>
      <c r="Q309" s="476"/>
      <c r="R309" s="1002"/>
      <c r="S309" s="1002"/>
      <c r="T309" s="476"/>
      <c r="U309" s="476"/>
      <c r="V309" s="1002"/>
      <c r="W309" s="476"/>
      <c r="X309" s="476"/>
      <c r="Y309" s="476"/>
      <c r="Z309" s="476"/>
      <c r="AA309" s="476"/>
    </row>
    <row r="310" spans="1:27" ht="15" customHeight="1">
      <c r="A310" s="476"/>
      <c r="B310" s="476"/>
      <c r="C310" s="1001"/>
      <c r="D310" s="1002"/>
      <c r="E310" s="476"/>
      <c r="F310" s="1002"/>
      <c r="G310" s="1003"/>
      <c r="H310" s="1002"/>
      <c r="I310" s="1002"/>
      <c r="J310" s="1002"/>
      <c r="K310" s="1002"/>
      <c r="L310" s="1002"/>
      <c r="M310" s="1002"/>
      <c r="N310" s="1002"/>
      <c r="O310" s="476"/>
      <c r="P310" s="1002"/>
      <c r="Q310" s="476"/>
      <c r="R310" s="1002"/>
      <c r="S310" s="1002"/>
      <c r="T310" s="476"/>
      <c r="U310" s="476"/>
      <c r="V310" s="1002"/>
      <c r="W310" s="476"/>
      <c r="X310" s="476"/>
      <c r="Y310" s="476"/>
      <c r="Z310" s="476"/>
      <c r="AA310" s="476"/>
    </row>
    <row r="311" spans="1:27" ht="15" customHeight="1">
      <c r="A311" s="476"/>
      <c r="B311" s="476"/>
      <c r="C311" s="1001"/>
      <c r="D311" s="1002"/>
      <c r="E311" s="476"/>
      <c r="F311" s="1002"/>
      <c r="G311" s="1003"/>
      <c r="H311" s="1002"/>
      <c r="I311" s="1002"/>
      <c r="J311" s="1002"/>
      <c r="K311" s="1002"/>
      <c r="L311" s="1002"/>
      <c r="M311" s="1002"/>
      <c r="N311" s="1002"/>
      <c r="O311" s="476"/>
      <c r="P311" s="1002"/>
      <c r="Q311" s="476"/>
      <c r="R311" s="1002"/>
      <c r="S311" s="1002"/>
      <c r="T311" s="476"/>
      <c r="U311" s="476"/>
      <c r="V311" s="1002"/>
      <c r="W311" s="476"/>
      <c r="X311" s="476"/>
      <c r="Y311" s="476"/>
      <c r="Z311" s="476"/>
      <c r="AA311" s="476"/>
    </row>
    <row r="312" spans="1:27" ht="15" customHeight="1">
      <c r="A312" s="476"/>
      <c r="B312" s="476"/>
      <c r="C312" s="1001"/>
      <c r="D312" s="1002"/>
      <c r="E312" s="476"/>
      <c r="F312" s="1002"/>
      <c r="G312" s="1003"/>
      <c r="H312" s="1002"/>
      <c r="I312" s="1002"/>
      <c r="J312" s="1002"/>
      <c r="K312" s="1002"/>
      <c r="L312" s="1002"/>
      <c r="M312" s="1002"/>
      <c r="N312" s="1002"/>
      <c r="O312" s="476"/>
      <c r="P312" s="1002"/>
      <c r="Q312" s="476"/>
      <c r="R312" s="1002"/>
      <c r="S312" s="1002"/>
      <c r="T312" s="476"/>
      <c r="U312" s="476"/>
      <c r="V312" s="1002"/>
      <c r="W312" s="476"/>
      <c r="X312" s="476"/>
      <c r="Y312" s="476"/>
      <c r="Z312" s="476"/>
      <c r="AA312" s="476"/>
    </row>
    <row r="313" spans="1:27" ht="15" customHeight="1">
      <c r="A313" s="476"/>
      <c r="B313" s="476"/>
      <c r="C313" s="1001"/>
      <c r="D313" s="1002"/>
      <c r="E313" s="476"/>
      <c r="F313" s="1002"/>
      <c r="G313" s="1003"/>
      <c r="H313" s="1002"/>
      <c r="I313" s="1002"/>
      <c r="J313" s="1002"/>
      <c r="K313" s="1002"/>
      <c r="L313" s="1002"/>
      <c r="M313" s="1002"/>
      <c r="N313" s="1002"/>
      <c r="O313" s="476"/>
      <c r="P313" s="1002"/>
      <c r="Q313" s="476"/>
      <c r="R313" s="1002"/>
      <c r="S313" s="1002"/>
      <c r="T313" s="476"/>
      <c r="U313" s="476"/>
      <c r="V313" s="1002"/>
      <c r="W313" s="476"/>
      <c r="X313" s="476"/>
      <c r="Y313" s="476"/>
      <c r="Z313" s="476"/>
      <c r="AA313" s="476"/>
    </row>
    <row r="314" spans="1:27" ht="15" customHeight="1">
      <c r="A314" s="476"/>
      <c r="B314" s="476"/>
      <c r="C314" s="1001"/>
      <c r="D314" s="1002"/>
      <c r="E314" s="476"/>
      <c r="F314" s="1002"/>
      <c r="G314" s="1003"/>
      <c r="H314" s="1002"/>
      <c r="I314" s="1002"/>
      <c r="J314" s="1002"/>
      <c r="K314" s="1002"/>
      <c r="L314" s="1002"/>
      <c r="M314" s="1002"/>
      <c r="N314" s="1002"/>
      <c r="O314" s="476"/>
      <c r="P314" s="1002"/>
      <c r="Q314" s="476"/>
      <c r="R314" s="1002"/>
      <c r="S314" s="1002"/>
      <c r="T314" s="476"/>
      <c r="U314" s="476"/>
      <c r="V314" s="1002"/>
      <c r="W314" s="476"/>
      <c r="X314" s="476"/>
      <c r="Y314" s="476"/>
      <c r="Z314" s="476"/>
      <c r="AA314" s="476"/>
    </row>
    <row r="315" spans="1:27" ht="15" customHeight="1">
      <c r="A315" s="476"/>
      <c r="B315" s="476"/>
      <c r="C315" s="1001"/>
      <c r="D315" s="1002"/>
      <c r="E315" s="476"/>
      <c r="F315" s="1002"/>
      <c r="G315" s="1003"/>
      <c r="H315" s="1002"/>
      <c r="I315" s="1002"/>
      <c r="J315" s="1002"/>
      <c r="K315" s="1002"/>
      <c r="L315" s="1002"/>
      <c r="M315" s="1002"/>
      <c r="N315" s="1002"/>
      <c r="O315" s="476"/>
      <c r="P315" s="1002"/>
      <c r="Q315" s="476"/>
      <c r="R315" s="1002"/>
      <c r="S315" s="1002"/>
      <c r="T315" s="476"/>
      <c r="U315" s="476"/>
      <c r="V315" s="1002"/>
      <c r="W315" s="476"/>
      <c r="X315" s="476"/>
      <c r="Y315" s="476"/>
      <c r="Z315" s="476"/>
      <c r="AA315" s="476"/>
    </row>
    <row r="316" spans="1:27" ht="15" customHeight="1">
      <c r="A316" s="476"/>
      <c r="B316" s="476"/>
      <c r="C316" s="1001"/>
      <c r="D316" s="1002"/>
      <c r="E316" s="476"/>
      <c r="F316" s="1002"/>
      <c r="G316" s="1003"/>
      <c r="H316" s="1002"/>
      <c r="I316" s="1002"/>
      <c r="J316" s="1002"/>
      <c r="K316" s="1002"/>
      <c r="L316" s="1002"/>
      <c r="M316" s="1002"/>
      <c r="N316" s="1002"/>
      <c r="O316" s="476"/>
      <c r="P316" s="1002"/>
      <c r="Q316" s="476"/>
      <c r="R316" s="1002"/>
      <c r="S316" s="1002"/>
      <c r="T316" s="476"/>
      <c r="U316" s="476"/>
      <c r="V316" s="1002"/>
      <c r="W316" s="476"/>
      <c r="X316" s="476"/>
      <c r="Y316" s="476"/>
      <c r="Z316" s="476"/>
      <c r="AA316" s="476"/>
    </row>
    <row r="317" spans="1:27" ht="15" customHeight="1">
      <c r="A317" s="476"/>
      <c r="B317" s="476"/>
      <c r="C317" s="1001"/>
      <c r="D317" s="1002"/>
      <c r="E317" s="476"/>
      <c r="F317" s="1002"/>
      <c r="G317" s="1003"/>
      <c r="H317" s="1002"/>
      <c r="I317" s="1002"/>
      <c r="J317" s="1002"/>
      <c r="K317" s="1002"/>
      <c r="L317" s="1002"/>
      <c r="M317" s="1002"/>
      <c r="N317" s="1002"/>
      <c r="O317" s="476"/>
      <c r="P317" s="1002"/>
      <c r="Q317" s="476"/>
      <c r="R317" s="1002"/>
      <c r="S317" s="1002"/>
      <c r="T317" s="476"/>
      <c r="U317" s="476"/>
      <c r="V317" s="1002"/>
      <c r="W317" s="476"/>
      <c r="X317" s="476"/>
      <c r="Y317" s="476"/>
      <c r="Z317" s="476"/>
      <c r="AA317" s="476"/>
    </row>
    <row r="318" spans="1:27" ht="15" customHeight="1">
      <c r="A318" s="476"/>
      <c r="B318" s="476"/>
      <c r="C318" s="1001"/>
      <c r="D318" s="1002"/>
      <c r="E318" s="476"/>
      <c r="F318" s="1002"/>
      <c r="G318" s="1003"/>
      <c r="H318" s="1002"/>
      <c r="I318" s="1002"/>
      <c r="J318" s="1002"/>
      <c r="K318" s="1002"/>
      <c r="L318" s="1002"/>
      <c r="M318" s="1002"/>
      <c r="N318" s="1002"/>
      <c r="O318" s="476"/>
      <c r="P318" s="1002"/>
      <c r="Q318" s="476"/>
      <c r="R318" s="1002"/>
      <c r="S318" s="1002"/>
      <c r="T318" s="476"/>
      <c r="U318" s="476"/>
      <c r="V318" s="1002"/>
      <c r="W318" s="476"/>
      <c r="X318" s="476"/>
      <c r="Y318" s="476"/>
      <c r="Z318" s="476"/>
      <c r="AA318" s="476"/>
    </row>
    <row r="319" spans="1:27" ht="15" customHeight="1">
      <c r="A319" s="476"/>
      <c r="B319" s="476"/>
      <c r="C319" s="1001"/>
      <c r="D319" s="1002"/>
      <c r="E319" s="476"/>
      <c r="F319" s="1002"/>
      <c r="G319" s="1003"/>
      <c r="H319" s="1002"/>
      <c r="I319" s="1002"/>
      <c r="J319" s="1002"/>
      <c r="K319" s="1002"/>
      <c r="L319" s="1002"/>
      <c r="M319" s="1002"/>
      <c r="N319" s="1002"/>
      <c r="O319" s="476"/>
      <c r="P319" s="1002"/>
      <c r="Q319" s="476"/>
      <c r="R319" s="1002"/>
      <c r="S319" s="1002"/>
      <c r="T319" s="476"/>
      <c r="U319" s="476"/>
      <c r="V319" s="1002"/>
      <c r="W319" s="476"/>
      <c r="X319" s="476"/>
      <c r="Y319" s="476"/>
      <c r="Z319" s="476"/>
      <c r="AA319" s="476"/>
    </row>
    <row r="320" spans="1:27" ht="15" customHeight="1">
      <c r="A320" s="476"/>
      <c r="B320" s="476"/>
      <c r="C320" s="1001"/>
      <c r="D320" s="1002"/>
      <c r="E320" s="476"/>
      <c r="F320" s="1002"/>
      <c r="G320" s="1003"/>
      <c r="H320" s="1002"/>
      <c r="I320" s="1002"/>
      <c r="J320" s="1002"/>
      <c r="K320" s="1002"/>
      <c r="L320" s="1002"/>
      <c r="M320" s="1002"/>
      <c r="N320" s="1002"/>
      <c r="O320" s="476"/>
      <c r="P320" s="1002"/>
      <c r="Q320" s="476"/>
      <c r="R320" s="1002"/>
      <c r="S320" s="1002"/>
      <c r="T320" s="476"/>
      <c r="U320" s="476"/>
      <c r="V320" s="1002"/>
      <c r="W320" s="476"/>
      <c r="X320" s="476"/>
      <c r="Y320" s="476"/>
      <c r="Z320" s="476"/>
      <c r="AA320" s="476"/>
    </row>
    <row r="321" spans="1:27" ht="15" customHeight="1">
      <c r="A321" s="476"/>
      <c r="B321" s="476"/>
      <c r="C321" s="1001"/>
      <c r="D321" s="1002"/>
      <c r="E321" s="476"/>
      <c r="F321" s="1002"/>
      <c r="G321" s="1003"/>
      <c r="H321" s="1002"/>
      <c r="I321" s="1002"/>
      <c r="J321" s="1002"/>
      <c r="K321" s="1002"/>
      <c r="L321" s="1002"/>
      <c r="M321" s="1002"/>
      <c r="N321" s="1002"/>
      <c r="O321" s="476"/>
      <c r="P321" s="1002"/>
      <c r="Q321" s="476"/>
      <c r="R321" s="1002"/>
      <c r="S321" s="1002"/>
      <c r="T321" s="476"/>
      <c r="U321" s="476"/>
      <c r="V321" s="1002"/>
      <c r="W321" s="476"/>
      <c r="X321" s="476"/>
      <c r="Y321" s="476"/>
      <c r="Z321" s="476"/>
      <c r="AA321" s="476"/>
    </row>
    <row r="322" spans="1:27" ht="15" customHeight="1">
      <c r="A322" s="476"/>
      <c r="B322" s="476"/>
      <c r="C322" s="1001"/>
      <c r="D322" s="1002"/>
      <c r="E322" s="476"/>
      <c r="F322" s="1002"/>
      <c r="G322" s="1003"/>
      <c r="H322" s="1002"/>
      <c r="I322" s="1002"/>
      <c r="J322" s="1002"/>
      <c r="K322" s="1002"/>
      <c r="L322" s="1002"/>
      <c r="M322" s="1002"/>
      <c r="N322" s="1002"/>
      <c r="O322" s="476"/>
      <c r="P322" s="1002"/>
      <c r="Q322" s="476"/>
      <c r="R322" s="1002"/>
      <c r="S322" s="1002"/>
      <c r="T322" s="476"/>
      <c r="U322" s="476"/>
      <c r="V322" s="1002"/>
      <c r="W322" s="476"/>
      <c r="X322" s="476"/>
      <c r="Y322" s="476"/>
      <c r="Z322" s="476"/>
      <c r="AA322" s="476"/>
    </row>
    <row r="323" spans="1:27" ht="15" customHeight="1">
      <c r="A323" s="476"/>
      <c r="B323" s="476"/>
      <c r="C323" s="1001"/>
      <c r="D323" s="1002"/>
      <c r="E323" s="476"/>
      <c r="F323" s="1002"/>
      <c r="G323" s="1003"/>
      <c r="H323" s="1002"/>
      <c r="I323" s="1002"/>
      <c r="J323" s="1002"/>
      <c r="K323" s="1002"/>
      <c r="L323" s="1002"/>
      <c r="M323" s="1002"/>
      <c r="N323" s="1002"/>
      <c r="O323" s="476"/>
      <c r="P323" s="1002"/>
      <c r="Q323" s="476"/>
      <c r="R323" s="1002"/>
      <c r="S323" s="1002"/>
      <c r="T323" s="476"/>
      <c r="U323" s="476"/>
      <c r="V323" s="1002"/>
      <c r="W323" s="476"/>
      <c r="X323" s="476"/>
      <c r="Y323" s="476"/>
      <c r="Z323" s="476"/>
      <c r="AA323" s="476"/>
    </row>
    <row r="324" spans="1:27" ht="15" customHeight="1">
      <c r="A324" s="476"/>
      <c r="B324" s="476"/>
      <c r="C324" s="1001"/>
      <c r="D324" s="1002"/>
      <c r="E324" s="476"/>
      <c r="F324" s="1002"/>
      <c r="G324" s="1003"/>
      <c r="H324" s="1002"/>
      <c r="I324" s="1002"/>
      <c r="J324" s="1002"/>
      <c r="K324" s="1002"/>
      <c r="L324" s="1002"/>
      <c r="M324" s="1002"/>
      <c r="N324" s="1002"/>
      <c r="O324" s="476"/>
      <c r="P324" s="1002"/>
      <c r="Q324" s="476"/>
      <c r="R324" s="1002"/>
      <c r="S324" s="1002"/>
      <c r="T324" s="476"/>
      <c r="U324" s="476"/>
      <c r="V324" s="1002"/>
      <c r="W324" s="476"/>
      <c r="X324" s="476"/>
      <c r="Y324" s="476"/>
      <c r="Z324" s="476"/>
      <c r="AA324" s="476"/>
    </row>
    <row r="325" spans="1:27" ht="15" customHeight="1">
      <c r="A325" s="476"/>
      <c r="B325" s="476"/>
      <c r="C325" s="1001"/>
      <c r="D325" s="1002"/>
      <c r="E325" s="476"/>
      <c r="F325" s="1002"/>
      <c r="G325" s="1003"/>
      <c r="H325" s="1002"/>
      <c r="I325" s="1002"/>
      <c r="J325" s="1002"/>
      <c r="K325" s="1002"/>
      <c r="L325" s="1002"/>
      <c r="M325" s="1002"/>
      <c r="N325" s="1002"/>
      <c r="O325" s="476"/>
      <c r="P325" s="1002"/>
      <c r="Q325" s="476"/>
      <c r="R325" s="1002"/>
      <c r="S325" s="1002"/>
      <c r="T325" s="476"/>
      <c r="U325" s="476"/>
      <c r="V325" s="1002"/>
      <c r="W325" s="476"/>
      <c r="X325" s="476"/>
      <c r="Y325" s="476"/>
      <c r="Z325" s="476"/>
      <c r="AA325" s="476"/>
    </row>
    <row r="326" spans="1:27" ht="15" customHeight="1">
      <c r="A326" s="476"/>
      <c r="B326" s="476"/>
      <c r="C326" s="1001"/>
      <c r="D326" s="1002"/>
      <c r="E326" s="476"/>
      <c r="F326" s="1002"/>
      <c r="G326" s="1003"/>
      <c r="H326" s="1002"/>
      <c r="I326" s="1002"/>
      <c r="J326" s="1002"/>
      <c r="K326" s="1002"/>
      <c r="L326" s="1002"/>
      <c r="M326" s="1002"/>
      <c r="N326" s="1002"/>
      <c r="O326" s="476"/>
      <c r="P326" s="1002"/>
      <c r="Q326" s="476"/>
      <c r="R326" s="1002"/>
      <c r="S326" s="1002"/>
      <c r="T326" s="476"/>
      <c r="U326" s="476"/>
      <c r="V326" s="1002"/>
      <c r="W326" s="476"/>
      <c r="X326" s="476"/>
      <c r="Y326" s="476"/>
      <c r="Z326" s="476"/>
      <c r="AA326" s="476"/>
    </row>
    <row r="327" spans="1:27" ht="15" customHeight="1">
      <c r="A327" s="476"/>
      <c r="B327" s="476"/>
      <c r="C327" s="1001"/>
      <c r="D327" s="1002"/>
      <c r="E327" s="476"/>
      <c r="F327" s="1002"/>
      <c r="G327" s="1003"/>
      <c r="H327" s="1002"/>
      <c r="I327" s="1002"/>
      <c r="J327" s="1002"/>
      <c r="K327" s="1002"/>
      <c r="L327" s="1002"/>
      <c r="M327" s="1002"/>
      <c r="N327" s="1002"/>
      <c r="O327" s="476"/>
      <c r="P327" s="1002"/>
      <c r="Q327" s="476"/>
      <c r="R327" s="1002"/>
      <c r="S327" s="1002"/>
      <c r="T327" s="476"/>
      <c r="U327" s="476"/>
      <c r="V327" s="1002"/>
      <c r="W327" s="476"/>
      <c r="X327" s="476"/>
      <c r="Y327" s="476"/>
      <c r="Z327" s="476"/>
      <c r="AA327" s="476"/>
    </row>
    <row r="328" spans="1:27" ht="15" customHeight="1">
      <c r="A328" s="476"/>
      <c r="B328" s="476"/>
      <c r="C328" s="1001"/>
      <c r="D328" s="1002"/>
      <c r="E328" s="476"/>
      <c r="F328" s="1002"/>
      <c r="G328" s="1003"/>
      <c r="H328" s="1002"/>
      <c r="I328" s="1002"/>
      <c r="J328" s="1002"/>
      <c r="K328" s="1002"/>
      <c r="L328" s="1002"/>
      <c r="M328" s="1002"/>
      <c r="N328" s="1002"/>
      <c r="O328" s="476"/>
      <c r="P328" s="1002"/>
      <c r="Q328" s="476"/>
      <c r="R328" s="1002"/>
      <c r="S328" s="1002"/>
      <c r="T328" s="476"/>
      <c r="U328" s="476"/>
      <c r="V328" s="1002"/>
      <c r="W328" s="476"/>
      <c r="X328" s="476"/>
      <c r="Y328" s="476"/>
      <c r="Z328" s="476"/>
      <c r="AA328" s="476"/>
    </row>
    <row r="329" spans="1:27" ht="15" customHeight="1">
      <c r="A329" s="476"/>
      <c r="B329" s="476"/>
      <c r="C329" s="1001"/>
      <c r="D329" s="1002"/>
      <c r="E329" s="476"/>
      <c r="F329" s="1002"/>
      <c r="G329" s="1003"/>
      <c r="H329" s="1002"/>
      <c r="I329" s="1002"/>
      <c r="J329" s="1002"/>
      <c r="K329" s="1002"/>
      <c r="L329" s="1002"/>
      <c r="M329" s="1002"/>
      <c r="N329" s="1002"/>
      <c r="O329" s="476"/>
      <c r="P329" s="1002"/>
      <c r="Q329" s="476"/>
      <c r="R329" s="1002"/>
      <c r="S329" s="1002"/>
      <c r="T329" s="476"/>
      <c r="U329" s="476"/>
      <c r="V329" s="1002"/>
      <c r="W329" s="476"/>
      <c r="X329" s="476"/>
      <c r="Y329" s="476"/>
      <c r="Z329" s="476"/>
      <c r="AA329" s="476"/>
    </row>
    <row r="330" spans="1:27" ht="15" customHeight="1">
      <c r="A330" s="476"/>
      <c r="B330" s="476"/>
      <c r="C330" s="1001"/>
      <c r="D330" s="1002"/>
      <c r="E330" s="476"/>
      <c r="F330" s="1002"/>
      <c r="G330" s="1003"/>
      <c r="H330" s="1002"/>
      <c r="I330" s="1002"/>
      <c r="J330" s="1002"/>
      <c r="K330" s="1002"/>
      <c r="L330" s="1002"/>
      <c r="M330" s="1002"/>
      <c r="N330" s="1002"/>
      <c r="O330" s="476"/>
      <c r="P330" s="1002"/>
      <c r="Q330" s="476"/>
      <c r="R330" s="1002"/>
      <c r="S330" s="1002"/>
      <c r="T330" s="476"/>
      <c r="U330" s="476"/>
      <c r="V330" s="1002"/>
      <c r="W330" s="476"/>
      <c r="X330" s="476"/>
      <c r="Y330" s="476"/>
      <c r="Z330" s="476"/>
      <c r="AA330" s="476"/>
    </row>
    <row r="331" spans="1:27" ht="15" customHeight="1">
      <c r="A331" s="476"/>
      <c r="B331" s="476"/>
      <c r="C331" s="1001"/>
      <c r="D331" s="1002"/>
      <c r="E331" s="476"/>
      <c r="F331" s="1002"/>
      <c r="G331" s="1003"/>
      <c r="H331" s="1002"/>
      <c r="I331" s="1002"/>
      <c r="J331" s="1002"/>
      <c r="K331" s="1002"/>
      <c r="L331" s="1002"/>
      <c r="M331" s="1002"/>
      <c r="N331" s="1002"/>
      <c r="O331" s="476"/>
      <c r="P331" s="1002"/>
      <c r="Q331" s="476"/>
      <c r="R331" s="1002"/>
      <c r="S331" s="1002"/>
      <c r="T331" s="476"/>
      <c r="U331" s="476"/>
      <c r="V331" s="1002"/>
      <c r="W331" s="476"/>
      <c r="X331" s="476"/>
      <c r="Y331" s="476"/>
      <c r="Z331" s="476"/>
      <c r="AA331" s="476"/>
    </row>
    <row r="332" spans="1:27" ht="15" customHeight="1">
      <c r="A332" s="476"/>
      <c r="B332" s="476"/>
      <c r="C332" s="1001"/>
      <c r="D332" s="1002"/>
      <c r="E332" s="476"/>
      <c r="F332" s="1002"/>
      <c r="G332" s="1003"/>
      <c r="H332" s="1002"/>
      <c r="I332" s="1002"/>
      <c r="J332" s="1002"/>
      <c r="K332" s="1002"/>
      <c r="L332" s="1002"/>
      <c r="M332" s="1002"/>
      <c r="N332" s="1002"/>
      <c r="O332" s="476"/>
      <c r="P332" s="1002"/>
      <c r="Q332" s="476"/>
      <c r="R332" s="1002"/>
      <c r="S332" s="1002"/>
      <c r="T332" s="476"/>
      <c r="U332" s="476"/>
      <c r="V332" s="1002"/>
      <c r="W332" s="476"/>
      <c r="X332" s="476"/>
      <c r="Y332" s="476"/>
      <c r="Z332" s="476"/>
      <c r="AA332" s="476"/>
    </row>
    <row r="333" spans="1:27" ht="15" customHeight="1">
      <c r="A333" s="476"/>
      <c r="B333" s="476"/>
      <c r="C333" s="1001"/>
      <c r="D333" s="1002"/>
      <c r="E333" s="476"/>
      <c r="F333" s="1002"/>
      <c r="G333" s="1003"/>
      <c r="H333" s="1002"/>
      <c r="I333" s="1002"/>
      <c r="J333" s="1002"/>
      <c r="K333" s="1002"/>
      <c r="L333" s="1002"/>
      <c r="M333" s="1002"/>
      <c r="N333" s="1002"/>
      <c r="O333" s="476"/>
      <c r="P333" s="1002"/>
      <c r="Q333" s="476"/>
      <c r="R333" s="1002"/>
      <c r="S333" s="1002"/>
      <c r="T333" s="476"/>
      <c r="U333" s="476"/>
      <c r="V333" s="1002"/>
      <c r="W333" s="476"/>
      <c r="X333" s="476"/>
      <c r="Y333" s="476"/>
      <c r="Z333" s="476"/>
      <c r="AA333" s="476"/>
    </row>
    <row r="334" spans="1:27" ht="15" customHeight="1">
      <c r="A334" s="476"/>
      <c r="B334" s="476"/>
      <c r="C334" s="1001"/>
      <c r="D334" s="1002"/>
      <c r="E334" s="476"/>
      <c r="F334" s="1002"/>
      <c r="G334" s="1003"/>
      <c r="H334" s="1002"/>
      <c r="I334" s="1002"/>
      <c r="J334" s="1002"/>
      <c r="K334" s="1002"/>
      <c r="L334" s="1002"/>
      <c r="M334" s="1002"/>
      <c r="N334" s="1002"/>
      <c r="O334" s="476"/>
      <c r="P334" s="1002"/>
      <c r="Q334" s="476"/>
      <c r="R334" s="1002"/>
      <c r="S334" s="1002"/>
      <c r="T334" s="476"/>
      <c r="U334" s="476"/>
      <c r="V334" s="1002"/>
      <c r="W334" s="476"/>
      <c r="X334" s="476"/>
      <c r="Y334" s="476"/>
      <c r="Z334" s="476"/>
      <c r="AA334" s="476"/>
    </row>
    <row r="335" spans="1:27" ht="15" customHeight="1">
      <c r="A335" s="476"/>
      <c r="B335" s="476"/>
      <c r="C335" s="1001"/>
      <c r="D335" s="1002"/>
      <c r="E335" s="476"/>
      <c r="F335" s="1002"/>
      <c r="G335" s="1003"/>
      <c r="H335" s="1002"/>
      <c r="I335" s="1002"/>
      <c r="J335" s="1002"/>
      <c r="K335" s="1002"/>
      <c r="L335" s="1002"/>
      <c r="M335" s="1002"/>
      <c r="N335" s="1002"/>
      <c r="O335" s="476"/>
      <c r="P335" s="1002"/>
      <c r="Q335" s="476"/>
      <c r="R335" s="1002"/>
      <c r="S335" s="1002"/>
      <c r="T335" s="476"/>
      <c r="U335" s="476"/>
      <c r="V335" s="1002"/>
      <c r="W335" s="476"/>
      <c r="X335" s="476"/>
      <c r="Y335" s="476"/>
      <c r="Z335" s="476"/>
      <c r="AA335" s="476"/>
    </row>
    <row r="336" spans="1:27" ht="15" customHeight="1">
      <c r="A336" s="476"/>
      <c r="B336" s="476"/>
      <c r="C336" s="1001"/>
      <c r="D336" s="1002"/>
      <c r="E336" s="476"/>
      <c r="F336" s="1002"/>
      <c r="G336" s="1003"/>
      <c r="H336" s="1002"/>
      <c r="I336" s="1002"/>
      <c r="J336" s="1002"/>
      <c r="K336" s="1002"/>
      <c r="L336" s="1002"/>
      <c r="M336" s="1002"/>
      <c r="N336" s="1002"/>
      <c r="O336" s="476"/>
      <c r="P336" s="1002"/>
      <c r="Q336" s="476"/>
      <c r="R336" s="1002"/>
      <c r="S336" s="1002"/>
      <c r="T336" s="476"/>
      <c r="U336" s="476"/>
      <c r="V336" s="1002"/>
      <c r="W336" s="476"/>
      <c r="X336" s="476"/>
      <c r="Y336" s="476"/>
      <c r="Z336" s="476"/>
      <c r="AA336" s="476"/>
    </row>
    <row r="337" spans="1:27" ht="15" customHeight="1">
      <c r="A337" s="476"/>
      <c r="B337" s="476"/>
      <c r="C337" s="1001"/>
      <c r="D337" s="1002"/>
      <c r="E337" s="476"/>
      <c r="F337" s="1002"/>
      <c r="G337" s="1003"/>
      <c r="H337" s="1002"/>
      <c r="I337" s="1002"/>
      <c r="J337" s="1002"/>
      <c r="K337" s="1002"/>
      <c r="L337" s="1002"/>
      <c r="M337" s="1002"/>
      <c r="N337" s="1002"/>
      <c r="O337" s="476"/>
      <c r="P337" s="1002"/>
      <c r="Q337" s="476"/>
      <c r="R337" s="1002"/>
      <c r="S337" s="1002"/>
      <c r="T337" s="476"/>
      <c r="U337" s="476"/>
      <c r="V337" s="1002"/>
      <c r="W337" s="476"/>
      <c r="X337" s="476"/>
      <c r="Y337" s="476"/>
      <c r="Z337" s="476"/>
      <c r="AA337" s="476"/>
    </row>
    <row r="338" spans="1:27" ht="15" customHeight="1">
      <c r="A338" s="476"/>
      <c r="B338" s="476"/>
      <c r="C338" s="1001"/>
      <c r="D338" s="1002"/>
      <c r="E338" s="476"/>
      <c r="F338" s="1002"/>
      <c r="G338" s="1003"/>
      <c r="H338" s="1002"/>
      <c r="I338" s="1002"/>
      <c r="J338" s="1002"/>
      <c r="K338" s="1002"/>
      <c r="L338" s="1002"/>
      <c r="M338" s="1002"/>
      <c r="N338" s="1002"/>
      <c r="O338" s="476"/>
      <c r="P338" s="1002"/>
      <c r="Q338" s="476"/>
      <c r="R338" s="1002"/>
      <c r="S338" s="1002"/>
      <c r="T338" s="476"/>
      <c r="U338" s="476"/>
      <c r="V338" s="1002"/>
      <c r="W338" s="476"/>
      <c r="X338" s="476"/>
      <c r="Y338" s="476"/>
      <c r="Z338" s="476"/>
      <c r="AA338" s="476"/>
    </row>
    <row r="339" spans="1:27" ht="15" customHeight="1">
      <c r="A339" s="476"/>
      <c r="B339" s="476"/>
      <c r="C339" s="1001"/>
      <c r="D339" s="1002"/>
      <c r="E339" s="476"/>
      <c r="F339" s="1002"/>
      <c r="G339" s="1003"/>
      <c r="H339" s="1002"/>
      <c r="I339" s="1002"/>
      <c r="J339" s="1002"/>
      <c r="K339" s="1002"/>
      <c r="L339" s="1002"/>
      <c r="M339" s="1002"/>
      <c r="N339" s="1002"/>
      <c r="O339" s="476"/>
      <c r="P339" s="1002"/>
      <c r="Q339" s="476"/>
      <c r="R339" s="1002"/>
      <c r="S339" s="1002"/>
      <c r="T339" s="476"/>
      <c r="U339" s="476"/>
      <c r="V339" s="1002"/>
      <c r="W339" s="476"/>
      <c r="X339" s="476"/>
      <c r="Y339" s="476"/>
      <c r="Z339" s="476"/>
      <c r="AA339" s="476"/>
    </row>
    <row r="340" spans="1:27" ht="15" customHeight="1">
      <c r="A340" s="476"/>
      <c r="B340" s="476"/>
      <c r="C340" s="1001"/>
      <c r="D340" s="1002"/>
      <c r="E340" s="476"/>
      <c r="F340" s="1002"/>
      <c r="G340" s="1003"/>
      <c r="H340" s="1002"/>
      <c r="I340" s="1002"/>
      <c r="J340" s="1002"/>
      <c r="K340" s="1002"/>
      <c r="L340" s="1002"/>
      <c r="M340" s="1002"/>
      <c r="N340" s="1002"/>
      <c r="O340" s="476"/>
      <c r="P340" s="1002"/>
      <c r="Q340" s="476"/>
      <c r="R340" s="1002"/>
      <c r="S340" s="1002"/>
      <c r="T340" s="476"/>
      <c r="U340" s="476"/>
      <c r="V340" s="1002"/>
      <c r="W340" s="476"/>
      <c r="X340" s="476"/>
      <c r="Y340" s="476"/>
      <c r="Z340" s="476"/>
      <c r="AA340" s="476"/>
    </row>
    <row r="341" spans="1:27" ht="15" customHeight="1">
      <c r="A341" s="476"/>
      <c r="B341" s="476"/>
      <c r="C341" s="1001"/>
      <c r="D341" s="1002"/>
      <c r="E341" s="476"/>
      <c r="F341" s="1002"/>
      <c r="G341" s="1003"/>
      <c r="H341" s="1002"/>
      <c r="I341" s="1002"/>
      <c r="J341" s="1002"/>
      <c r="K341" s="1002"/>
      <c r="L341" s="1002"/>
      <c r="M341" s="1002"/>
      <c r="N341" s="1002"/>
      <c r="O341" s="476"/>
      <c r="P341" s="1002"/>
      <c r="Q341" s="476"/>
      <c r="R341" s="1002"/>
      <c r="S341" s="1002"/>
      <c r="T341" s="476"/>
      <c r="U341" s="476"/>
      <c r="V341" s="1002"/>
      <c r="W341" s="476"/>
      <c r="X341" s="476"/>
      <c r="Y341" s="476"/>
      <c r="Z341" s="476"/>
      <c r="AA341" s="476"/>
    </row>
    <row r="342" spans="1:27" ht="15" customHeight="1">
      <c r="A342" s="476"/>
      <c r="B342" s="476"/>
      <c r="C342" s="1001"/>
      <c r="D342" s="1002"/>
      <c r="E342" s="476"/>
      <c r="F342" s="1002"/>
      <c r="G342" s="1003"/>
      <c r="H342" s="1002"/>
      <c r="I342" s="1002"/>
      <c r="J342" s="1002"/>
      <c r="K342" s="1002"/>
      <c r="L342" s="1002"/>
      <c r="M342" s="1002"/>
      <c r="N342" s="1002"/>
      <c r="O342" s="476"/>
      <c r="P342" s="1002"/>
      <c r="Q342" s="476"/>
      <c r="R342" s="1002"/>
      <c r="S342" s="1002"/>
      <c r="T342" s="476"/>
      <c r="U342" s="476"/>
      <c r="V342" s="1002"/>
      <c r="W342" s="476"/>
      <c r="X342" s="476"/>
      <c r="Y342" s="476"/>
      <c r="Z342" s="476"/>
      <c r="AA342" s="476"/>
    </row>
    <row r="343" spans="1:27" ht="15" customHeight="1">
      <c r="A343" s="476"/>
      <c r="B343" s="476"/>
      <c r="C343" s="1001"/>
      <c r="D343" s="1002"/>
      <c r="E343" s="476"/>
      <c r="F343" s="1002"/>
      <c r="G343" s="1003"/>
      <c r="H343" s="1002"/>
      <c r="I343" s="1002"/>
      <c r="J343" s="1002"/>
      <c r="K343" s="1002"/>
      <c r="L343" s="1002"/>
      <c r="M343" s="1002"/>
      <c r="N343" s="1002"/>
      <c r="O343" s="476"/>
      <c r="P343" s="1002"/>
      <c r="Q343" s="476"/>
      <c r="R343" s="1002"/>
      <c r="S343" s="1002"/>
      <c r="T343" s="476"/>
      <c r="U343" s="476"/>
      <c r="V343" s="1002"/>
      <c r="W343" s="476"/>
      <c r="X343" s="476"/>
      <c r="Y343" s="476"/>
      <c r="Z343" s="476"/>
      <c r="AA343" s="476"/>
    </row>
    <row r="344" spans="1:27" ht="15" customHeight="1">
      <c r="A344" s="476"/>
      <c r="B344" s="476"/>
      <c r="C344" s="1001"/>
      <c r="D344" s="1002"/>
      <c r="E344" s="476"/>
      <c r="F344" s="1002"/>
      <c r="G344" s="1003"/>
      <c r="H344" s="1002"/>
      <c r="I344" s="1002"/>
      <c r="J344" s="1002"/>
      <c r="K344" s="1002"/>
      <c r="L344" s="1002"/>
      <c r="M344" s="1002"/>
      <c r="N344" s="1002"/>
      <c r="O344" s="476"/>
      <c r="P344" s="1002"/>
      <c r="Q344" s="476"/>
      <c r="R344" s="1002"/>
      <c r="S344" s="1002"/>
      <c r="T344" s="476"/>
      <c r="U344" s="476"/>
      <c r="V344" s="1002"/>
      <c r="W344" s="476"/>
      <c r="X344" s="476"/>
      <c r="Y344" s="476"/>
      <c r="Z344" s="476"/>
      <c r="AA344" s="476"/>
    </row>
    <row r="345" spans="1:27" ht="15" customHeight="1">
      <c r="A345" s="476"/>
      <c r="B345" s="476"/>
      <c r="C345" s="1001"/>
      <c r="D345" s="1002"/>
      <c r="E345" s="476"/>
      <c r="F345" s="1002"/>
      <c r="G345" s="1003"/>
      <c r="H345" s="1002"/>
      <c r="I345" s="1002"/>
      <c r="J345" s="1002"/>
      <c r="K345" s="1002"/>
      <c r="L345" s="1002"/>
      <c r="M345" s="1002"/>
      <c r="N345" s="1002"/>
      <c r="O345" s="476"/>
      <c r="P345" s="1002"/>
      <c r="Q345" s="476"/>
      <c r="R345" s="1002"/>
      <c r="S345" s="1002"/>
      <c r="T345" s="476"/>
      <c r="U345" s="476"/>
      <c r="V345" s="1002"/>
      <c r="W345" s="476"/>
      <c r="X345" s="476"/>
      <c r="Y345" s="476"/>
      <c r="Z345" s="476"/>
      <c r="AA345" s="476"/>
    </row>
    <row r="346" spans="1:27" ht="15" customHeight="1">
      <c r="A346" s="476"/>
      <c r="B346" s="476"/>
      <c r="C346" s="1001"/>
      <c r="D346" s="1002"/>
      <c r="E346" s="476"/>
      <c r="F346" s="1002"/>
      <c r="G346" s="1003"/>
      <c r="H346" s="1002"/>
      <c r="I346" s="1002"/>
      <c r="J346" s="1002"/>
      <c r="K346" s="1002"/>
      <c r="L346" s="1002"/>
      <c r="M346" s="1002"/>
      <c r="N346" s="1002"/>
      <c r="O346" s="476"/>
      <c r="P346" s="1002"/>
      <c r="Q346" s="476"/>
      <c r="R346" s="1002"/>
      <c r="S346" s="1002"/>
      <c r="T346" s="476"/>
      <c r="U346" s="476"/>
      <c r="V346" s="1002"/>
      <c r="W346" s="476"/>
      <c r="X346" s="476"/>
      <c r="Y346" s="476"/>
      <c r="Z346" s="476"/>
      <c r="AA346" s="476"/>
    </row>
    <row r="347" spans="1:27" ht="15" customHeight="1">
      <c r="A347" s="476"/>
      <c r="B347" s="476"/>
      <c r="C347" s="1001"/>
      <c r="D347" s="1002"/>
      <c r="E347" s="476"/>
      <c r="F347" s="1002"/>
      <c r="G347" s="1003"/>
      <c r="H347" s="1002"/>
      <c r="I347" s="1002"/>
      <c r="J347" s="1002"/>
      <c r="K347" s="1002"/>
      <c r="L347" s="1002"/>
      <c r="M347" s="1002"/>
      <c r="N347" s="1002"/>
      <c r="O347" s="476"/>
      <c r="P347" s="1002"/>
      <c r="Q347" s="476"/>
      <c r="R347" s="1002"/>
      <c r="S347" s="1002"/>
      <c r="T347" s="476"/>
      <c r="U347" s="476"/>
      <c r="V347" s="1002"/>
      <c r="W347" s="476"/>
      <c r="X347" s="476"/>
      <c r="Y347" s="476"/>
      <c r="Z347" s="476"/>
      <c r="AA347" s="476"/>
    </row>
    <row r="348" spans="1:27" ht="15" customHeight="1">
      <c r="A348" s="476"/>
      <c r="B348" s="476"/>
      <c r="C348" s="1001"/>
      <c r="D348" s="1002"/>
      <c r="E348" s="476"/>
      <c r="F348" s="1002"/>
      <c r="G348" s="1003"/>
      <c r="H348" s="1002"/>
      <c r="I348" s="1002"/>
      <c r="J348" s="1002"/>
      <c r="K348" s="1002"/>
      <c r="L348" s="1002"/>
      <c r="M348" s="1002"/>
      <c r="N348" s="1002"/>
      <c r="O348" s="476"/>
      <c r="P348" s="1002"/>
      <c r="Q348" s="476"/>
      <c r="R348" s="1002"/>
      <c r="S348" s="1002"/>
      <c r="T348" s="476"/>
      <c r="U348" s="476"/>
      <c r="V348" s="1002"/>
      <c r="W348" s="476"/>
      <c r="X348" s="476"/>
      <c r="Y348" s="476"/>
      <c r="Z348" s="476"/>
      <c r="AA348" s="476"/>
    </row>
    <row r="349" spans="1:27" ht="15" customHeight="1">
      <c r="A349" s="476"/>
      <c r="B349" s="476"/>
      <c r="C349" s="1001"/>
      <c r="D349" s="1002"/>
      <c r="E349" s="476"/>
      <c r="F349" s="1002"/>
      <c r="G349" s="1003"/>
      <c r="H349" s="1002"/>
      <c r="I349" s="1002"/>
      <c r="J349" s="1002"/>
      <c r="K349" s="1002"/>
      <c r="L349" s="1002"/>
      <c r="M349" s="1002"/>
      <c r="N349" s="1002"/>
      <c r="O349" s="476"/>
      <c r="P349" s="1002"/>
      <c r="Q349" s="476"/>
      <c r="R349" s="1002"/>
      <c r="S349" s="1002"/>
      <c r="T349" s="476"/>
      <c r="U349" s="476"/>
      <c r="V349" s="1002"/>
      <c r="W349" s="476"/>
      <c r="X349" s="476"/>
      <c r="Y349" s="476"/>
      <c r="Z349" s="476"/>
      <c r="AA349" s="476"/>
    </row>
    <row r="350" spans="1:27" ht="15" customHeight="1">
      <c r="A350" s="476"/>
      <c r="B350" s="476"/>
      <c r="C350" s="1001"/>
      <c r="D350" s="1002"/>
      <c r="E350" s="476"/>
      <c r="F350" s="1002"/>
      <c r="G350" s="1003"/>
      <c r="H350" s="1002"/>
      <c r="I350" s="1002"/>
      <c r="J350" s="1002"/>
      <c r="K350" s="1002"/>
      <c r="L350" s="1002"/>
      <c r="M350" s="1002"/>
      <c r="N350" s="1002"/>
      <c r="O350" s="476"/>
      <c r="P350" s="1002"/>
      <c r="Q350" s="476"/>
      <c r="R350" s="1002"/>
      <c r="S350" s="1002"/>
      <c r="T350" s="476"/>
      <c r="U350" s="476"/>
      <c r="V350" s="1002"/>
      <c r="W350" s="476"/>
      <c r="X350" s="476"/>
      <c r="Y350" s="476"/>
      <c r="Z350" s="476"/>
      <c r="AA350" s="476"/>
    </row>
    <row r="351" spans="1:27" ht="15" customHeight="1">
      <c r="A351" s="476"/>
      <c r="B351" s="476"/>
      <c r="C351" s="1001"/>
      <c r="D351" s="1002"/>
      <c r="E351" s="476"/>
      <c r="F351" s="1002"/>
      <c r="G351" s="1003"/>
      <c r="H351" s="1002"/>
      <c r="I351" s="1002"/>
      <c r="J351" s="1002"/>
      <c r="K351" s="1002"/>
      <c r="L351" s="1002"/>
      <c r="M351" s="1002"/>
      <c r="N351" s="1002"/>
      <c r="O351" s="476"/>
      <c r="P351" s="1002"/>
      <c r="Q351" s="476"/>
      <c r="R351" s="1002"/>
      <c r="S351" s="1002"/>
      <c r="T351" s="476"/>
      <c r="U351" s="476"/>
      <c r="V351" s="1002"/>
      <c r="W351" s="476"/>
      <c r="X351" s="476"/>
      <c r="Y351" s="476"/>
      <c r="Z351" s="476"/>
      <c r="AA351" s="476"/>
    </row>
    <row r="352" spans="1:27" ht="15" customHeight="1">
      <c r="A352" s="476"/>
      <c r="B352" s="476"/>
      <c r="C352" s="1001"/>
      <c r="D352" s="1002"/>
      <c r="E352" s="476"/>
      <c r="F352" s="1002"/>
      <c r="G352" s="1003"/>
      <c r="H352" s="1002"/>
      <c r="I352" s="1002"/>
      <c r="J352" s="1002"/>
      <c r="K352" s="1002"/>
      <c r="L352" s="1002"/>
      <c r="M352" s="1002"/>
      <c r="N352" s="1002"/>
      <c r="O352" s="476"/>
      <c r="P352" s="1002"/>
      <c r="Q352" s="476"/>
      <c r="R352" s="1002"/>
      <c r="S352" s="1002"/>
      <c r="T352" s="476"/>
      <c r="U352" s="476"/>
      <c r="V352" s="1002"/>
      <c r="W352" s="476"/>
      <c r="X352" s="476"/>
      <c r="Y352" s="476"/>
      <c r="Z352" s="476"/>
      <c r="AA352" s="476"/>
    </row>
    <row r="353" spans="1:27" ht="15" customHeight="1">
      <c r="A353" s="476"/>
      <c r="B353" s="476"/>
      <c r="C353" s="1001"/>
      <c r="D353" s="1002"/>
      <c r="E353" s="476"/>
      <c r="F353" s="1002"/>
      <c r="G353" s="1003"/>
      <c r="H353" s="1002"/>
      <c r="I353" s="1002"/>
      <c r="J353" s="1002"/>
      <c r="K353" s="1002"/>
      <c r="L353" s="1002"/>
      <c r="M353" s="1002"/>
      <c r="N353" s="1002"/>
      <c r="O353" s="476"/>
      <c r="P353" s="1002"/>
      <c r="Q353" s="476"/>
      <c r="R353" s="1002"/>
      <c r="S353" s="1002"/>
      <c r="T353" s="476"/>
      <c r="U353" s="476"/>
      <c r="V353" s="1002"/>
      <c r="W353" s="476"/>
      <c r="X353" s="476"/>
      <c r="Y353" s="476"/>
      <c r="Z353" s="476"/>
      <c r="AA353" s="476"/>
    </row>
    <row r="354" spans="1:27" ht="15" customHeight="1">
      <c r="A354" s="476"/>
      <c r="B354" s="476"/>
      <c r="C354" s="1001"/>
      <c r="D354" s="1002"/>
      <c r="E354" s="476"/>
      <c r="F354" s="1002"/>
      <c r="G354" s="1003"/>
      <c r="H354" s="1002"/>
      <c r="I354" s="1002"/>
      <c r="J354" s="1002"/>
      <c r="K354" s="1002"/>
      <c r="L354" s="1002"/>
      <c r="M354" s="1002"/>
      <c r="N354" s="1002"/>
      <c r="O354" s="476"/>
      <c r="P354" s="1002"/>
      <c r="Q354" s="476"/>
      <c r="R354" s="1002"/>
      <c r="S354" s="1002"/>
      <c r="T354" s="476"/>
      <c r="U354" s="476"/>
      <c r="V354" s="1002"/>
      <c r="W354" s="476"/>
      <c r="X354" s="476"/>
      <c r="Y354" s="476"/>
      <c r="Z354" s="476"/>
      <c r="AA354" s="476"/>
    </row>
    <row r="355" spans="1:27" ht="15" customHeight="1">
      <c r="A355" s="476"/>
      <c r="B355" s="476"/>
      <c r="C355" s="1001"/>
      <c r="D355" s="1002"/>
      <c r="E355" s="476"/>
      <c r="F355" s="1002"/>
      <c r="G355" s="1003"/>
      <c r="H355" s="1002"/>
      <c r="I355" s="1002"/>
      <c r="J355" s="1002"/>
      <c r="K355" s="1002"/>
      <c r="L355" s="1002"/>
      <c r="M355" s="1002"/>
      <c r="N355" s="1002"/>
      <c r="O355" s="476"/>
      <c r="P355" s="1002"/>
      <c r="Q355" s="476"/>
      <c r="R355" s="1002"/>
      <c r="S355" s="1002"/>
      <c r="T355" s="476"/>
      <c r="U355" s="476"/>
      <c r="V355" s="1002"/>
      <c r="W355" s="476"/>
      <c r="X355" s="476"/>
      <c r="Y355" s="476"/>
      <c r="Z355" s="476"/>
      <c r="AA355" s="476"/>
    </row>
    <row r="356" spans="1:27" ht="15" customHeight="1">
      <c r="A356" s="476"/>
      <c r="B356" s="476"/>
      <c r="C356" s="1001"/>
      <c r="D356" s="1002"/>
      <c r="E356" s="476"/>
      <c r="F356" s="1002"/>
      <c r="G356" s="1003"/>
      <c r="H356" s="1002"/>
      <c r="I356" s="1002"/>
      <c r="J356" s="1002"/>
      <c r="K356" s="1002"/>
      <c r="L356" s="1002"/>
      <c r="M356" s="1002"/>
      <c r="N356" s="1002"/>
      <c r="O356" s="476"/>
      <c r="P356" s="1002"/>
      <c r="Q356" s="476"/>
      <c r="R356" s="1002"/>
      <c r="S356" s="1002"/>
      <c r="T356" s="476"/>
      <c r="U356" s="476"/>
      <c r="V356" s="1002"/>
      <c r="W356" s="476"/>
      <c r="X356" s="476"/>
      <c r="Y356" s="476"/>
      <c r="Z356" s="476"/>
      <c r="AA356" s="476"/>
    </row>
    <row r="357" spans="1:27" ht="15" customHeight="1">
      <c r="A357" s="476"/>
      <c r="B357" s="476"/>
      <c r="C357" s="1001"/>
      <c r="D357" s="1002"/>
      <c r="E357" s="476"/>
      <c r="F357" s="1002"/>
      <c r="G357" s="1003"/>
      <c r="H357" s="1002"/>
      <c r="I357" s="1002"/>
      <c r="J357" s="1002"/>
      <c r="K357" s="1002"/>
      <c r="L357" s="1002"/>
      <c r="M357" s="1002"/>
      <c r="N357" s="1002"/>
      <c r="O357" s="476"/>
      <c r="P357" s="1002"/>
      <c r="Q357" s="476"/>
      <c r="R357" s="1002"/>
      <c r="S357" s="1002"/>
      <c r="T357" s="476"/>
      <c r="U357" s="476"/>
      <c r="V357" s="1002"/>
      <c r="W357" s="476"/>
      <c r="X357" s="476"/>
      <c r="Y357" s="476"/>
      <c r="Z357" s="476"/>
      <c r="AA357" s="476"/>
    </row>
    <row r="358" spans="1:27" ht="15" customHeight="1">
      <c r="A358" s="476"/>
      <c r="B358" s="476"/>
      <c r="C358" s="1001"/>
      <c r="D358" s="1002"/>
      <c r="E358" s="476"/>
      <c r="F358" s="1002"/>
      <c r="G358" s="1003"/>
      <c r="H358" s="1002"/>
      <c r="I358" s="1002"/>
      <c r="J358" s="1002"/>
      <c r="K358" s="1002"/>
      <c r="L358" s="1002"/>
      <c r="M358" s="1002"/>
      <c r="N358" s="1002"/>
      <c r="O358" s="476"/>
      <c r="P358" s="1002"/>
      <c r="Q358" s="476"/>
      <c r="R358" s="1002"/>
      <c r="S358" s="1002"/>
      <c r="T358" s="476"/>
      <c r="U358" s="476"/>
      <c r="V358" s="1002"/>
      <c r="W358" s="476"/>
      <c r="X358" s="476"/>
      <c r="Y358" s="476"/>
      <c r="Z358" s="476"/>
      <c r="AA358" s="476"/>
    </row>
    <row r="359" spans="1:27" ht="15" customHeight="1">
      <c r="A359" s="476"/>
      <c r="B359" s="476"/>
      <c r="C359" s="1001"/>
      <c r="D359" s="1002"/>
      <c r="E359" s="476"/>
      <c r="F359" s="1002"/>
      <c r="G359" s="1003"/>
      <c r="H359" s="1002"/>
      <c r="I359" s="1002"/>
      <c r="J359" s="1002"/>
      <c r="K359" s="1002"/>
      <c r="L359" s="1002"/>
      <c r="M359" s="1002"/>
      <c r="N359" s="1002"/>
      <c r="O359" s="476"/>
      <c r="P359" s="1002"/>
      <c r="Q359" s="476"/>
      <c r="R359" s="1002"/>
      <c r="S359" s="1002"/>
      <c r="T359" s="476"/>
      <c r="U359" s="476"/>
      <c r="V359" s="1002"/>
      <c r="W359" s="476"/>
      <c r="X359" s="476"/>
      <c r="Y359" s="476"/>
      <c r="Z359" s="476"/>
      <c r="AA359" s="476"/>
    </row>
    <row r="360" spans="1:27" ht="15" customHeight="1">
      <c r="A360" s="476"/>
      <c r="B360" s="476"/>
      <c r="C360" s="1001"/>
      <c r="D360" s="1002"/>
      <c r="E360" s="476"/>
      <c r="F360" s="1002"/>
      <c r="G360" s="1003"/>
      <c r="H360" s="1002"/>
      <c r="I360" s="1002"/>
      <c r="J360" s="1002"/>
      <c r="K360" s="1002"/>
      <c r="L360" s="1002"/>
      <c r="M360" s="1002"/>
      <c r="N360" s="1002"/>
      <c r="O360" s="476"/>
      <c r="P360" s="1002"/>
      <c r="Q360" s="476"/>
      <c r="R360" s="1002"/>
      <c r="S360" s="1002"/>
      <c r="T360" s="476"/>
      <c r="U360" s="476"/>
      <c r="V360" s="1002"/>
      <c r="W360" s="476"/>
      <c r="X360" s="476"/>
      <c r="Y360" s="476"/>
      <c r="Z360" s="476"/>
      <c r="AA360" s="476"/>
    </row>
    <row r="361" spans="1:27" ht="15" customHeight="1">
      <c r="A361" s="476"/>
      <c r="B361" s="476"/>
      <c r="C361" s="1001"/>
      <c r="D361" s="1002"/>
      <c r="E361" s="476"/>
      <c r="F361" s="1002"/>
      <c r="G361" s="1003"/>
      <c r="H361" s="1002"/>
      <c r="I361" s="1002"/>
      <c r="J361" s="1002"/>
      <c r="K361" s="1002"/>
      <c r="L361" s="1002"/>
      <c r="M361" s="1002"/>
      <c r="N361" s="1002"/>
      <c r="O361" s="476"/>
      <c r="P361" s="1002"/>
      <c r="Q361" s="476"/>
      <c r="R361" s="1002"/>
      <c r="S361" s="1002"/>
      <c r="T361" s="476"/>
      <c r="U361" s="476"/>
      <c r="V361" s="1002"/>
      <c r="W361" s="476"/>
      <c r="X361" s="476"/>
      <c r="Y361" s="476"/>
      <c r="Z361" s="476"/>
      <c r="AA361" s="476"/>
    </row>
    <row r="362" spans="1:27" ht="15" customHeight="1">
      <c r="A362" s="476"/>
      <c r="B362" s="476"/>
      <c r="C362" s="1001"/>
      <c r="D362" s="1002"/>
      <c r="E362" s="476"/>
      <c r="F362" s="1002"/>
      <c r="G362" s="1003"/>
      <c r="H362" s="1002"/>
      <c r="I362" s="1002"/>
      <c r="J362" s="1002"/>
      <c r="K362" s="1002"/>
      <c r="L362" s="1002"/>
      <c r="M362" s="1002"/>
      <c r="N362" s="1002"/>
      <c r="O362" s="476"/>
      <c r="P362" s="1002"/>
      <c r="Q362" s="476"/>
      <c r="R362" s="1002"/>
      <c r="S362" s="1002"/>
      <c r="T362" s="476"/>
      <c r="U362" s="476"/>
      <c r="V362" s="1002"/>
      <c r="W362" s="476"/>
      <c r="X362" s="476"/>
      <c r="Y362" s="476"/>
      <c r="Z362" s="476"/>
      <c r="AA362" s="476"/>
    </row>
    <row r="363" spans="1:27" ht="15" customHeight="1">
      <c r="A363" s="476"/>
      <c r="B363" s="476"/>
      <c r="C363" s="1001"/>
      <c r="D363" s="1002"/>
      <c r="E363" s="476"/>
      <c r="F363" s="1002"/>
      <c r="G363" s="1003"/>
      <c r="H363" s="1002"/>
      <c r="I363" s="1002"/>
      <c r="J363" s="1002"/>
      <c r="K363" s="1002"/>
      <c r="L363" s="1002"/>
      <c r="M363" s="1002"/>
      <c r="N363" s="1002"/>
      <c r="O363" s="476"/>
      <c r="P363" s="1002"/>
      <c r="Q363" s="476"/>
      <c r="R363" s="1002"/>
      <c r="S363" s="1002"/>
      <c r="T363" s="476"/>
      <c r="U363" s="476"/>
      <c r="V363" s="1002"/>
      <c r="W363" s="476"/>
      <c r="X363" s="476"/>
      <c r="Y363" s="476"/>
      <c r="Z363" s="476"/>
      <c r="AA363" s="476"/>
    </row>
    <row r="364" spans="1:27" ht="15" customHeight="1">
      <c r="A364" s="476"/>
      <c r="B364" s="476"/>
      <c r="C364" s="1001"/>
      <c r="D364" s="1002"/>
      <c r="E364" s="476"/>
      <c r="F364" s="1002"/>
      <c r="G364" s="1003"/>
      <c r="H364" s="1002"/>
      <c r="I364" s="1002"/>
      <c r="J364" s="1002"/>
      <c r="K364" s="1002"/>
      <c r="L364" s="1002"/>
      <c r="M364" s="1002"/>
      <c r="N364" s="1002"/>
      <c r="O364" s="476"/>
      <c r="P364" s="1002"/>
      <c r="Q364" s="476"/>
      <c r="R364" s="1002"/>
      <c r="S364" s="1002"/>
      <c r="T364" s="476"/>
      <c r="U364" s="476"/>
      <c r="V364" s="1002"/>
      <c r="W364" s="476"/>
      <c r="X364" s="476"/>
      <c r="Y364" s="476"/>
      <c r="Z364" s="476"/>
      <c r="AA364" s="476"/>
    </row>
    <row r="365" spans="1:27" ht="15" customHeight="1">
      <c r="A365" s="476"/>
      <c r="B365" s="476"/>
      <c r="C365" s="1001"/>
      <c r="D365" s="1002"/>
      <c r="E365" s="476"/>
      <c r="F365" s="1002"/>
      <c r="G365" s="1003"/>
      <c r="H365" s="1002"/>
      <c r="I365" s="1002"/>
      <c r="J365" s="1002"/>
      <c r="K365" s="1002"/>
      <c r="L365" s="1002"/>
      <c r="M365" s="1002"/>
      <c r="N365" s="1002"/>
      <c r="O365" s="476"/>
      <c r="P365" s="1002"/>
      <c r="Q365" s="476"/>
      <c r="R365" s="1002"/>
      <c r="S365" s="1002"/>
      <c r="T365" s="476"/>
      <c r="U365" s="476"/>
      <c r="V365" s="1002"/>
      <c r="W365" s="476"/>
      <c r="X365" s="476"/>
      <c r="Y365" s="476"/>
      <c r="Z365" s="476"/>
      <c r="AA365" s="476"/>
    </row>
    <row r="366" spans="1:27" ht="15" customHeight="1">
      <c r="A366" s="476"/>
      <c r="B366" s="476"/>
      <c r="C366" s="1001"/>
      <c r="D366" s="1002"/>
      <c r="E366" s="476"/>
      <c r="F366" s="1002"/>
      <c r="G366" s="1003"/>
      <c r="H366" s="1002"/>
      <c r="I366" s="1002"/>
      <c r="J366" s="1002"/>
      <c r="K366" s="1002"/>
      <c r="L366" s="1002"/>
      <c r="M366" s="1002"/>
      <c r="N366" s="1002"/>
      <c r="O366" s="476"/>
      <c r="P366" s="1002"/>
      <c r="Q366" s="476"/>
      <c r="R366" s="1002"/>
      <c r="S366" s="1002"/>
      <c r="T366" s="476"/>
      <c r="U366" s="476"/>
      <c r="V366" s="1002"/>
      <c r="W366" s="476"/>
      <c r="X366" s="476"/>
      <c r="Y366" s="476"/>
      <c r="Z366" s="476"/>
      <c r="AA366" s="476"/>
    </row>
    <row r="367" spans="1:27" ht="15" customHeight="1">
      <c r="A367" s="476"/>
      <c r="B367" s="476"/>
      <c r="C367" s="1001"/>
      <c r="D367" s="1002"/>
      <c r="E367" s="476"/>
      <c r="F367" s="1002"/>
      <c r="G367" s="1003"/>
      <c r="H367" s="1002"/>
      <c r="I367" s="1002"/>
      <c r="J367" s="1002"/>
      <c r="K367" s="1002"/>
      <c r="L367" s="1002"/>
      <c r="M367" s="1002"/>
      <c r="N367" s="1002"/>
      <c r="O367" s="476"/>
      <c r="P367" s="1002"/>
      <c r="Q367" s="476"/>
      <c r="R367" s="1002"/>
      <c r="S367" s="1002"/>
      <c r="T367" s="476"/>
      <c r="U367" s="476"/>
      <c r="V367" s="1002"/>
      <c r="W367" s="476"/>
      <c r="X367" s="476"/>
      <c r="Y367" s="476"/>
      <c r="Z367" s="476"/>
      <c r="AA367" s="476"/>
    </row>
    <row r="368" spans="1:27" ht="15" customHeight="1">
      <c r="A368" s="476"/>
      <c r="B368" s="476"/>
      <c r="C368" s="1001"/>
      <c r="D368" s="1002"/>
      <c r="E368" s="476"/>
      <c r="F368" s="1002"/>
      <c r="G368" s="1003"/>
      <c r="H368" s="1002"/>
      <c r="I368" s="1002"/>
      <c r="J368" s="1002"/>
      <c r="K368" s="1002"/>
      <c r="L368" s="1002"/>
      <c r="M368" s="1002"/>
      <c r="N368" s="1002"/>
      <c r="O368" s="476"/>
      <c r="P368" s="1002"/>
      <c r="Q368" s="476"/>
      <c r="R368" s="1002"/>
      <c r="S368" s="1002"/>
      <c r="T368" s="476"/>
      <c r="U368" s="476"/>
      <c r="V368" s="1002"/>
      <c r="W368" s="476"/>
      <c r="X368" s="476"/>
      <c r="Y368" s="476"/>
      <c r="Z368" s="476"/>
      <c r="AA368" s="476"/>
    </row>
    <row r="369" spans="1:27" ht="15" customHeight="1">
      <c r="A369" s="476"/>
      <c r="B369" s="476"/>
      <c r="C369" s="1001"/>
      <c r="D369" s="1002"/>
      <c r="E369" s="476"/>
      <c r="F369" s="1002"/>
      <c r="G369" s="1003"/>
      <c r="H369" s="1002"/>
      <c r="I369" s="1002"/>
      <c r="J369" s="1002"/>
      <c r="K369" s="1002"/>
      <c r="L369" s="1002"/>
      <c r="M369" s="1002"/>
      <c r="N369" s="1002"/>
      <c r="O369" s="476"/>
      <c r="P369" s="1002"/>
      <c r="Q369" s="476"/>
      <c r="R369" s="1002"/>
      <c r="S369" s="1002"/>
      <c r="T369" s="476"/>
      <c r="U369" s="476"/>
      <c r="V369" s="1002"/>
      <c r="W369" s="476"/>
      <c r="X369" s="476"/>
      <c r="Y369" s="476"/>
      <c r="Z369" s="476"/>
      <c r="AA369" s="476"/>
    </row>
    <row r="370" spans="1:27" ht="15" customHeight="1">
      <c r="A370" s="476"/>
      <c r="B370" s="476"/>
      <c r="C370" s="1001"/>
      <c r="D370" s="1002"/>
      <c r="E370" s="476"/>
      <c r="F370" s="1002"/>
      <c r="G370" s="1003"/>
      <c r="H370" s="1002"/>
      <c r="I370" s="1002"/>
      <c r="J370" s="1002"/>
      <c r="K370" s="1002"/>
      <c r="L370" s="1002"/>
      <c r="M370" s="1002"/>
      <c r="N370" s="1002"/>
      <c r="O370" s="476"/>
      <c r="P370" s="1002"/>
      <c r="Q370" s="476"/>
      <c r="R370" s="1002"/>
      <c r="S370" s="1002"/>
      <c r="T370" s="476"/>
      <c r="U370" s="476"/>
      <c r="V370" s="1002"/>
      <c r="W370" s="476"/>
      <c r="X370" s="476"/>
      <c r="Y370" s="476"/>
      <c r="Z370" s="476"/>
      <c r="AA370" s="476"/>
    </row>
    <row r="371" spans="1:27" ht="15" customHeight="1">
      <c r="A371" s="476"/>
      <c r="B371" s="476"/>
      <c r="C371" s="1001"/>
      <c r="D371" s="1002"/>
      <c r="E371" s="476"/>
      <c r="F371" s="1002"/>
      <c r="G371" s="1003"/>
      <c r="H371" s="1002"/>
      <c r="I371" s="1002"/>
      <c r="J371" s="1002"/>
      <c r="K371" s="1002"/>
      <c r="L371" s="1002"/>
      <c r="M371" s="1002"/>
      <c r="N371" s="1002"/>
      <c r="O371" s="476"/>
      <c r="P371" s="1002"/>
      <c r="Q371" s="476"/>
      <c r="R371" s="1002"/>
      <c r="S371" s="1002"/>
      <c r="T371" s="476"/>
      <c r="U371" s="476"/>
      <c r="V371" s="1002"/>
      <c r="W371" s="476"/>
      <c r="X371" s="476"/>
      <c r="Y371" s="476"/>
      <c r="Z371" s="476"/>
      <c r="AA371" s="476"/>
    </row>
    <row r="372" spans="1:27" ht="15" customHeight="1">
      <c r="A372" s="476"/>
      <c r="B372" s="476"/>
      <c r="C372" s="1001"/>
      <c r="D372" s="1002"/>
      <c r="E372" s="476"/>
      <c r="F372" s="1002"/>
      <c r="G372" s="1003"/>
      <c r="H372" s="1002"/>
      <c r="I372" s="1002"/>
      <c r="J372" s="1002"/>
      <c r="K372" s="1002"/>
      <c r="L372" s="1002"/>
      <c r="M372" s="1002"/>
      <c r="N372" s="1002"/>
      <c r="O372" s="476"/>
      <c r="P372" s="1002"/>
      <c r="Q372" s="476"/>
      <c r="R372" s="1002"/>
      <c r="S372" s="1002"/>
      <c r="T372" s="476"/>
      <c r="U372" s="476"/>
      <c r="V372" s="1002"/>
      <c r="W372" s="476"/>
      <c r="X372" s="476"/>
      <c r="Y372" s="476"/>
      <c r="Z372" s="476"/>
      <c r="AA372" s="476"/>
    </row>
    <row r="373" spans="1:27" ht="15" customHeight="1">
      <c r="A373" s="476"/>
      <c r="B373" s="476"/>
      <c r="C373" s="1001"/>
      <c r="D373" s="1002"/>
      <c r="E373" s="476"/>
      <c r="F373" s="1002"/>
      <c r="G373" s="1003"/>
      <c r="H373" s="1002"/>
      <c r="I373" s="1002"/>
      <c r="J373" s="1002"/>
      <c r="K373" s="1002"/>
      <c r="L373" s="1002"/>
      <c r="M373" s="1002"/>
      <c r="N373" s="1002"/>
      <c r="O373" s="476"/>
      <c r="P373" s="1002"/>
      <c r="Q373" s="476"/>
      <c r="R373" s="1002"/>
      <c r="S373" s="1002"/>
      <c r="T373" s="476"/>
      <c r="U373" s="476"/>
      <c r="V373" s="1002"/>
      <c r="W373" s="476"/>
      <c r="X373" s="476"/>
      <c r="Y373" s="476"/>
      <c r="Z373" s="476"/>
      <c r="AA373" s="476"/>
    </row>
    <row r="374" spans="1:27" ht="15" customHeight="1">
      <c r="A374" s="476"/>
      <c r="B374" s="476"/>
      <c r="C374" s="1001"/>
      <c r="D374" s="1002"/>
      <c r="E374" s="476"/>
      <c r="F374" s="1002"/>
      <c r="G374" s="1003"/>
      <c r="H374" s="1002"/>
      <c r="I374" s="1002"/>
      <c r="J374" s="1002"/>
      <c r="K374" s="1002"/>
      <c r="L374" s="1002"/>
      <c r="M374" s="1002"/>
      <c r="N374" s="1002"/>
      <c r="O374" s="476"/>
      <c r="P374" s="1002"/>
      <c r="Q374" s="476"/>
      <c r="R374" s="1002"/>
      <c r="S374" s="1002"/>
      <c r="T374" s="476"/>
      <c r="U374" s="476"/>
      <c r="V374" s="1002"/>
      <c r="W374" s="476"/>
      <c r="X374" s="476"/>
      <c r="Y374" s="476"/>
      <c r="Z374" s="476"/>
      <c r="AA374" s="476"/>
    </row>
    <row r="375" spans="1:27" ht="15" customHeight="1">
      <c r="A375" s="476"/>
      <c r="B375" s="476"/>
      <c r="C375" s="1001"/>
      <c r="D375" s="1002"/>
      <c r="E375" s="476"/>
      <c r="F375" s="1002"/>
      <c r="G375" s="1003"/>
      <c r="H375" s="1002"/>
      <c r="I375" s="1002"/>
      <c r="J375" s="1002"/>
      <c r="K375" s="1002"/>
      <c r="L375" s="1002"/>
      <c r="M375" s="1002"/>
      <c r="N375" s="1002"/>
      <c r="O375" s="476"/>
      <c r="P375" s="1002"/>
      <c r="Q375" s="476"/>
      <c r="R375" s="1002"/>
      <c r="S375" s="1002"/>
      <c r="T375" s="476"/>
      <c r="U375" s="476"/>
      <c r="V375" s="1002"/>
      <c r="W375" s="476"/>
      <c r="X375" s="476"/>
      <c r="Y375" s="476"/>
      <c r="Z375" s="476"/>
      <c r="AA375" s="476"/>
    </row>
    <row r="376" spans="1:27" ht="15" customHeight="1">
      <c r="A376" s="476"/>
      <c r="B376" s="476"/>
      <c r="C376" s="1001"/>
      <c r="D376" s="1002"/>
      <c r="E376" s="476"/>
      <c r="F376" s="1002"/>
      <c r="G376" s="1003"/>
      <c r="H376" s="1002"/>
      <c r="I376" s="1002"/>
      <c r="J376" s="1002"/>
      <c r="K376" s="1002"/>
      <c r="L376" s="1002"/>
      <c r="M376" s="1002"/>
      <c r="N376" s="1002"/>
      <c r="O376" s="476"/>
      <c r="P376" s="1002"/>
      <c r="Q376" s="476"/>
      <c r="R376" s="1002"/>
      <c r="S376" s="1002"/>
      <c r="T376" s="476"/>
      <c r="U376" s="476"/>
      <c r="V376" s="1002"/>
      <c r="W376" s="476"/>
      <c r="X376" s="476"/>
      <c r="Y376" s="476"/>
      <c r="Z376" s="476"/>
      <c r="AA376" s="476"/>
    </row>
    <row r="377" spans="1:27" ht="15" customHeight="1">
      <c r="A377" s="476"/>
      <c r="B377" s="476"/>
      <c r="C377" s="1001"/>
      <c r="D377" s="1002"/>
      <c r="E377" s="476"/>
      <c r="F377" s="1002"/>
      <c r="G377" s="1003"/>
      <c r="H377" s="1002"/>
      <c r="I377" s="1002"/>
      <c r="J377" s="1002"/>
      <c r="K377" s="1002"/>
      <c r="L377" s="1002"/>
      <c r="M377" s="1002"/>
      <c r="N377" s="1002"/>
      <c r="O377" s="476"/>
      <c r="P377" s="1002"/>
      <c r="Q377" s="476"/>
      <c r="R377" s="1002"/>
      <c r="S377" s="1002"/>
      <c r="T377" s="476"/>
      <c r="U377" s="476"/>
      <c r="V377" s="1002"/>
      <c r="W377" s="476"/>
      <c r="X377" s="476"/>
      <c r="Y377" s="476"/>
      <c r="Z377" s="476"/>
      <c r="AA377" s="476"/>
    </row>
    <row r="378" spans="1:27" ht="15" customHeight="1">
      <c r="A378" s="476"/>
      <c r="B378" s="476"/>
      <c r="C378" s="1001"/>
      <c r="D378" s="1002"/>
      <c r="E378" s="476"/>
      <c r="F378" s="1002"/>
      <c r="G378" s="1003"/>
      <c r="H378" s="1002"/>
      <c r="I378" s="1002"/>
      <c r="J378" s="1002"/>
      <c r="K378" s="1002"/>
      <c r="L378" s="1002"/>
      <c r="M378" s="1002"/>
      <c r="N378" s="1002"/>
      <c r="O378" s="476"/>
      <c r="P378" s="1002"/>
      <c r="Q378" s="476"/>
      <c r="R378" s="1002"/>
      <c r="S378" s="1002"/>
      <c r="T378" s="476"/>
      <c r="U378" s="476"/>
      <c r="V378" s="1002"/>
      <c r="W378" s="476"/>
      <c r="X378" s="476"/>
      <c r="Y378" s="476"/>
      <c r="Z378" s="476"/>
      <c r="AA378" s="476"/>
    </row>
    <row r="379" spans="1:27" ht="15" customHeight="1">
      <c r="A379" s="476"/>
      <c r="B379" s="476"/>
      <c r="C379" s="1001"/>
      <c r="D379" s="1002"/>
      <c r="E379" s="476"/>
      <c r="F379" s="1002"/>
      <c r="G379" s="1003"/>
      <c r="H379" s="1002"/>
      <c r="I379" s="1002"/>
      <c r="J379" s="1002"/>
      <c r="K379" s="1002"/>
      <c r="L379" s="1002"/>
      <c r="M379" s="1002"/>
      <c r="N379" s="1002"/>
      <c r="O379" s="476"/>
      <c r="P379" s="1002"/>
      <c r="Q379" s="476"/>
      <c r="R379" s="1002"/>
      <c r="S379" s="1002"/>
      <c r="T379" s="476"/>
      <c r="U379" s="476"/>
      <c r="V379" s="1002"/>
      <c r="W379" s="476"/>
      <c r="X379" s="476"/>
      <c r="Y379" s="476"/>
      <c r="Z379" s="476"/>
      <c r="AA379" s="476"/>
    </row>
    <row r="380" spans="1:27" ht="15" customHeight="1">
      <c r="A380" s="476"/>
      <c r="B380" s="476"/>
      <c r="C380" s="1001"/>
      <c r="D380" s="1002"/>
      <c r="E380" s="476"/>
      <c r="F380" s="1002"/>
      <c r="G380" s="1003"/>
      <c r="H380" s="1002"/>
      <c r="I380" s="1002"/>
      <c r="J380" s="1002"/>
      <c r="K380" s="1002"/>
      <c r="L380" s="1002"/>
      <c r="M380" s="1002"/>
      <c r="N380" s="1002"/>
      <c r="O380" s="476"/>
      <c r="P380" s="1002"/>
      <c r="Q380" s="476"/>
      <c r="R380" s="1002"/>
      <c r="S380" s="1002"/>
      <c r="T380" s="476"/>
      <c r="U380" s="476"/>
      <c r="V380" s="1002"/>
      <c r="W380" s="476"/>
      <c r="X380" s="476"/>
      <c r="Y380" s="476"/>
      <c r="Z380" s="476"/>
      <c r="AA380" s="476"/>
    </row>
    <row r="381" spans="1:27" ht="15" customHeight="1">
      <c r="A381" s="476"/>
      <c r="B381" s="476"/>
      <c r="C381" s="1001"/>
      <c r="D381" s="1002"/>
      <c r="E381" s="476"/>
      <c r="F381" s="1002"/>
      <c r="G381" s="1003"/>
      <c r="H381" s="1002"/>
      <c r="I381" s="1002"/>
      <c r="J381" s="1002"/>
      <c r="K381" s="1002"/>
      <c r="L381" s="1002"/>
      <c r="M381" s="1002"/>
      <c r="N381" s="1002"/>
      <c r="O381" s="476"/>
      <c r="P381" s="1002"/>
      <c r="Q381" s="476"/>
      <c r="R381" s="1002"/>
      <c r="S381" s="1002"/>
      <c r="T381" s="476"/>
      <c r="U381" s="476"/>
      <c r="V381" s="1002"/>
      <c r="W381" s="476"/>
      <c r="X381" s="476"/>
      <c r="Y381" s="476"/>
      <c r="Z381" s="476"/>
      <c r="AA381" s="476"/>
    </row>
    <row r="382" spans="1:27" ht="15" customHeight="1">
      <c r="A382" s="476"/>
      <c r="B382" s="476"/>
      <c r="C382" s="1001"/>
      <c r="D382" s="1002"/>
      <c r="E382" s="476"/>
      <c r="F382" s="1002"/>
      <c r="G382" s="1003"/>
      <c r="H382" s="1002"/>
      <c r="I382" s="1002"/>
      <c r="J382" s="1002"/>
      <c r="K382" s="1002"/>
      <c r="L382" s="1002"/>
      <c r="M382" s="1002"/>
      <c r="N382" s="1002"/>
      <c r="O382" s="476"/>
      <c r="P382" s="1002"/>
      <c r="Q382" s="476"/>
      <c r="R382" s="1002"/>
      <c r="S382" s="1002"/>
      <c r="T382" s="476"/>
      <c r="U382" s="476"/>
      <c r="V382" s="1002"/>
      <c r="W382" s="476"/>
      <c r="X382" s="476"/>
      <c r="Y382" s="476"/>
      <c r="Z382" s="476"/>
      <c r="AA382" s="476"/>
    </row>
    <row r="383" spans="1:27" ht="15" customHeight="1">
      <c r="A383" s="476"/>
      <c r="B383" s="476"/>
      <c r="C383" s="1001"/>
      <c r="D383" s="1002"/>
      <c r="E383" s="476"/>
      <c r="F383" s="1002"/>
      <c r="G383" s="1003"/>
      <c r="H383" s="1002"/>
      <c r="I383" s="1002"/>
      <c r="J383" s="1002"/>
      <c r="K383" s="1002"/>
      <c r="L383" s="1002"/>
      <c r="M383" s="1002"/>
      <c r="N383" s="1002"/>
      <c r="O383" s="476"/>
      <c r="P383" s="1002"/>
      <c r="Q383" s="476"/>
      <c r="R383" s="1002"/>
      <c r="S383" s="1002"/>
      <c r="T383" s="476"/>
      <c r="U383" s="476"/>
      <c r="V383" s="1002"/>
      <c r="W383" s="476"/>
      <c r="X383" s="476"/>
      <c r="Y383" s="476"/>
      <c r="Z383" s="476"/>
      <c r="AA383" s="476"/>
    </row>
    <row r="384" spans="1:27" ht="15" customHeight="1">
      <c r="A384" s="476"/>
      <c r="B384" s="476"/>
      <c r="C384" s="1001"/>
      <c r="D384" s="1002"/>
      <c r="E384" s="476"/>
      <c r="F384" s="1002"/>
      <c r="G384" s="1003"/>
      <c r="H384" s="1002"/>
      <c r="I384" s="1002"/>
      <c r="J384" s="1002"/>
      <c r="K384" s="1002"/>
      <c r="L384" s="1002"/>
      <c r="M384" s="1002"/>
      <c r="N384" s="1002"/>
      <c r="O384" s="476"/>
      <c r="P384" s="1002"/>
      <c r="Q384" s="476"/>
      <c r="R384" s="1002"/>
      <c r="S384" s="1002"/>
      <c r="T384" s="476"/>
      <c r="U384" s="476"/>
      <c r="V384" s="1002"/>
      <c r="W384" s="476"/>
      <c r="X384" s="476"/>
      <c r="Y384" s="476"/>
      <c r="Z384" s="476"/>
      <c r="AA384" s="476"/>
    </row>
    <row r="385" spans="1:27" ht="15" customHeight="1">
      <c r="A385" s="476"/>
      <c r="B385" s="476"/>
      <c r="C385" s="1001"/>
      <c r="D385" s="1002"/>
      <c r="E385" s="476"/>
      <c r="F385" s="1002"/>
      <c r="G385" s="1003"/>
      <c r="H385" s="1002"/>
      <c r="I385" s="1002"/>
      <c r="J385" s="1002"/>
      <c r="K385" s="1002"/>
      <c r="L385" s="1002"/>
      <c r="M385" s="1002"/>
      <c r="N385" s="1002"/>
      <c r="O385" s="476"/>
      <c r="P385" s="1002"/>
      <c r="Q385" s="476"/>
      <c r="R385" s="1002"/>
      <c r="S385" s="1002"/>
      <c r="T385" s="476"/>
      <c r="U385" s="476"/>
      <c r="V385" s="1002"/>
      <c r="W385" s="476"/>
      <c r="X385" s="476"/>
      <c r="Y385" s="476"/>
      <c r="Z385" s="476"/>
      <c r="AA385" s="476"/>
    </row>
    <row r="386" spans="1:27" ht="15" customHeight="1">
      <c r="A386" s="476"/>
      <c r="B386" s="476"/>
      <c r="C386" s="1001"/>
      <c r="D386" s="1002"/>
      <c r="E386" s="476"/>
      <c r="F386" s="1002"/>
      <c r="G386" s="1003"/>
      <c r="H386" s="1002"/>
      <c r="I386" s="1002"/>
      <c r="J386" s="1002"/>
      <c r="K386" s="1002"/>
      <c r="L386" s="1002"/>
      <c r="M386" s="1002"/>
      <c r="N386" s="1002"/>
      <c r="O386" s="476"/>
      <c r="P386" s="1002"/>
      <c r="Q386" s="476"/>
      <c r="R386" s="1002"/>
      <c r="S386" s="1002"/>
      <c r="T386" s="476"/>
      <c r="U386" s="476"/>
      <c r="V386" s="1002"/>
      <c r="W386" s="476"/>
      <c r="X386" s="476"/>
      <c r="Y386" s="476"/>
      <c r="Z386" s="476"/>
      <c r="AA386" s="476"/>
    </row>
    <row r="387" spans="1:27" ht="15" customHeight="1">
      <c r="A387" s="476"/>
      <c r="B387" s="476"/>
      <c r="C387" s="1001"/>
      <c r="D387" s="1002"/>
      <c r="E387" s="476"/>
      <c r="F387" s="1002"/>
      <c r="G387" s="1003"/>
      <c r="H387" s="1002"/>
      <c r="I387" s="1002"/>
      <c r="J387" s="1002"/>
      <c r="K387" s="1002"/>
      <c r="L387" s="1002"/>
      <c r="M387" s="1002"/>
      <c r="N387" s="1002"/>
      <c r="O387" s="476"/>
      <c r="P387" s="1002"/>
      <c r="Q387" s="476"/>
      <c r="R387" s="1002"/>
      <c r="S387" s="1002"/>
      <c r="T387" s="476"/>
      <c r="U387" s="476"/>
      <c r="V387" s="1002"/>
      <c r="W387" s="476"/>
      <c r="X387" s="476"/>
      <c r="Y387" s="476"/>
      <c r="Z387" s="476"/>
      <c r="AA387" s="476"/>
    </row>
    <row r="388" spans="1:27" ht="15" customHeight="1">
      <c r="A388" s="476"/>
      <c r="B388" s="476"/>
      <c r="C388" s="1001"/>
      <c r="D388" s="1002"/>
      <c r="E388" s="476"/>
      <c r="F388" s="1002"/>
      <c r="G388" s="1003"/>
      <c r="H388" s="1002"/>
      <c r="I388" s="1002"/>
      <c r="J388" s="1002"/>
      <c r="K388" s="1002"/>
      <c r="L388" s="1002"/>
      <c r="M388" s="1002"/>
      <c r="N388" s="1002"/>
      <c r="O388" s="476"/>
      <c r="P388" s="1002"/>
      <c r="Q388" s="476"/>
      <c r="R388" s="1002"/>
      <c r="S388" s="1002"/>
      <c r="T388" s="476"/>
      <c r="U388" s="476"/>
      <c r="V388" s="1002"/>
      <c r="W388" s="476"/>
      <c r="X388" s="476"/>
      <c r="Y388" s="476"/>
      <c r="Z388" s="476"/>
      <c r="AA388" s="476"/>
    </row>
    <row r="389" spans="1:27" ht="15" customHeight="1">
      <c r="A389" s="476"/>
      <c r="B389" s="476"/>
      <c r="C389" s="1001"/>
      <c r="D389" s="1002"/>
      <c r="E389" s="476"/>
      <c r="F389" s="1002"/>
      <c r="G389" s="1003"/>
      <c r="H389" s="1002"/>
      <c r="I389" s="1002"/>
      <c r="J389" s="1002"/>
      <c r="K389" s="1002"/>
      <c r="L389" s="1002"/>
      <c r="M389" s="1002"/>
      <c r="N389" s="1002"/>
      <c r="O389" s="476"/>
      <c r="P389" s="1002"/>
      <c r="Q389" s="476"/>
      <c r="R389" s="1002"/>
      <c r="S389" s="1002"/>
      <c r="T389" s="476"/>
      <c r="U389" s="476"/>
      <c r="V389" s="1002"/>
      <c r="W389" s="476"/>
      <c r="X389" s="476"/>
      <c r="Y389" s="476"/>
      <c r="Z389" s="476"/>
      <c r="AA389" s="476"/>
    </row>
    <row r="390" spans="1:27" ht="15" customHeight="1">
      <c r="A390" s="476"/>
      <c r="B390" s="476"/>
      <c r="C390" s="1001"/>
      <c r="D390" s="1002"/>
      <c r="E390" s="476"/>
      <c r="F390" s="1002"/>
      <c r="G390" s="1003"/>
      <c r="H390" s="1002"/>
      <c r="I390" s="1002"/>
      <c r="J390" s="1002"/>
      <c r="K390" s="1002"/>
      <c r="L390" s="1002"/>
      <c r="M390" s="1002"/>
      <c r="N390" s="1002"/>
      <c r="O390" s="476"/>
      <c r="P390" s="1002"/>
      <c r="Q390" s="476"/>
      <c r="R390" s="1002"/>
      <c r="S390" s="1002"/>
      <c r="T390" s="476"/>
      <c r="U390" s="476"/>
      <c r="V390" s="1002"/>
      <c r="W390" s="476"/>
      <c r="X390" s="476"/>
      <c r="Y390" s="476"/>
      <c r="Z390" s="476"/>
      <c r="AA390" s="476"/>
    </row>
    <row r="391" spans="1:27" ht="15" customHeight="1">
      <c r="A391" s="476"/>
      <c r="B391" s="476"/>
      <c r="C391" s="1001"/>
      <c r="D391" s="1002"/>
      <c r="E391" s="476"/>
      <c r="F391" s="1002"/>
      <c r="G391" s="1003"/>
      <c r="H391" s="1002"/>
      <c r="I391" s="1002"/>
      <c r="J391" s="1002"/>
      <c r="K391" s="1002"/>
      <c r="L391" s="1002"/>
      <c r="M391" s="1002"/>
      <c r="N391" s="1002"/>
      <c r="O391" s="476"/>
      <c r="P391" s="1002"/>
      <c r="Q391" s="476"/>
      <c r="R391" s="1002"/>
      <c r="S391" s="1002"/>
      <c r="T391" s="476"/>
      <c r="U391" s="476"/>
      <c r="V391" s="1002"/>
      <c r="W391" s="476"/>
      <c r="X391" s="476"/>
      <c r="Y391" s="476"/>
      <c r="Z391" s="476"/>
      <c r="AA391" s="476"/>
    </row>
    <row r="392" spans="1:27" ht="15" customHeight="1">
      <c r="A392" s="476"/>
      <c r="B392" s="476"/>
      <c r="C392" s="1001"/>
      <c r="D392" s="1002"/>
      <c r="E392" s="476"/>
      <c r="F392" s="1002"/>
      <c r="G392" s="1003"/>
      <c r="H392" s="1002"/>
      <c r="I392" s="1002"/>
      <c r="J392" s="1002"/>
      <c r="K392" s="1002"/>
      <c r="L392" s="1002"/>
      <c r="M392" s="1002"/>
      <c r="N392" s="1002"/>
      <c r="O392" s="476"/>
      <c r="P392" s="1002"/>
      <c r="Q392" s="476"/>
      <c r="R392" s="1002"/>
      <c r="S392" s="1002"/>
      <c r="T392" s="476"/>
      <c r="U392" s="476"/>
      <c r="V392" s="1002"/>
      <c r="W392" s="476"/>
      <c r="X392" s="476"/>
      <c r="Y392" s="476"/>
      <c r="Z392" s="476"/>
      <c r="AA392" s="476"/>
    </row>
    <row r="393" spans="1:27" ht="15" customHeight="1">
      <c r="A393" s="476"/>
      <c r="B393" s="476"/>
      <c r="C393" s="1001"/>
      <c r="D393" s="1002"/>
      <c r="E393" s="476"/>
      <c r="F393" s="1002"/>
      <c r="G393" s="1003"/>
      <c r="H393" s="1002"/>
      <c r="I393" s="1002"/>
      <c r="J393" s="1002"/>
      <c r="K393" s="1002"/>
      <c r="L393" s="1002"/>
      <c r="M393" s="1002"/>
      <c r="N393" s="1002"/>
      <c r="O393" s="476"/>
      <c r="P393" s="1002"/>
      <c r="Q393" s="476"/>
      <c r="R393" s="1002"/>
      <c r="S393" s="1002"/>
      <c r="T393" s="476"/>
      <c r="U393" s="476"/>
      <c r="V393" s="1002"/>
      <c r="W393" s="476"/>
      <c r="X393" s="476"/>
      <c r="Y393" s="476"/>
      <c r="Z393" s="476"/>
      <c r="AA393" s="476"/>
    </row>
    <row r="394" spans="1:27" ht="15" customHeight="1">
      <c r="A394" s="476"/>
      <c r="B394" s="476"/>
      <c r="C394" s="1001"/>
      <c r="D394" s="1002"/>
      <c r="E394" s="476"/>
      <c r="F394" s="1002"/>
      <c r="G394" s="1003"/>
      <c r="H394" s="1002"/>
      <c r="I394" s="1002"/>
      <c r="J394" s="1002"/>
      <c r="K394" s="1002"/>
      <c r="L394" s="1002"/>
      <c r="M394" s="1002"/>
      <c r="N394" s="1002"/>
      <c r="O394" s="476"/>
      <c r="P394" s="1002"/>
      <c r="Q394" s="476"/>
      <c r="R394" s="1002"/>
      <c r="S394" s="1002"/>
      <c r="T394" s="476"/>
      <c r="U394" s="476"/>
      <c r="V394" s="1002"/>
      <c r="W394" s="476"/>
      <c r="X394" s="476"/>
      <c r="Y394" s="476"/>
      <c r="Z394" s="476"/>
      <c r="AA394" s="476"/>
    </row>
    <row r="395" spans="1:27" ht="15" customHeight="1">
      <c r="A395" s="476"/>
      <c r="B395" s="476"/>
      <c r="C395" s="1001"/>
      <c r="D395" s="1002"/>
      <c r="E395" s="476"/>
      <c r="F395" s="1002"/>
      <c r="G395" s="1003"/>
      <c r="H395" s="1002"/>
      <c r="I395" s="1002"/>
      <c r="J395" s="1002"/>
      <c r="K395" s="1002"/>
      <c r="L395" s="1002"/>
      <c r="M395" s="1002"/>
      <c r="N395" s="1002"/>
      <c r="O395" s="476"/>
      <c r="P395" s="1002"/>
      <c r="Q395" s="476"/>
      <c r="R395" s="1002"/>
      <c r="S395" s="1002"/>
      <c r="T395" s="476"/>
      <c r="U395" s="476"/>
      <c r="V395" s="1002"/>
      <c r="W395" s="476"/>
      <c r="X395" s="476"/>
      <c r="Y395" s="476"/>
      <c r="Z395" s="476"/>
      <c r="AA395" s="476"/>
    </row>
    <row r="396" spans="1:27" ht="15" customHeight="1">
      <c r="A396" s="476"/>
      <c r="B396" s="476"/>
      <c r="C396" s="1001"/>
      <c r="D396" s="1002"/>
      <c r="E396" s="476"/>
      <c r="F396" s="1002"/>
      <c r="G396" s="1003"/>
      <c r="H396" s="1002"/>
      <c r="I396" s="1002"/>
      <c r="J396" s="1002"/>
      <c r="K396" s="1002"/>
      <c r="L396" s="1002"/>
      <c r="M396" s="1002"/>
      <c r="N396" s="1002"/>
      <c r="O396" s="476"/>
      <c r="P396" s="1002"/>
      <c r="Q396" s="476"/>
      <c r="R396" s="1002"/>
      <c r="S396" s="1002"/>
      <c r="T396" s="476"/>
      <c r="U396" s="476"/>
      <c r="V396" s="1002"/>
      <c r="W396" s="476"/>
      <c r="X396" s="476"/>
      <c r="Y396" s="476"/>
      <c r="Z396" s="476"/>
      <c r="AA396" s="476"/>
    </row>
    <row r="397" spans="1:27" ht="15" customHeight="1">
      <c r="A397" s="476"/>
      <c r="B397" s="476"/>
      <c r="C397" s="1001"/>
      <c r="D397" s="1002"/>
      <c r="E397" s="476"/>
      <c r="F397" s="1002"/>
      <c r="G397" s="1003"/>
      <c r="H397" s="1002"/>
      <c r="I397" s="1002"/>
      <c r="J397" s="1002"/>
      <c r="K397" s="1002"/>
      <c r="L397" s="1002"/>
      <c r="M397" s="1002"/>
      <c r="N397" s="1002"/>
      <c r="O397" s="476"/>
      <c r="P397" s="1002"/>
      <c r="Q397" s="476"/>
      <c r="R397" s="1002"/>
      <c r="S397" s="1002"/>
      <c r="T397" s="476"/>
      <c r="U397" s="476"/>
      <c r="V397" s="1002"/>
      <c r="W397" s="476"/>
      <c r="X397" s="476"/>
      <c r="Y397" s="476"/>
      <c r="Z397" s="476"/>
      <c r="AA397" s="476"/>
    </row>
    <row r="398" spans="1:27" ht="15" customHeight="1">
      <c r="A398" s="476"/>
      <c r="B398" s="476"/>
      <c r="C398" s="1001"/>
      <c r="D398" s="1002"/>
      <c r="E398" s="476"/>
      <c r="F398" s="1002"/>
      <c r="G398" s="1003"/>
      <c r="H398" s="1002"/>
      <c r="I398" s="1002"/>
      <c r="J398" s="1002"/>
      <c r="K398" s="1002"/>
      <c r="L398" s="1002"/>
      <c r="M398" s="1002"/>
      <c r="N398" s="1002"/>
      <c r="O398" s="476"/>
      <c r="P398" s="1002"/>
      <c r="Q398" s="476"/>
      <c r="R398" s="1002"/>
      <c r="S398" s="1002"/>
      <c r="T398" s="476"/>
      <c r="U398" s="476"/>
      <c r="V398" s="1002"/>
      <c r="W398" s="476"/>
      <c r="X398" s="476"/>
      <c r="Y398" s="476"/>
      <c r="Z398" s="476"/>
      <c r="AA398" s="476"/>
    </row>
    <row r="399" spans="1:27" ht="15" customHeight="1">
      <c r="A399" s="476"/>
      <c r="B399" s="476"/>
      <c r="C399" s="1001"/>
      <c r="D399" s="1002"/>
      <c r="E399" s="476"/>
      <c r="F399" s="1002"/>
      <c r="G399" s="1003"/>
      <c r="H399" s="1002"/>
      <c r="I399" s="1002"/>
      <c r="J399" s="1002"/>
      <c r="K399" s="1002"/>
      <c r="L399" s="1002"/>
      <c r="M399" s="1002"/>
      <c r="N399" s="1002"/>
      <c r="O399" s="476"/>
      <c r="P399" s="1002"/>
      <c r="Q399" s="476"/>
      <c r="R399" s="1002"/>
      <c r="S399" s="1002"/>
      <c r="T399" s="476"/>
      <c r="U399" s="476"/>
      <c r="V399" s="1002"/>
      <c r="W399" s="476"/>
      <c r="X399" s="476"/>
      <c r="Y399" s="476"/>
      <c r="Z399" s="476"/>
      <c r="AA399" s="476"/>
    </row>
    <row r="400" spans="1:27" ht="15" customHeight="1">
      <c r="A400" s="476"/>
      <c r="B400" s="476"/>
      <c r="C400" s="1001"/>
      <c r="D400" s="1002"/>
      <c r="E400" s="476"/>
      <c r="F400" s="1002"/>
      <c r="G400" s="1003"/>
      <c r="H400" s="1002"/>
      <c r="I400" s="1002"/>
      <c r="J400" s="1002"/>
      <c r="K400" s="1002"/>
      <c r="L400" s="1002"/>
      <c r="M400" s="1002"/>
      <c r="N400" s="1002"/>
      <c r="O400" s="476"/>
      <c r="P400" s="1002"/>
      <c r="Q400" s="476"/>
      <c r="R400" s="1002"/>
      <c r="S400" s="1002"/>
      <c r="T400" s="476"/>
      <c r="U400" s="476"/>
      <c r="V400" s="1002"/>
      <c r="W400" s="476"/>
      <c r="X400" s="476"/>
      <c r="Y400" s="476"/>
      <c r="Z400" s="476"/>
      <c r="AA400" s="476"/>
    </row>
    <row r="401" spans="1:27" ht="15" customHeight="1">
      <c r="A401" s="476"/>
      <c r="B401" s="476"/>
      <c r="C401" s="1001"/>
      <c r="D401" s="1002"/>
      <c r="E401" s="476"/>
      <c r="F401" s="1002"/>
      <c r="G401" s="1003"/>
      <c r="H401" s="1002"/>
      <c r="I401" s="1002"/>
      <c r="J401" s="1002"/>
      <c r="K401" s="1002"/>
      <c r="L401" s="1002"/>
      <c r="M401" s="1002"/>
      <c r="N401" s="1002"/>
      <c r="O401" s="476"/>
      <c r="P401" s="1002"/>
      <c r="Q401" s="476"/>
      <c r="R401" s="1002"/>
      <c r="S401" s="1002"/>
      <c r="T401" s="476"/>
      <c r="U401" s="476"/>
      <c r="V401" s="1002"/>
      <c r="W401" s="476"/>
      <c r="X401" s="476"/>
      <c r="Y401" s="476"/>
      <c r="Z401" s="476"/>
      <c r="AA401" s="476"/>
    </row>
    <row r="402" spans="1:27" ht="15" customHeight="1">
      <c r="A402" s="476"/>
      <c r="B402" s="476"/>
      <c r="C402" s="1001"/>
      <c r="D402" s="1002"/>
      <c r="E402" s="476"/>
      <c r="F402" s="1002"/>
      <c r="G402" s="1003"/>
      <c r="H402" s="1002"/>
      <c r="I402" s="1002"/>
      <c r="J402" s="1002"/>
      <c r="K402" s="1002"/>
      <c r="L402" s="1002"/>
      <c r="M402" s="1002"/>
      <c r="N402" s="1002"/>
      <c r="O402" s="476"/>
      <c r="P402" s="1002"/>
      <c r="Q402" s="476"/>
      <c r="R402" s="1002"/>
      <c r="S402" s="1002"/>
      <c r="T402" s="476"/>
      <c r="U402" s="476"/>
      <c r="V402" s="1002"/>
      <c r="W402" s="476"/>
      <c r="X402" s="476"/>
      <c r="Y402" s="476"/>
      <c r="Z402" s="476"/>
      <c r="AA402" s="476"/>
    </row>
    <row r="403" spans="1:27" ht="15" customHeight="1">
      <c r="A403" s="476"/>
      <c r="B403" s="476"/>
      <c r="C403" s="1001"/>
      <c r="D403" s="1002"/>
      <c r="E403" s="476"/>
      <c r="F403" s="1002"/>
      <c r="G403" s="1003"/>
      <c r="H403" s="1002"/>
      <c r="I403" s="1002"/>
      <c r="J403" s="1002"/>
      <c r="K403" s="1002"/>
      <c r="L403" s="1002"/>
      <c r="M403" s="1002"/>
      <c r="N403" s="1002"/>
      <c r="O403" s="476"/>
      <c r="P403" s="1002"/>
      <c r="Q403" s="476"/>
      <c r="R403" s="1002"/>
      <c r="S403" s="1002"/>
      <c r="T403" s="476"/>
      <c r="U403" s="476"/>
      <c r="V403" s="1002"/>
      <c r="W403" s="476"/>
      <c r="X403" s="476"/>
      <c r="Y403" s="476"/>
      <c r="Z403" s="476"/>
      <c r="AA403" s="476"/>
    </row>
    <row r="404" spans="1:27" ht="15" customHeight="1">
      <c r="A404" s="476"/>
      <c r="B404" s="476"/>
      <c r="C404" s="1001"/>
      <c r="D404" s="1002"/>
      <c r="E404" s="476"/>
      <c r="F404" s="1002"/>
      <c r="G404" s="1003"/>
      <c r="H404" s="1002"/>
      <c r="I404" s="1002"/>
      <c r="J404" s="1002"/>
      <c r="K404" s="1002"/>
      <c r="L404" s="1002"/>
      <c r="M404" s="1002"/>
      <c r="N404" s="1002"/>
      <c r="O404" s="476"/>
      <c r="P404" s="1002"/>
      <c r="Q404" s="476"/>
      <c r="R404" s="1002"/>
      <c r="S404" s="1002"/>
      <c r="T404" s="476"/>
      <c r="U404" s="476"/>
      <c r="V404" s="1002"/>
      <c r="W404" s="476"/>
      <c r="X404" s="476"/>
      <c r="Y404" s="476"/>
      <c r="Z404" s="476"/>
      <c r="AA404" s="476"/>
    </row>
    <row r="405" spans="1:27" ht="15" customHeight="1">
      <c r="A405" s="476"/>
      <c r="B405" s="476"/>
      <c r="C405" s="1001"/>
      <c r="D405" s="1002"/>
      <c r="E405" s="476"/>
      <c r="F405" s="1002"/>
      <c r="G405" s="1003"/>
      <c r="H405" s="1002"/>
      <c r="I405" s="1002"/>
      <c r="J405" s="1002"/>
      <c r="K405" s="1002"/>
      <c r="L405" s="1002"/>
      <c r="M405" s="1002"/>
      <c r="N405" s="1002"/>
      <c r="O405" s="476"/>
      <c r="P405" s="1002"/>
      <c r="Q405" s="476"/>
      <c r="R405" s="1002"/>
      <c r="S405" s="1002"/>
      <c r="T405" s="476"/>
      <c r="U405" s="476"/>
      <c r="V405" s="1002"/>
      <c r="W405" s="476"/>
      <c r="X405" s="476"/>
      <c r="Y405" s="476"/>
      <c r="Z405" s="476"/>
      <c r="AA405" s="476"/>
    </row>
    <row r="406" spans="1:27" ht="15" customHeight="1">
      <c r="A406" s="476"/>
      <c r="B406" s="476"/>
      <c r="C406" s="1001"/>
      <c r="D406" s="1002"/>
      <c r="E406" s="476"/>
      <c r="F406" s="1002"/>
      <c r="G406" s="1003"/>
      <c r="H406" s="1002"/>
      <c r="I406" s="1002"/>
      <c r="J406" s="1002"/>
      <c r="K406" s="1002"/>
      <c r="L406" s="1002"/>
      <c r="M406" s="1002"/>
      <c r="N406" s="1002"/>
      <c r="O406" s="476"/>
      <c r="P406" s="1002"/>
      <c r="Q406" s="476"/>
      <c r="R406" s="1002"/>
      <c r="S406" s="1002"/>
      <c r="T406" s="476"/>
      <c r="U406" s="476"/>
      <c r="V406" s="1002"/>
      <c r="W406" s="476"/>
      <c r="X406" s="476"/>
      <c r="Y406" s="476"/>
      <c r="Z406" s="476"/>
      <c r="AA406" s="476"/>
    </row>
    <row r="407" spans="1:27" ht="15" customHeight="1">
      <c r="A407" s="476"/>
      <c r="B407" s="476"/>
      <c r="C407" s="1001"/>
      <c r="D407" s="1002"/>
      <c r="E407" s="476"/>
      <c r="F407" s="1002"/>
      <c r="G407" s="1003"/>
      <c r="H407" s="1002"/>
      <c r="I407" s="1002"/>
      <c r="J407" s="1002"/>
      <c r="K407" s="1002"/>
      <c r="L407" s="1002"/>
      <c r="M407" s="1002"/>
      <c r="N407" s="1002"/>
      <c r="O407" s="476"/>
      <c r="P407" s="1002"/>
      <c r="Q407" s="476"/>
      <c r="R407" s="1002"/>
      <c r="S407" s="1002"/>
      <c r="T407" s="476"/>
      <c r="U407" s="476"/>
      <c r="V407" s="1002"/>
      <c r="W407" s="476"/>
      <c r="X407" s="476"/>
      <c r="Y407" s="476"/>
      <c r="Z407" s="476"/>
      <c r="AA407" s="476"/>
    </row>
    <row r="408" spans="1:27" ht="15" customHeight="1">
      <c r="A408" s="476"/>
      <c r="B408" s="476"/>
      <c r="C408" s="1001"/>
      <c r="D408" s="1002"/>
      <c r="E408" s="476"/>
      <c r="F408" s="1002"/>
      <c r="G408" s="1003"/>
      <c r="H408" s="1002"/>
      <c r="I408" s="1002"/>
      <c r="J408" s="1002"/>
      <c r="K408" s="1002"/>
      <c r="L408" s="1002"/>
      <c r="M408" s="1002"/>
      <c r="N408" s="1002"/>
      <c r="O408" s="476"/>
      <c r="P408" s="1002"/>
      <c r="Q408" s="476"/>
      <c r="R408" s="1002"/>
      <c r="S408" s="1002"/>
      <c r="T408" s="476"/>
      <c r="U408" s="476"/>
      <c r="V408" s="1002"/>
      <c r="W408" s="476"/>
      <c r="X408" s="476"/>
      <c r="Y408" s="476"/>
      <c r="Z408" s="476"/>
      <c r="AA408" s="476"/>
    </row>
    <row r="409" spans="1:27" ht="15" customHeight="1">
      <c r="A409" s="476"/>
      <c r="B409" s="476"/>
      <c r="C409" s="1001"/>
      <c r="D409" s="1002"/>
      <c r="E409" s="476"/>
      <c r="F409" s="1002"/>
      <c r="G409" s="1003"/>
      <c r="H409" s="1002"/>
      <c r="I409" s="1002"/>
      <c r="J409" s="1002"/>
      <c r="K409" s="1002"/>
      <c r="L409" s="1002"/>
      <c r="M409" s="1002"/>
      <c r="N409" s="1002"/>
      <c r="O409" s="476"/>
      <c r="P409" s="1002"/>
      <c r="Q409" s="476"/>
      <c r="R409" s="1002"/>
      <c r="S409" s="1002"/>
      <c r="T409" s="476"/>
      <c r="U409" s="476"/>
      <c r="V409" s="1002"/>
      <c r="W409" s="476"/>
      <c r="X409" s="476"/>
      <c r="Y409" s="476"/>
      <c r="Z409" s="476"/>
      <c r="AA409" s="476"/>
    </row>
    <row r="410" spans="1:27" ht="15" customHeight="1">
      <c r="A410" s="476"/>
      <c r="B410" s="476"/>
      <c r="C410" s="1001"/>
      <c r="D410" s="1002"/>
      <c r="E410" s="476"/>
      <c r="F410" s="1002"/>
      <c r="G410" s="1003"/>
      <c r="H410" s="1002"/>
      <c r="I410" s="1002"/>
      <c r="J410" s="1002"/>
      <c r="K410" s="1002"/>
      <c r="L410" s="1002"/>
      <c r="M410" s="1002"/>
      <c r="N410" s="1002"/>
      <c r="O410" s="476"/>
      <c r="P410" s="1002"/>
      <c r="Q410" s="476"/>
      <c r="R410" s="1002"/>
      <c r="S410" s="1002"/>
      <c r="T410" s="476"/>
      <c r="U410" s="476"/>
      <c r="V410" s="1002"/>
      <c r="W410" s="476"/>
      <c r="X410" s="476"/>
      <c r="Y410" s="476"/>
      <c r="Z410" s="476"/>
      <c r="AA410" s="476"/>
    </row>
    <row r="411" spans="1:27" ht="15" customHeight="1">
      <c r="A411" s="476"/>
      <c r="B411" s="476"/>
      <c r="C411" s="1001"/>
      <c r="D411" s="1002"/>
      <c r="E411" s="476"/>
      <c r="F411" s="1002"/>
      <c r="G411" s="1003"/>
      <c r="H411" s="1002"/>
      <c r="I411" s="1002"/>
      <c r="J411" s="1002"/>
      <c r="K411" s="1002"/>
      <c r="L411" s="1002"/>
      <c r="M411" s="1002"/>
      <c r="N411" s="1002"/>
      <c r="O411" s="476"/>
      <c r="P411" s="1002"/>
      <c r="Q411" s="476"/>
      <c r="R411" s="1002"/>
      <c r="S411" s="1002"/>
      <c r="T411" s="476"/>
      <c r="U411" s="476"/>
      <c r="V411" s="1002"/>
      <c r="W411" s="476"/>
      <c r="X411" s="476"/>
      <c r="Y411" s="476"/>
      <c r="Z411" s="476"/>
      <c r="AA411" s="476"/>
    </row>
    <row r="412" spans="1:27" ht="15" customHeight="1">
      <c r="A412" s="476"/>
      <c r="B412" s="476"/>
      <c r="C412" s="1001"/>
      <c r="D412" s="1002"/>
      <c r="E412" s="476"/>
      <c r="F412" s="1002"/>
      <c r="G412" s="1003"/>
      <c r="H412" s="1002"/>
      <c r="I412" s="1002"/>
      <c r="J412" s="1002"/>
      <c r="K412" s="1002"/>
      <c r="L412" s="1002"/>
      <c r="M412" s="1002"/>
      <c r="N412" s="1002"/>
      <c r="O412" s="476"/>
      <c r="P412" s="1002"/>
      <c r="Q412" s="476"/>
      <c r="R412" s="1002"/>
      <c r="S412" s="1002"/>
      <c r="T412" s="476"/>
      <c r="U412" s="476"/>
      <c r="V412" s="1002"/>
      <c r="W412" s="476"/>
      <c r="X412" s="476"/>
      <c r="Y412" s="476"/>
      <c r="Z412" s="476"/>
      <c r="AA412" s="476"/>
    </row>
    <row r="413" spans="1:27" ht="15" customHeight="1">
      <c r="A413" s="476"/>
      <c r="B413" s="476"/>
      <c r="C413" s="1001"/>
      <c r="D413" s="1002"/>
      <c r="E413" s="476"/>
      <c r="F413" s="1002"/>
      <c r="G413" s="1003"/>
      <c r="H413" s="1002"/>
      <c r="I413" s="1002"/>
      <c r="J413" s="1002"/>
      <c r="K413" s="1002"/>
      <c r="L413" s="1002"/>
      <c r="M413" s="1002"/>
      <c r="N413" s="1002"/>
      <c r="O413" s="476"/>
      <c r="P413" s="1002"/>
      <c r="Q413" s="476"/>
      <c r="R413" s="1002"/>
      <c r="S413" s="1002"/>
      <c r="T413" s="476"/>
      <c r="U413" s="476"/>
      <c r="V413" s="1002"/>
      <c r="W413" s="476"/>
      <c r="X413" s="476"/>
      <c r="Y413" s="476"/>
      <c r="Z413" s="476"/>
      <c r="AA413" s="476"/>
    </row>
    <row r="414" spans="1:27" ht="15" customHeight="1">
      <c r="A414" s="476"/>
      <c r="B414" s="476"/>
      <c r="C414" s="1001"/>
      <c r="D414" s="1002"/>
      <c r="E414" s="476"/>
      <c r="F414" s="1002"/>
      <c r="G414" s="1003"/>
      <c r="H414" s="1002"/>
      <c r="I414" s="1002"/>
      <c r="J414" s="1002"/>
      <c r="K414" s="1002"/>
      <c r="L414" s="1002"/>
      <c r="M414" s="1002"/>
      <c r="N414" s="1002"/>
      <c r="O414" s="476"/>
      <c r="P414" s="1002"/>
      <c r="Q414" s="476"/>
      <c r="R414" s="1002"/>
      <c r="S414" s="1002"/>
      <c r="T414" s="476"/>
      <c r="U414" s="476"/>
      <c r="V414" s="1002"/>
      <c r="W414" s="476"/>
      <c r="X414" s="476"/>
      <c r="Y414" s="476"/>
      <c r="Z414" s="476"/>
      <c r="AA414" s="476"/>
    </row>
    <row r="415" spans="1:27" ht="15" customHeight="1">
      <c r="A415" s="476"/>
      <c r="B415" s="476"/>
      <c r="C415" s="1001"/>
      <c r="D415" s="1002"/>
      <c r="E415" s="476"/>
      <c r="F415" s="1002"/>
      <c r="G415" s="1003"/>
      <c r="H415" s="1002"/>
      <c r="I415" s="1002"/>
      <c r="J415" s="1002"/>
      <c r="K415" s="1002"/>
      <c r="L415" s="1002"/>
      <c r="M415" s="1002"/>
      <c r="N415" s="1002"/>
      <c r="O415" s="476"/>
      <c r="P415" s="1002"/>
      <c r="Q415" s="476"/>
      <c r="R415" s="1002"/>
      <c r="S415" s="1002"/>
      <c r="T415" s="476"/>
      <c r="U415" s="476"/>
      <c r="V415" s="1002"/>
      <c r="W415" s="476"/>
      <c r="X415" s="476"/>
      <c r="Y415" s="476"/>
      <c r="Z415" s="476"/>
      <c r="AA415" s="476"/>
    </row>
    <row r="416" spans="1:27" ht="15" customHeight="1">
      <c r="A416" s="476"/>
      <c r="B416" s="476"/>
      <c r="C416" s="1001"/>
      <c r="D416" s="1002"/>
      <c r="E416" s="476"/>
      <c r="F416" s="1002"/>
      <c r="G416" s="1003"/>
      <c r="H416" s="1002"/>
      <c r="I416" s="1002"/>
      <c r="J416" s="1002"/>
      <c r="K416" s="1002"/>
      <c r="L416" s="1002"/>
      <c r="M416" s="1002"/>
      <c r="N416" s="1002"/>
      <c r="O416" s="476"/>
      <c r="P416" s="1002"/>
      <c r="Q416" s="476"/>
      <c r="R416" s="1002"/>
      <c r="S416" s="1002"/>
      <c r="T416" s="476"/>
      <c r="U416" s="476"/>
      <c r="V416" s="1002"/>
      <c r="W416" s="476"/>
      <c r="X416" s="476"/>
      <c r="Y416" s="476"/>
      <c r="Z416" s="476"/>
      <c r="AA416" s="476"/>
    </row>
    <row r="417" spans="1:27" ht="15" customHeight="1">
      <c r="A417" s="476"/>
      <c r="B417" s="476"/>
      <c r="C417" s="1001"/>
      <c r="D417" s="1002"/>
      <c r="E417" s="476"/>
      <c r="F417" s="1002"/>
      <c r="G417" s="1003"/>
      <c r="H417" s="1002"/>
      <c r="I417" s="1002"/>
      <c r="J417" s="1002"/>
      <c r="K417" s="1002"/>
      <c r="L417" s="1002"/>
      <c r="M417" s="1002"/>
      <c r="N417" s="1002"/>
      <c r="O417" s="476"/>
      <c r="P417" s="1002"/>
      <c r="Q417" s="476"/>
      <c r="R417" s="1002"/>
      <c r="S417" s="1002"/>
      <c r="T417" s="476"/>
      <c r="U417" s="476"/>
      <c r="V417" s="1002"/>
      <c r="W417" s="476"/>
      <c r="X417" s="476"/>
      <c r="Y417" s="476"/>
      <c r="Z417" s="476"/>
      <c r="AA417" s="476"/>
    </row>
    <row r="418" spans="1:27" ht="15" customHeight="1">
      <c r="A418" s="476"/>
      <c r="B418" s="476"/>
      <c r="C418" s="1001"/>
      <c r="D418" s="1002"/>
      <c r="E418" s="476"/>
      <c r="F418" s="1002"/>
      <c r="G418" s="1003"/>
      <c r="H418" s="1002"/>
      <c r="I418" s="1002"/>
      <c r="J418" s="1002"/>
      <c r="K418" s="1002"/>
      <c r="L418" s="1002"/>
      <c r="M418" s="1002"/>
      <c r="N418" s="1002"/>
      <c r="O418" s="476"/>
      <c r="P418" s="1002"/>
      <c r="Q418" s="476"/>
      <c r="R418" s="1002"/>
      <c r="S418" s="1002"/>
      <c r="T418" s="476"/>
      <c r="U418" s="476"/>
      <c r="V418" s="1002"/>
      <c r="W418" s="476"/>
      <c r="X418" s="476"/>
      <c r="Y418" s="476"/>
      <c r="Z418" s="476"/>
      <c r="AA418" s="476"/>
    </row>
    <row r="419" spans="1:27" ht="15" customHeight="1">
      <c r="A419" s="476"/>
      <c r="B419" s="476"/>
      <c r="C419" s="1001"/>
      <c r="D419" s="1002"/>
      <c r="E419" s="476"/>
      <c r="F419" s="1002"/>
      <c r="G419" s="1003"/>
      <c r="H419" s="1002"/>
      <c r="I419" s="1002"/>
      <c r="J419" s="1002"/>
      <c r="K419" s="1002"/>
      <c r="L419" s="1002"/>
      <c r="M419" s="1002"/>
      <c r="N419" s="1002"/>
      <c r="O419" s="476"/>
      <c r="P419" s="1002"/>
      <c r="Q419" s="476"/>
      <c r="R419" s="1002"/>
      <c r="S419" s="1002"/>
      <c r="T419" s="476"/>
      <c r="U419" s="476"/>
      <c r="V419" s="1002"/>
      <c r="W419" s="476"/>
      <c r="X419" s="476"/>
      <c r="Y419" s="476"/>
      <c r="Z419" s="476"/>
      <c r="AA419" s="476"/>
    </row>
    <row r="420" spans="1:27" ht="15" customHeight="1">
      <c r="A420" s="476"/>
      <c r="B420" s="476"/>
      <c r="C420" s="1001"/>
      <c r="D420" s="1002"/>
      <c r="E420" s="476"/>
      <c r="F420" s="1002"/>
      <c r="G420" s="1003"/>
      <c r="H420" s="1002"/>
      <c r="I420" s="1002"/>
      <c r="J420" s="1002"/>
      <c r="K420" s="1002"/>
      <c r="L420" s="1002"/>
      <c r="M420" s="1002"/>
      <c r="N420" s="1002"/>
      <c r="O420" s="476"/>
      <c r="P420" s="1002"/>
      <c r="Q420" s="476"/>
      <c r="R420" s="1002"/>
      <c r="S420" s="1002"/>
      <c r="T420" s="476"/>
      <c r="U420" s="476"/>
      <c r="V420" s="1002"/>
      <c r="W420" s="476"/>
      <c r="X420" s="476"/>
      <c r="Y420" s="476"/>
      <c r="Z420" s="476"/>
      <c r="AA420" s="476"/>
    </row>
    <row r="421" spans="1:27" ht="15" customHeight="1">
      <c r="A421" s="476"/>
      <c r="B421" s="476"/>
      <c r="C421" s="1001"/>
      <c r="D421" s="1002"/>
      <c r="E421" s="476"/>
      <c r="F421" s="1002"/>
      <c r="G421" s="1003"/>
      <c r="H421" s="1002"/>
      <c r="I421" s="1002"/>
      <c r="J421" s="1002"/>
      <c r="K421" s="1002"/>
      <c r="L421" s="1002"/>
      <c r="M421" s="1002"/>
      <c r="N421" s="1002"/>
      <c r="O421" s="476"/>
      <c r="P421" s="1002"/>
      <c r="Q421" s="476"/>
      <c r="R421" s="1002"/>
      <c r="S421" s="1002"/>
      <c r="T421" s="476"/>
      <c r="U421" s="476"/>
      <c r="V421" s="1002"/>
      <c r="W421" s="476"/>
      <c r="X421" s="476"/>
      <c r="Y421" s="476"/>
      <c r="Z421" s="476"/>
      <c r="AA421" s="476"/>
    </row>
    <row r="422" spans="1:27" ht="15" customHeight="1">
      <c r="A422" s="476"/>
      <c r="B422" s="476"/>
      <c r="C422" s="1001"/>
      <c r="D422" s="1002"/>
      <c r="E422" s="476"/>
      <c r="F422" s="1002"/>
      <c r="G422" s="1003"/>
      <c r="H422" s="1002"/>
      <c r="I422" s="1002"/>
      <c r="J422" s="1002"/>
      <c r="K422" s="1002"/>
      <c r="L422" s="1002"/>
      <c r="M422" s="1002"/>
      <c r="N422" s="1002"/>
      <c r="O422" s="476"/>
      <c r="P422" s="1002"/>
      <c r="Q422" s="476"/>
      <c r="R422" s="1002"/>
      <c r="S422" s="1002"/>
      <c r="T422" s="476"/>
      <c r="U422" s="476"/>
      <c r="V422" s="1002"/>
      <c r="W422" s="476"/>
      <c r="X422" s="476"/>
      <c r="Y422" s="476"/>
      <c r="Z422" s="476"/>
      <c r="AA422" s="476"/>
    </row>
    <row r="423" spans="1:27" ht="15" customHeight="1">
      <c r="A423" s="476"/>
      <c r="B423" s="476"/>
      <c r="C423" s="1001"/>
      <c r="D423" s="1002"/>
      <c r="E423" s="476"/>
      <c r="F423" s="1002"/>
      <c r="G423" s="1003"/>
      <c r="H423" s="1002"/>
      <c r="I423" s="1002"/>
      <c r="J423" s="1002"/>
      <c r="K423" s="1002"/>
      <c r="L423" s="1002"/>
      <c r="M423" s="1002"/>
      <c r="N423" s="1002"/>
      <c r="O423" s="476"/>
      <c r="P423" s="1002"/>
      <c r="Q423" s="476"/>
      <c r="R423" s="1002"/>
      <c r="S423" s="1002"/>
      <c r="T423" s="476"/>
      <c r="U423" s="476"/>
      <c r="V423" s="1002"/>
      <c r="W423" s="476"/>
      <c r="X423" s="476"/>
      <c r="Y423" s="476"/>
      <c r="Z423" s="476"/>
      <c r="AA423" s="476"/>
    </row>
    <row r="424" spans="1:27" ht="15" customHeight="1">
      <c r="A424" s="476"/>
      <c r="B424" s="476"/>
      <c r="C424" s="1001"/>
      <c r="D424" s="1002"/>
      <c r="E424" s="476"/>
      <c r="F424" s="1002"/>
      <c r="G424" s="1003"/>
      <c r="H424" s="1002"/>
      <c r="I424" s="1002"/>
      <c r="J424" s="1002"/>
      <c r="K424" s="1002"/>
      <c r="L424" s="1002"/>
      <c r="M424" s="1002"/>
      <c r="N424" s="1002"/>
      <c r="O424" s="476"/>
      <c r="P424" s="1002"/>
      <c r="Q424" s="476"/>
      <c r="R424" s="1002"/>
      <c r="S424" s="1002"/>
      <c r="T424" s="476"/>
      <c r="U424" s="476"/>
      <c r="V424" s="1002"/>
      <c r="W424" s="476"/>
      <c r="X424" s="476"/>
      <c r="Y424" s="476"/>
      <c r="Z424" s="476"/>
      <c r="AA424" s="476"/>
    </row>
    <row r="425" spans="1:27" ht="15" customHeight="1">
      <c r="A425" s="476"/>
      <c r="B425" s="476"/>
      <c r="C425" s="1001"/>
      <c r="D425" s="1002"/>
      <c r="E425" s="476"/>
      <c r="F425" s="1002"/>
      <c r="G425" s="1003"/>
      <c r="H425" s="1002"/>
      <c r="I425" s="1002"/>
      <c r="J425" s="1002"/>
      <c r="K425" s="1002"/>
      <c r="L425" s="1002"/>
      <c r="M425" s="1002"/>
      <c r="N425" s="1002"/>
      <c r="O425" s="476"/>
      <c r="P425" s="1002"/>
      <c r="Q425" s="476"/>
      <c r="R425" s="1002"/>
      <c r="S425" s="1002"/>
      <c r="T425" s="476"/>
      <c r="U425" s="476"/>
      <c r="V425" s="1002"/>
      <c r="W425" s="476"/>
      <c r="X425" s="476"/>
      <c r="Y425" s="476"/>
      <c r="Z425" s="476"/>
      <c r="AA425" s="476"/>
    </row>
    <row r="426" spans="1:27" ht="15" customHeight="1">
      <c r="A426" s="476"/>
      <c r="B426" s="476"/>
      <c r="C426" s="1001"/>
      <c r="D426" s="1002"/>
      <c r="E426" s="476"/>
      <c r="F426" s="1002"/>
      <c r="G426" s="1003"/>
      <c r="H426" s="1002"/>
      <c r="I426" s="1002"/>
      <c r="J426" s="1002"/>
      <c r="K426" s="1002"/>
      <c r="L426" s="1002"/>
      <c r="M426" s="1002"/>
      <c r="N426" s="1002"/>
      <c r="O426" s="476"/>
      <c r="P426" s="1002"/>
      <c r="Q426" s="476"/>
      <c r="R426" s="1002"/>
      <c r="S426" s="1002"/>
      <c r="T426" s="476"/>
      <c r="U426" s="476"/>
      <c r="V426" s="1002"/>
      <c r="W426" s="476"/>
      <c r="X426" s="476"/>
      <c r="Y426" s="476"/>
      <c r="Z426" s="476"/>
      <c r="AA426" s="476"/>
    </row>
    <row r="427" spans="1:27" ht="15" customHeight="1">
      <c r="A427" s="476"/>
      <c r="B427" s="476"/>
      <c r="C427" s="1001"/>
      <c r="D427" s="1002"/>
      <c r="E427" s="476"/>
      <c r="F427" s="1002"/>
      <c r="G427" s="1003"/>
      <c r="H427" s="1002"/>
      <c r="I427" s="1002"/>
      <c r="J427" s="1002"/>
      <c r="K427" s="1002"/>
      <c r="L427" s="1002"/>
      <c r="M427" s="1002"/>
      <c r="N427" s="1002"/>
      <c r="O427" s="476"/>
      <c r="P427" s="1002"/>
      <c r="Q427" s="476"/>
      <c r="R427" s="1002"/>
      <c r="S427" s="1002"/>
      <c r="T427" s="476"/>
      <c r="U427" s="476"/>
      <c r="V427" s="1002"/>
      <c r="W427" s="476"/>
      <c r="X427" s="476"/>
      <c r="Y427" s="476"/>
      <c r="Z427" s="476"/>
      <c r="AA427" s="476"/>
    </row>
    <row r="428" spans="1:27" ht="15" customHeight="1">
      <c r="A428" s="476"/>
      <c r="B428" s="476"/>
      <c r="C428" s="1001"/>
      <c r="D428" s="1002"/>
      <c r="E428" s="476"/>
      <c r="F428" s="1002"/>
      <c r="G428" s="1003"/>
      <c r="H428" s="1002"/>
      <c r="I428" s="1002"/>
      <c r="J428" s="1002"/>
      <c r="K428" s="1002"/>
      <c r="L428" s="1002"/>
      <c r="M428" s="1002"/>
      <c r="N428" s="1002"/>
      <c r="O428" s="476"/>
      <c r="P428" s="1002"/>
      <c r="Q428" s="476"/>
      <c r="R428" s="1002"/>
      <c r="S428" s="1002"/>
      <c r="T428" s="476"/>
      <c r="U428" s="476"/>
      <c r="V428" s="1002"/>
      <c r="W428" s="476"/>
      <c r="X428" s="476"/>
      <c r="Y428" s="476"/>
      <c r="Z428" s="476"/>
      <c r="AA428" s="476"/>
    </row>
    <row r="429" spans="1:27" ht="15" customHeight="1">
      <c r="A429" s="476"/>
      <c r="B429" s="476"/>
      <c r="C429" s="1001"/>
      <c r="D429" s="1002"/>
      <c r="E429" s="476"/>
      <c r="F429" s="1002"/>
      <c r="G429" s="1003"/>
      <c r="H429" s="1002"/>
      <c r="I429" s="1002"/>
      <c r="J429" s="1002"/>
      <c r="K429" s="1002"/>
      <c r="L429" s="1002"/>
      <c r="M429" s="1002"/>
      <c r="N429" s="1002"/>
      <c r="O429" s="476"/>
      <c r="P429" s="1002"/>
      <c r="Q429" s="476"/>
      <c r="R429" s="1002"/>
      <c r="S429" s="1002"/>
      <c r="T429" s="476"/>
      <c r="U429" s="476"/>
      <c r="V429" s="1002"/>
      <c r="W429" s="476"/>
      <c r="X429" s="476"/>
      <c r="Y429" s="476"/>
      <c r="Z429" s="476"/>
      <c r="AA429" s="476"/>
    </row>
    <row r="430" spans="1:27" ht="15" customHeight="1">
      <c r="A430" s="476"/>
      <c r="B430" s="476"/>
      <c r="C430" s="1001"/>
      <c r="D430" s="1002"/>
      <c r="E430" s="476"/>
      <c r="F430" s="1002"/>
      <c r="G430" s="1003"/>
      <c r="H430" s="1002"/>
      <c r="I430" s="1002"/>
      <c r="J430" s="1002"/>
      <c r="K430" s="1002"/>
      <c r="L430" s="1002"/>
      <c r="M430" s="1002"/>
      <c r="N430" s="1002"/>
      <c r="O430" s="476"/>
      <c r="P430" s="1002"/>
      <c r="Q430" s="476"/>
      <c r="R430" s="1002"/>
      <c r="S430" s="1002"/>
      <c r="T430" s="476"/>
      <c r="U430" s="476"/>
      <c r="V430" s="1002"/>
      <c r="W430" s="476"/>
      <c r="X430" s="476"/>
      <c r="Y430" s="476"/>
      <c r="Z430" s="476"/>
      <c r="AA430" s="476"/>
    </row>
    <row r="431" spans="1:27" ht="15" customHeight="1">
      <c r="A431" s="476"/>
      <c r="B431" s="476"/>
      <c r="C431" s="1001"/>
      <c r="D431" s="1002"/>
      <c r="E431" s="476"/>
      <c r="F431" s="1002"/>
      <c r="G431" s="1003"/>
      <c r="H431" s="1002"/>
      <c r="I431" s="1002"/>
      <c r="J431" s="1002"/>
      <c r="K431" s="1002"/>
      <c r="L431" s="1002"/>
      <c r="M431" s="1002"/>
      <c r="N431" s="1002"/>
      <c r="O431" s="476"/>
      <c r="P431" s="1002"/>
      <c r="Q431" s="476"/>
      <c r="R431" s="1002"/>
      <c r="S431" s="1002"/>
      <c r="T431" s="476"/>
      <c r="U431" s="476"/>
      <c r="V431" s="1002"/>
      <c r="W431" s="476"/>
      <c r="X431" s="476"/>
      <c r="Y431" s="476"/>
      <c r="Z431" s="476"/>
      <c r="AA431" s="476"/>
    </row>
    <row r="432" spans="1:27" ht="15" customHeight="1">
      <c r="A432" s="476"/>
      <c r="B432" s="476"/>
      <c r="C432" s="1001"/>
      <c r="D432" s="1002"/>
      <c r="E432" s="476"/>
      <c r="F432" s="1002"/>
      <c r="G432" s="1003"/>
      <c r="H432" s="1002"/>
      <c r="I432" s="1002"/>
      <c r="J432" s="1002"/>
      <c r="K432" s="1002"/>
      <c r="L432" s="1002"/>
      <c r="M432" s="1002"/>
      <c r="N432" s="1002"/>
      <c r="O432" s="476"/>
      <c r="P432" s="1002"/>
      <c r="Q432" s="476"/>
      <c r="R432" s="1002"/>
      <c r="S432" s="1002"/>
      <c r="T432" s="476"/>
      <c r="U432" s="476"/>
      <c r="V432" s="1002"/>
      <c r="W432" s="476"/>
      <c r="X432" s="476"/>
      <c r="Y432" s="476"/>
      <c r="Z432" s="476"/>
      <c r="AA432" s="476"/>
    </row>
    <row r="433" spans="1:27" ht="15" customHeight="1">
      <c r="A433" s="476"/>
      <c r="B433" s="476"/>
      <c r="C433" s="1001"/>
      <c r="D433" s="1002"/>
      <c r="E433" s="476"/>
      <c r="F433" s="1002"/>
      <c r="G433" s="1003"/>
      <c r="H433" s="1002"/>
      <c r="I433" s="1002"/>
      <c r="J433" s="1002"/>
      <c r="K433" s="1002"/>
      <c r="L433" s="1002"/>
      <c r="M433" s="1002"/>
      <c r="N433" s="1002"/>
      <c r="O433" s="476"/>
      <c r="P433" s="1002"/>
      <c r="Q433" s="476"/>
      <c r="R433" s="1002"/>
      <c r="S433" s="1002"/>
      <c r="T433" s="476"/>
      <c r="U433" s="476"/>
      <c r="V433" s="1002"/>
      <c r="W433" s="476"/>
      <c r="X433" s="476"/>
      <c r="Y433" s="476"/>
      <c r="Z433" s="476"/>
      <c r="AA433" s="476"/>
    </row>
    <row r="434" spans="1:27" ht="15" customHeight="1">
      <c r="A434" s="476"/>
      <c r="B434" s="476"/>
      <c r="C434" s="1001"/>
      <c r="D434" s="1002"/>
      <c r="E434" s="476"/>
      <c r="F434" s="1002"/>
      <c r="G434" s="1003"/>
      <c r="H434" s="1002"/>
      <c r="I434" s="1002"/>
      <c r="J434" s="1002"/>
      <c r="K434" s="1002"/>
      <c r="L434" s="1002"/>
      <c r="M434" s="1002"/>
      <c r="N434" s="1002"/>
      <c r="O434" s="476"/>
      <c r="P434" s="1002"/>
      <c r="Q434" s="476"/>
      <c r="R434" s="1002"/>
      <c r="S434" s="1002"/>
      <c r="T434" s="476"/>
      <c r="U434" s="476"/>
      <c r="V434" s="1002"/>
      <c r="W434" s="476"/>
      <c r="X434" s="476"/>
      <c r="Y434" s="476"/>
      <c r="Z434" s="476"/>
      <c r="AA434" s="476"/>
    </row>
    <row r="435" spans="1:27" ht="15" customHeight="1">
      <c r="A435" s="476"/>
      <c r="B435" s="476"/>
      <c r="C435" s="1001"/>
      <c r="D435" s="1002"/>
      <c r="E435" s="476"/>
      <c r="F435" s="1002"/>
      <c r="G435" s="1003"/>
      <c r="H435" s="1002"/>
      <c r="I435" s="1002"/>
      <c r="J435" s="1002"/>
      <c r="K435" s="1002"/>
      <c r="L435" s="1002"/>
      <c r="M435" s="1002"/>
      <c r="N435" s="1002"/>
      <c r="O435" s="476"/>
      <c r="P435" s="1002"/>
      <c r="Q435" s="476"/>
      <c r="R435" s="1002"/>
      <c r="S435" s="1002"/>
      <c r="T435" s="476"/>
      <c r="U435" s="476"/>
      <c r="V435" s="1002"/>
      <c r="W435" s="476"/>
      <c r="X435" s="476"/>
      <c r="Y435" s="476"/>
      <c r="Z435" s="476"/>
      <c r="AA435" s="476"/>
    </row>
    <row r="436" spans="1:27" ht="15" customHeight="1">
      <c r="A436" s="476"/>
      <c r="B436" s="476"/>
      <c r="C436" s="1001"/>
      <c r="D436" s="1002"/>
      <c r="E436" s="476"/>
      <c r="F436" s="1002"/>
      <c r="G436" s="1003"/>
      <c r="H436" s="1002"/>
      <c r="I436" s="1002"/>
      <c r="J436" s="1002"/>
      <c r="K436" s="1002"/>
      <c r="L436" s="1002"/>
      <c r="M436" s="1002"/>
      <c r="N436" s="1002"/>
      <c r="O436" s="476"/>
      <c r="P436" s="1002"/>
      <c r="Q436" s="476"/>
      <c r="R436" s="1002"/>
      <c r="S436" s="1002"/>
      <c r="T436" s="476"/>
      <c r="U436" s="476"/>
      <c r="V436" s="1002"/>
      <c r="W436" s="476"/>
      <c r="X436" s="476"/>
      <c r="Y436" s="476"/>
      <c r="Z436" s="476"/>
      <c r="AA436" s="476"/>
    </row>
    <row r="437" spans="1:27" ht="15" customHeight="1">
      <c r="A437" s="476"/>
      <c r="B437" s="476"/>
      <c r="C437" s="1001"/>
      <c r="D437" s="1002"/>
      <c r="E437" s="476"/>
      <c r="F437" s="1002"/>
      <c r="G437" s="1003"/>
      <c r="H437" s="1002"/>
      <c r="I437" s="1002"/>
      <c r="J437" s="1002"/>
      <c r="K437" s="1002"/>
      <c r="L437" s="1002"/>
      <c r="M437" s="1002"/>
      <c r="N437" s="1002"/>
      <c r="O437" s="476"/>
      <c r="P437" s="1002"/>
      <c r="Q437" s="476"/>
      <c r="R437" s="1002"/>
      <c r="S437" s="1002"/>
      <c r="T437" s="476"/>
      <c r="U437" s="476"/>
      <c r="V437" s="1002"/>
      <c r="W437" s="476"/>
      <c r="X437" s="476"/>
      <c r="Y437" s="476"/>
      <c r="Z437" s="476"/>
      <c r="AA437" s="476"/>
    </row>
    <row r="438" spans="1:27" ht="15" customHeight="1">
      <c r="A438" s="476"/>
      <c r="B438" s="476"/>
      <c r="C438" s="1001"/>
      <c r="D438" s="1002"/>
      <c r="E438" s="476"/>
      <c r="F438" s="1002"/>
      <c r="G438" s="1003"/>
      <c r="H438" s="1002"/>
      <c r="I438" s="1002"/>
      <c r="J438" s="1002"/>
      <c r="K438" s="1002"/>
      <c r="L438" s="1002"/>
      <c r="M438" s="1002"/>
      <c r="N438" s="1002"/>
      <c r="O438" s="476"/>
      <c r="P438" s="1002"/>
      <c r="Q438" s="476"/>
      <c r="R438" s="1002"/>
      <c r="S438" s="1002"/>
      <c r="T438" s="476"/>
      <c r="U438" s="476"/>
      <c r="V438" s="1002"/>
      <c r="W438" s="476"/>
      <c r="X438" s="476"/>
      <c r="Y438" s="476"/>
      <c r="Z438" s="476"/>
      <c r="AA438" s="476"/>
    </row>
    <row r="439" spans="1:27" ht="15" customHeight="1">
      <c r="A439" s="476"/>
      <c r="B439" s="476"/>
      <c r="C439" s="1001"/>
      <c r="D439" s="1002"/>
      <c r="E439" s="476"/>
      <c r="F439" s="1002"/>
      <c r="G439" s="1003"/>
      <c r="H439" s="1002"/>
      <c r="I439" s="1002"/>
      <c r="J439" s="1002"/>
      <c r="K439" s="1002"/>
      <c r="L439" s="1002"/>
      <c r="M439" s="1002"/>
      <c r="N439" s="1002"/>
      <c r="O439" s="476"/>
      <c r="P439" s="1002"/>
      <c r="Q439" s="476"/>
      <c r="R439" s="1002"/>
      <c r="S439" s="1002"/>
      <c r="T439" s="476"/>
      <c r="U439" s="476"/>
      <c r="V439" s="1002"/>
      <c r="W439" s="476"/>
      <c r="X439" s="476"/>
      <c r="Y439" s="476"/>
      <c r="Z439" s="476"/>
      <c r="AA439" s="476"/>
    </row>
    <row r="440" spans="1:27" ht="15" customHeight="1">
      <c r="A440" s="476"/>
      <c r="B440" s="476"/>
      <c r="C440" s="1001"/>
      <c r="D440" s="1002"/>
      <c r="E440" s="476"/>
      <c r="F440" s="1002"/>
      <c r="G440" s="1003"/>
      <c r="H440" s="1002"/>
      <c r="I440" s="1002"/>
      <c r="J440" s="1002"/>
      <c r="K440" s="1002"/>
      <c r="L440" s="1002"/>
      <c r="M440" s="1002"/>
      <c r="N440" s="1002"/>
      <c r="O440" s="476"/>
      <c r="P440" s="1002"/>
      <c r="Q440" s="476"/>
      <c r="R440" s="1002"/>
      <c r="S440" s="1002"/>
      <c r="T440" s="476"/>
      <c r="U440" s="476"/>
      <c r="V440" s="1002"/>
      <c r="W440" s="476"/>
      <c r="X440" s="476"/>
      <c r="Y440" s="476"/>
      <c r="Z440" s="476"/>
      <c r="AA440" s="476"/>
    </row>
    <row r="441" spans="1:27" ht="15" customHeight="1">
      <c r="A441" s="476"/>
      <c r="B441" s="476"/>
      <c r="C441" s="1001"/>
      <c r="D441" s="1002"/>
      <c r="E441" s="476"/>
      <c r="F441" s="1002"/>
      <c r="G441" s="1003"/>
      <c r="H441" s="1002"/>
      <c r="I441" s="1002"/>
      <c r="J441" s="1002"/>
      <c r="K441" s="1002"/>
      <c r="L441" s="1002"/>
      <c r="M441" s="1002"/>
      <c r="N441" s="1002"/>
      <c r="O441" s="476"/>
      <c r="P441" s="1002"/>
      <c r="Q441" s="476"/>
      <c r="R441" s="1002"/>
      <c r="S441" s="1002"/>
      <c r="T441" s="476"/>
      <c r="U441" s="476"/>
      <c r="V441" s="1002"/>
      <c r="W441" s="476"/>
      <c r="X441" s="476"/>
      <c r="Y441" s="476"/>
      <c r="Z441" s="476"/>
      <c r="AA441" s="476"/>
    </row>
    <row r="442" spans="1:27" ht="15" customHeight="1">
      <c r="A442" s="476"/>
      <c r="B442" s="476"/>
      <c r="C442" s="1001"/>
      <c r="D442" s="1002"/>
      <c r="E442" s="476"/>
      <c r="F442" s="1002"/>
      <c r="G442" s="1003"/>
      <c r="H442" s="1002"/>
      <c r="I442" s="1002"/>
      <c r="J442" s="1002"/>
      <c r="K442" s="1002"/>
      <c r="L442" s="1002"/>
      <c r="M442" s="1002"/>
      <c r="N442" s="1002"/>
      <c r="O442" s="476"/>
      <c r="P442" s="1002"/>
      <c r="Q442" s="476"/>
      <c r="R442" s="1002"/>
      <c r="S442" s="1002"/>
      <c r="T442" s="476"/>
      <c r="U442" s="476"/>
      <c r="V442" s="1002"/>
      <c r="W442" s="476"/>
      <c r="X442" s="476"/>
      <c r="Y442" s="476"/>
      <c r="Z442" s="476"/>
      <c r="AA442" s="476"/>
    </row>
    <row r="443" spans="1:27" ht="15" customHeight="1">
      <c r="A443" s="476"/>
      <c r="B443" s="476"/>
      <c r="C443" s="1001"/>
      <c r="D443" s="1002"/>
      <c r="E443" s="476"/>
      <c r="F443" s="1002"/>
      <c r="G443" s="1003"/>
      <c r="H443" s="1002"/>
      <c r="I443" s="1002"/>
      <c r="J443" s="1002"/>
      <c r="K443" s="1002"/>
      <c r="L443" s="1002"/>
      <c r="M443" s="1002"/>
      <c r="N443" s="1002"/>
      <c r="O443" s="476"/>
      <c r="P443" s="1002"/>
      <c r="Q443" s="476"/>
      <c r="R443" s="1002"/>
      <c r="S443" s="1002"/>
      <c r="T443" s="476"/>
      <c r="U443" s="476"/>
      <c r="V443" s="1002"/>
      <c r="W443" s="476"/>
      <c r="X443" s="476"/>
      <c r="Y443" s="476"/>
      <c r="Z443" s="476"/>
      <c r="AA443" s="476"/>
    </row>
    <row r="444" spans="1:27" ht="15" customHeight="1">
      <c r="A444" s="476"/>
      <c r="B444" s="476"/>
      <c r="C444" s="1001"/>
      <c r="D444" s="1002"/>
      <c r="E444" s="476"/>
      <c r="F444" s="1002"/>
      <c r="G444" s="1003"/>
      <c r="H444" s="1002"/>
      <c r="I444" s="1002"/>
      <c r="J444" s="1002"/>
      <c r="K444" s="1002"/>
      <c r="L444" s="1002"/>
      <c r="M444" s="1002"/>
      <c r="N444" s="1002"/>
      <c r="O444" s="476"/>
      <c r="P444" s="1002"/>
      <c r="Q444" s="476"/>
      <c r="R444" s="1002"/>
      <c r="S444" s="1002"/>
      <c r="T444" s="476"/>
      <c r="U444" s="476"/>
      <c r="V444" s="1002"/>
      <c r="W444" s="476"/>
      <c r="X444" s="476"/>
      <c r="Y444" s="476"/>
      <c r="Z444" s="476"/>
      <c r="AA444" s="476"/>
    </row>
    <row r="445" spans="1:27" ht="15" customHeight="1">
      <c r="A445" s="476"/>
      <c r="B445" s="476"/>
      <c r="C445" s="1001"/>
      <c r="D445" s="1002"/>
      <c r="E445" s="476"/>
      <c r="F445" s="1002"/>
      <c r="G445" s="1003"/>
      <c r="H445" s="1002"/>
      <c r="I445" s="1002"/>
      <c r="J445" s="1002"/>
      <c r="K445" s="1002"/>
      <c r="L445" s="1002"/>
      <c r="M445" s="1002"/>
      <c r="N445" s="1002"/>
      <c r="O445" s="476"/>
      <c r="P445" s="1002"/>
      <c r="Q445" s="476"/>
      <c r="R445" s="1002"/>
      <c r="S445" s="1002"/>
      <c r="T445" s="476"/>
      <c r="U445" s="476"/>
      <c r="V445" s="1002"/>
      <c r="W445" s="476"/>
      <c r="X445" s="476"/>
      <c r="Y445" s="476"/>
      <c r="Z445" s="476"/>
      <c r="AA445" s="476"/>
    </row>
    <row r="446" spans="1:27" ht="15" customHeight="1">
      <c r="A446" s="476"/>
      <c r="B446" s="476"/>
      <c r="C446" s="1001"/>
      <c r="D446" s="1002"/>
      <c r="E446" s="476"/>
      <c r="F446" s="1002"/>
      <c r="G446" s="1003"/>
      <c r="H446" s="1002"/>
      <c r="I446" s="1002"/>
      <c r="J446" s="1002"/>
      <c r="K446" s="1002"/>
      <c r="L446" s="1002"/>
      <c r="M446" s="1002"/>
      <c r="N446" s="1002"/>
      <c r="O446" s="476"/>
      <c r="P446" s="1002"/>
      <c r="Q446" s="476"/>
      <c r="R446" s="1002"/>
      <c r="S446" s="1002"/>
      <c r="T446" s="476"/>
      <c r="U446" s="476"/>
      <c r="V446" s="1002"/>
      <c r="W446" s="476"/>
      <c r="X446" s="476"/>
      <c r="Y446" s="476"/>
      <c r="Z446" s="476"/>
      <c r="AA446" s="476"/>
    </row>
    <row r="447" spans="1:27" ht="15" customHeight="1">
      <c r="A447" s="476"/>
      <c r="B447" s="476"/>
      <c r="C447" s="1001"/>
      <c r="D447" s="1002"/>
      <c r="E447" s="476"/>
      <c r="F447" s="1002"/>
      <c r="G447" s="1003"/>
      <c r="H447" s="1002"/>
      <c r="I447" s="1002"/>
      <c r="J447" s="1002"/>
      <c r="K447" s="1002"/>
      <c r="L447" s="1002"/>
      <c r="M447" s="1002"/>
      <c r="N447" s="1002"/>
      <c r="O447" s="476"/>
      <c r="P447" s="1002"/>
      <c r="Q447" s="476"/>
      <c r="R447" s="1002"/>
      <c r="S447" s="1002"/>
      <c r="T447" s="476"/>
      <c r="U447" s="476"/>
      <c r="V447" s="1002"/>
      <c r="W447" s="476"/>
      <c r="X447" s="476"/>
      <c r="Y447" s="476"/>
      <c r="Z447" s="476"/>
      <c r="AA447" s="476"/>
    </row>
    <row r="448" spans="1:27" ht="15" customHeight="1">
      <c r="A448" s="476"/>
      <c r="B448" s="476"/>
      <c r="C448" s="1001"/>
      <c r="D448" s="1002"/>
      <c r="E448" s="476"/>
      <c r="F448" s="1002"/>
      <c r="G448" s="1003"/>
      <c r="H448" s="1002"/>
      <c r="I448" s="1002"/>
      <c r="J448" s="1002"/>
      <c r="K448" s="1002"/>
      <c r="L448" s="1002"/>
      <c r="M448" s="1002"/>
      <c r="N448" s="1002"/>
      <c r="O448" s="476"/>
      <c r="P448" s="1002"/>
      <c r="Q448" s="476"/>
      <c r="R448" s="1002"/>
      <c r="S448" s="1002"/>
      <c r="T448" s="476"/>
      <c r="U448" s="476"/>
      <c r="V448" s="1002"/>
      <c r="W448" s="476"/>
      <c r="X448" s="476"/>
      <c r="Y448" s="476"/>
      <c r="Z448" s="476"/>
      <c r="AA448" s="476"/>
    </row>
    <row r="449" spans="1:27" ht="15" customHeight="1">
      <c r="A449" s="476"/>
      <c r="B449" s="476"/>
      <c r="C449" s="1001"/>
      <c r="D449" s="1002"/>
      <c r="E449" s="476"/>
      <c r="F449" s="1002"/>
      <c r="G449" s="1003"/>
      <c r="H449" s="1002"/>
      <c r="I449" s="1002"/>
      <c r="J449" s="1002"/>
      <c r="K449" s="1002"/>
      <c r="L449" s="1002"/>
      <c r="M449" s="1002"/>
      <c r="N449" s="1002"/>
      <c r="O449" s="476"/>
      <c r="P449" s="1002"/>
      <c r="Q449" s="476"/>
      <c r="R449" s="1002"/>
      <c r="S449" s="1002"/>
      <c r="T449" s="476"/>
      <c r="U449" s="476"/>
      <c r="V449" s="1002"/>
      <c r="W449" s="476"/>
      <c r="X449" s="476"/>
      <c r="Y449" s="476"/>
      <c r="Z449" s="476"/>
      <c r="AA449" s="476"/>
    </row>
    <row r="450" spans="1:27" ht="15" customHeight="1">
      <c r="A450" s="476"/>
      <c r="B450" s="476"/>
      <c r="C450" s="1001"/>
      <c r="D450" s="1002"/>
      <c r="E450" s="476"/>
      <c r="F450" s="1002"/>
      <c r="G450" s="1003"/>
      <c r="H450" s="1002"/>
      <c r="I450" s="1002"/>
      <c r="J450" s="1002"/>
      <c r="K450" s="1002"/>
      <c r="L450" s="1002"/>
      <c r="M450" s="1002"/>
      <c r="N450" s="1002"/>
      <c r="O450" s="476"/>
      <c r="P450" s="1002"/>
      <c r="Q450" s="476"/>
      <c r="R450" s="1002"/>
      <c r="S450" s="1002"/>
      <c r="T450" s="476"/>
      <c r="U450" s="476"/>
      <c r="V450" s="1002"/>
      <c r="W450" s="476"/>
      <c r="X450" s="476"/>
      <c r="Y450" s="476"/>
      <c r="Z450" s="476"/>
      <c r="AA450" s="476"/>
    </row>
    <row r="451" spans="1:27" ht="15" customHeight="1">
      <c r="A451" s="476"/>
      <c r="B451" s="476"/>
      <c r="C451" s="1001"/>
      <c r="D451" s="1002"/>
      <c r="E451" s="476"/>
      <c r="F451" s="1002"/>
      <c r="G451" s="1003"/>
      <c r="H451" s="1002"/>
      <c r="I451" s="1002"/>
      <c r="J451" s="1002"/>
      <c r="K451" s="1002"/>
      <c r="L451" s="1002"/>
      <c r="M451" s="1002"/>
      <c r="N451" s="1002"/>
      <c r="O451" s="476"/>
      <c r="P451" s="1002"/>
      <c r="Q451" s="476"/>
      <c r="R451" s="1002"/>
      <c r="S451" s="1002"/>
      <c r="T451" s="476"/>
      <c r="U451" s="476"/>
      <c r="V451" s="1002"/>
      <c r="W451" s="476"/>
      <c r="X451" s="476"/>
      <c r="Y451" s="476"/>
      <c r="Z451" s="476"/>
      <c r="AA451" s="476"/>
    </row>
    <row r="452" spans="1:27" ht="15" customHeight="1">
      <c r="A452" s="476"/>
      <c r="B452" s="476"/>
      <c r="C452" s="1001"/>
      <c r="D452" s="1002"/>
      <c r="E452" s="476"/>
      <c r="F452" s="1002"/>
      <c r="G452" s="1003"/>
      <c r="H452" s="1002"/>
      <c r="I452" s="1002"/>
      <c r="J452" s="1002"/>
      <c r="K452" s="1002"/>
      <c r="L452" s="1002"/>
      <c r="M452" s="1002"/>
      <c r="N452" s="1002"/>
      <c r="O452" s="476"/>
      <c r="P452" s="1002"/>
      <c r="Q452" s="476"/>
      <c r="R452" s="1002"/>
      <c r="S452" s="1002"/>
      <c r="T452" s="476"/>
      <c r="U452" s="476"/>
      <c r="V452" s="1002"/>
      <c r="W452" s="476"/>
      <c r="X452" s="476"/>
      <c r="Y452" s="476"/>
      <c r="Z452" s="476"/>
      <c r="AA452" s="476"/>
    </row>
    <row r="453" spans="1:27" ht="15" customHeight="1">
      <c r="A453" s="476"/>
      <c r="B453" s="476"/>
      <c r="C453" s="1001"/>
      <c r="D453" s="1002"/>
      <c r="E453" s="476"/>
      <c r="F453" s="1002"/>
      <c r="G453" s="1003"/>
      <c r="H453" s="1002"/>
      <c r="I453" s="1002"/>
      <c r="J453" s="1002"/>
      <c r="K453" s="1002"/>
      <c r="L453" s="1002"/>
      <c r="M453" s="1002"/>
      <c r="N453" s="1002"/>
      <c r="O453" s="476"/>
      <c r="P453" s="1002"/>
      <c r="Q453" s="476"/>
      <c r="R453" s="1002"/>
      <c r="S453" s="1002"/>
      <c r="T453" s="476"/>
      <c r="U453" s="476"/>
      <c r="V453" s="1002"/>
      <c r="W453" s="476"/>
      <c r="X453" s="476"/>
      <c r="Y453" s="476"/>
      <c r="Z453" s="476"/>
      <c r="AA453" s="476"/>
    </row>
    <row r="454" spans="1:27" ht="15" customHeight="1">
      <c r="A454" s="476"/>
      <c r="B454" s="476"/>
      <c r="C454" s="1001"/>
      <c r="D454" s="1002"/>
      <c r="E454" s="476"/>
      <c r="F454" s="1002"/>
      <c r="G454" s="1003"/>
      <c r="H454" s="1002"/>
      <c r="I454" s="1002"/>
      <c r="J454" s="1002"/>
      <c r="K454" s="1002"/>
      <c r="L454" s="1002"/>
      <c r="M454" s="1002"/>
      <c r="N454" s="1002"/>
      <c r="O454" s="476"/>
      <c r="P454" s="1002"/>
      <c r="Q454" s="476"/>
      <c r="R454" s="1002"/>
      <c r="S454" s="1002"/>
      <c r="T454" s="476"/>
      <c r="U454" s="476"/>
      <c r="V454" s="1002"/>
      <c r="W454" s="476"/>
      <c r="X454" s="476"/>
      <c r="Y454" s="476"/>
      <c r="Z454" s="476"/>
      <c r="AA454" s="476"/>
    </row>
    <row r="455" spans="1:27" ht="15" customHeight="1">
      <c r="A455" s="476"/>
      <c r="B455" s="476"/>
      <c r="C455" s="1001"/>
      <c r="D455" s="1002"/>
      <c r="E455" s="476"/>
      <c r="F455" s="1002"/>
      <c r="G455" s="1003"/>
      <c r="H455" s="1002"/>
      <c r="I455" s="1002"/>
      <c r="J455" s="1002"/>
      <c r="K455" s="1002"/>
      <c r="L455" s="1002"/>
      <c r="M455" s="1002"/>
      <c r="N455" s="1002"/>
      <c r="O455" s="476"/>
      <c r="P455" s="1002"/>
      <c r="Q455" s="476"/>
      <c r="R455" s="1002"/>
      <c r="S455" s="1002"/>
      <c r="T455" s="476"/>
      <c r="U455" s="476"/>
      <c r="V455" s="1002"/>
      <c r="W455" s="476"/>
      <c r="X455" s="476"/>
      <c r="Y455" s="476"/>
      <c r="Z455" s="476"/>
      <c r="AA455" s="476"/>
    </row>
    <row r="456" spans="1:27" ht="15" customHeight="1">
      <c r="A456" s="476"/>
      <c r="B456" s="476"/>
      <c r="C456" s="1001"/>
      <c r="D456" s="1002"/>
      <c r="E456" s="476"/>
      <c r="F456" s="1002"/>
      <c r="G456" s="1003"/>
      <c r="H456" s="1002"/>
      <c r="I456" s="1002"/>
      <c r="J456" s="1002"/>
      <c r="K456" s="1002"/>
      <c r="L456" s="1002"/>
      <c r="M456" s="1002"/>
      <c r="N456" s="1002"/>
      <c r="O456" s="476"/>
      <c r="P456" s="1002"/>
      <c r="Q456" s="476"/>
      <c r="R456" s="1002"/>
      <c r="S456" s="1002"/>
      <c r="T456" s="476"/>
      <c r="U456" s="476"/>
      <c r="V456" s="1002"/>
      <c r="W456" s="476"/>
      <c r="X456" s="476"/>
      <c r="Y456" s="476"/>
      <c r="Z456" s="476"/>
      <c r="AA456" s="476"/>
    </row>
    <row r="457" spans="1:27" ht="15" customHeight="1">
      <c r="A457" s="476"/>
      <c r="B457" s="476"/>
      <c r="C457" s="1001"/>
      <c r="D457" s="1002"/>
      <c r="E457" s="476"/>
      <c r="F457" s="1002"/>
      <c r="G457" s="1003"/>
      <c r="H457" s="1002"/>
      <c r="I457" s="1002"/>
      <c r="J457" s="1002"/>
      <c r="K457" s="1002"/>
      <c r="L457" s="1002"/>
      <c r="M457" s="1002"/>
      <c r="N457" s="1002"/>
      <c r="O457" s="476"/>
      <c r="P457" s="1002"/>
      <c r="Q457" s="476"/>
      <c r="R457" s="1002"/>
      <c r="S457" s="1002"/>
      <c r="T457" s="476"/>
      <c r="U457" s="476"/>
      <c r="V457" s="1002"/>
      <c r="W457" s="476"/>
      <c r="X457" s="476"/>
      <c r="Y457" s="476"/>
      <c r="Z457" s="476"/>
      <c r="AA457" s="476"/>
    </row>
    <row r="458" spans="1:27" ht="15" customHeight="1">
      <c r="A458" s="476"/>
      <c r="B458" s="476"/>
      <c r="C458" s="1001"/>
      <c r="D458" s="1002"/>
      <c r="E458" s="476"/>
      <c r="F458" s="1002"/>
      <c r="G458" s="1003"/>
      <c r="H458" s="1002"/>
      <c r="I458" s="1002"/>
      <c r="J458" s="1002"/>
      <c r="K458" s="1002"/>
      <c r="L458" s="1002"/>
      <c r="M458" s="1002"/>
      <c r="N458" s="1002"/>
      <c r="O458" s="476"/>
      <c r="P458" s="1002"/>
      <c r="Q458" s="476"/>
      <c r="R458" s="1002"/>
      <c r="S458" s="1002"/>
      <c r="T458" s="476"/>
      <c r="U458" s="476"/>
      <c r="V458" s="1002"/>
      <c r="W458" s="476"/>
      <c r="X458" s="476"/>
      <c r="Y458" s="476"/>
      <c r="Z458" s="476"/>
      <c r="AA458" s="476"/>
    </row>
    <row r="459" spans="1:27" ht="15" customHeight="1">
      <c r="A459" s="476"/>
      <c r="B459" s="476"/>
      <c r="C459" s="1001"/>
      <c r="D459" s="1002"/>
      <c r="E459" s="476"/>
      <c r="F459" s="1002"/>
      <c r="G459" s="1003"/>
      <c r="H459" s="1002"/>
      <c r="I459" s="1002"/>
      <c r="J459" s="1002"/>
      <c r="K459" s="1002"/>
      <c r="L459" s="1002"/>
      <c r="M459" s="1002"/>
      <c r="N459" s="1002"/>
      <c r="O459" s="476"/>
      <c r="P459" s="1002"/>
      <c r="Q459" s="476"/>
      <c r="R459" s="1002"/>
      <c r="S459" s="1002"/>
      <c r="T459" s="476"/>
      <c r="U459" s="476"/>
      <c r="V459" s="1002"/>
      <c r="W459" s="476"/>
      <c r="X459" s="476"/>
      <c r="Y459" s="476"/>
      <c r="Z459" s="476"/>
      <c r="AA459" s="476"/>
    </row>
    <row r="460" spans="1:27" ht="15" customHeight="1">
      <c r="A460" s="476"/>
      <c r="B460" s="476"/>
      <c r="C460" s="1001"/>
      <c r="D460" s="1002"/>
      <c r="E460" s="476"/>
      <c r="F460" s="1002"/>
      <c r="G460" s="1003"/>
      <c r="H460" s="1002"/>
      <c r="I460" s="1002"/>
      <c r="J460" s="1002"/>
      <c r="K460" s="1002"/>
      <c r="L460" s="1002"/>
      <c r="M460" s="1002"/>
      <c r="N460" s="1002"/>
      <c r="O460" s="476"/>
      <c r="P460" s="1002"/>
      <c r="Q460" s="476"/>
      <c r="R460" s="1002"/>
      <c r="S460" s="1002"/>
      <c r="T460" s="476"/>
      <c r="U460" s="476"/>
      <c r="V460" s="1002"/>
      <c r="W460" s="476"/>
      <c r="X460" s="476"/>
      <c r="Y460" s="476"/>
      <c r="Z460" s="476"/>
      <c r="AA460" s="476"/>
    </row>
    <row r="461" spans="1:27" ht="15" customHeight="1">
      <c r="A461" s="476"/>
      <c r="B461" s="476"/>
      <c r="C461" s="1001"/>
      <c r="D461" s="1002"/>
      <c r="E461" s="476"/>
      <c r="F461" s="1002"/>
      <c r="G461" s="1003"/>
      <c r="H461" s="1002"/>
      <c r="I461" s="1002"/>
      <c r="J461" s="1002"/>
      <c r="K461" s="1002"/>
      <c r="L461" s="1002"/>
      <c r="M461" s="1002"/>
      <c r="N461" s="1002"/>
      <c r="O461" s="476"/>
      <c r="P461" s="1002"/>
      <c r="Q461" s="476"/>
      <c r="R461" s="1002"/>
      <c r="S461" s="1002"/>
      <c r="T461" s="476"/>
      <c r="U461" s="476"/>
      <c r="V461" s="1002"/>
      <c r="W461" s="476"/>
      <c r="X461" s="476"/>
      <c r="Y461" s="476"/>
      <c r="Z461" s="476"/>
      <c r="AA461" s="476"/>
    </row>
    <row r="462" spans="1:27" ht="15" customHeight="1">
      <c r="A462" s="476"/>
      <c r="B462" s="476"/>
      <c r="C462" s="1001"/>
      <c r="D462" s="1002"/>
      <c r="E462" s="476"/>
      <c r="F462" s="1002"/>
      <c r="G462" s="1003"/>
      <c r="H462" s="1002"/>
      <c r="I462" s="1002"/>
      <c r="J462" s="1002"/>
      <c r="K462" s="1002"/>
      <c r="L462" s="1002"/>
      <c r="M462" s="1002"/>
      <c r="N462" s="1002"/>
      <c r="O462" s="476"/>
      <c r="P462" s="1002"/>
      <c r="Q462" s="476"/>
      <c r="R462" s="1002"/>
      <c r="S462" s="1002"/>
      <c r="T462" s="476"/>
      <c r="U462" s="476"/>
      <c r="V462" s="1002"/>
      <c r="W462" s="476"/>
      <c r="X462" s="476"/>
      <c r="Y462" s="476"/>
      <c r="Z462" s="476"/>
      <c r="AA462" s="476"/>
    </row>
    <row r="463" spans="1:27" ht="15" customHeight="1">
      <c r="A463" s="476"/>
      <c r="B463" s="476"/>
      <c r="C463" s="1001"/>
      <c r="D463" s="1002"/>
      <c r="E463" s="476"/>
      <c r="F463" s="1002"/>
      <c r="G463" s="1003"/>
      <c r="H463" s="1002"/>
      <c r="I463" s="1002"/>
      <c r="J463" s="1002"/>
      <c r="K463" s="1002"/>
      <c r="L463" s="1002"/>
      <c r="M463" s="1002"/>
      <c r="N463" s="1002"/>
      <c r="O463" s="476"/>
      <c r="P463" s="1002"/>
      <c r="Q463" s="476"/>
      <c r="R463" s="1002"/>
      <c r="S463" s="1002"/>
      <c r="T463" s="476"/>
      <c r="U463" s="476"/>
      <c r="V463" s="1002"/>
      <c r="W463" s="476"/>
      <c r="X463" s="476"/>
      <c r="Y463" s="476"/>
      <c r="Z463" s="476"/>
      <c r="AA463" s="476"/>
    </row>
    <row r="464" spans="1:27" ht="15" customHeight="1">
      <c r="A464" s="476"/>
      <c r="B464" s="476"/>
      <c r="C464" s="1001"/>
      <c r="D464" s="1002"/>
      <c r="E464" s="476"/>
      <c r="F464" s="1002"/>
      <c r="G464" s="1003"/>
      <c r="H464" s="1002"/>
      <c r="I464" s="1002"/>
      <c r="J464" s="1002"/>
      <c r="K464" s="1002"/>
      <c r="L464" s="1002"/>
      <c r="M464" s="1002"/>
      <c r="N464" s="1002"/>
      <c r="O464" s="476"/>
      <c r="P464" s="1002"/>
      <c r="Q464" s="476"/>
      <c r="R464" s="1002"/>
      <c r="S464" s="1002"/>
      <c r="T464" s="476"/>
      <c r="U464" s="476"/>
      <c r="V464" s="1002"/>
      <c r="W464" s="476"/>
      <c r="X464" s="476"/>
      <c r="Y464" s="476"/>
      <c r="Z464" s="476"/>
      <c r="AA464" s="476"/>
    </row>
    <row r="465" spans="1:27" ht="15" customHeight="1">
      <c r="A465" s="476"/>
      <c r="B465" s="476"/>
      <c r="C465" s="1001"/>
      <c r="D465" s="1002"/>
      <c r="E465" s="476"/>
      <c r="F465" s="1002"/>
      <c r="G465" s="1003"/>
      <c r="H465" s="1002"/>
      <c r="I465" s="1002"/>
      <c r="J465" s="1002"/>
      <c r="K465" s="1002"/>
      <c r="L465" s="1002"/>
      <c r="M465" s="1002"/>
      <c r="N465" s="1002"/>
      <c r="O465" s="476"/>
      <c r="P465" s="1002"/>
      <c r="Q465" s="476"/>
      <c r="R465" s="1002"/>
      <c r="S465" s="1002"/>
      <c r="T465" s="476"/>
      <c r="U465" s="476"/>
      <c r="V465" s="1002"/>
      <c r="W465" s="476"/>
      <c r="X465" s="476"/>
      <c r="Y465" s="476"/>
      <c r="Z465" s="476"/>
      <c r="AA465" s="476"/>
    </row>
    <row r="466" spans="1:27" ht="15" customHeight="1">
      <c r="A466" s="476"/>
      <c r="B466" s="476"/>
      <c r="C466" s="1001"/>
      <c r="D466" s="1002"/>
      <c r="E466" s="476"/>
      <c r="F466" s="1002"/>
      <c r="G466" s="1003"/>
      <c r="H466" s="1002"/>
      <c r="I466" s="1002"/>
      <c r="J466" s="1002"/>
      <c r="K466" s="1002"/>
      <c r="L466" s="1002"/>
      <c r="M466" s="1002"/>
      <c r="N466" s="1002"/>
      <c r="O466" s="476"/>
      <c r="P466" s="1002"/>
      <c r="Q466" s="476"/>
      <c r="R466" s="1002"/>
      <c r="S466" s="1002"/>
      <c r="T466" s="476"/>
      <c r="U466" s="476"/>
      <c r="V466" s="1002"/>
      <c r="W466" s="476"/>
      <c r="X466" s="476"/>
      <c r="Y466" s="476"/>
      <c r="Z466" s="476"/>
      <c r="AA466" s="476"/>
    </row>
    <row r="467" spans="1:27" ht="15" customHeight="1">
      <c r="A467" s="476"/>
      <c r="B467" s="476"/>
      <c r="C467" s="1001"/>
      <c r="D467" s="1002"/>
      <c r="E467" s="476"/>
      <c r="F467" s="1002"/>
      <c r="G467" s="1003"/>
      <c r="H467" s="1002"/>
      <c r="I467" s="1002"/>
      <c r="J467" s="1002"/>
      <c r="K467" s="1002"/>
      <c r="L467" s="1002"/>
      <c r="M467" s="1002"/>
      <c r="N467" s="1002"/>
      <c r="O467" s="476"/>
      <c r="P467" s="1002"/>
      <c r="Q467" s="476"/>
      <c r="R467" s="1002"/>
      <c r="S467" s="1002"/>
      <c r="T467" s="476"/>
      <c r="U467" s="476"/>
      <c r="V467" s="1002"/>
      <c r="W467" s="476"/>
      <c r="X467" s="476"/>
      <c r="Y467" s="476"/>
      <c r="Z467" s="476"/>
      <c r="AA467" s="476"/>
    </row>
    <row r="468" spans="1:27" ht="15" customHeight="1">
      <c r="A468" s="476"/>
      <c r="B468" s="476"/>
      <c r="C468" s="1001"/>
      <c r="D468" s="1002"/>
      <c r="E468" s="476"/>
      <c r="F468" s="1002"/>
      <c r="G468" s="1003"/>
      <c r="H468" s="1002"/>
      <c r="I468" s="1002"/>
      <c r="J468" s="1002"/>
      <c r="K468" s="1002"/>
      <c r="L468" s="1002"/>
      <c r="M468" s="1002"/>
      <c r="N468" s="1002"/>
      <c r="O468" s="476"/>
      <c r="P468" s="1002"/>
      <c r="Q468" s="476"/>
      <c r="R468" s="1002"/>
      <c r="S468" s="1002"/>
      <c r="T468" s="476"/>
      <c r="U468" s="476"/>
      <c r="V468" s="1002"/>
      <c r="W468" s="476"/>
      <c r="X468" s="476"/>
      <c r="Y468" s="476"/>
      <c r="Z468" s="476"/>
      <c r="AA468" s="476"/>
    </row>
    <row r="469" spans="1:27" ht="15" customHeight="1">
      <c r="A469" s="476"/>
      <c r="B469" s="476"/>
      <c r="C469" s="1001"/>
      <c r="D469" s="1002"/>
      <c r="E469" s="476"/>
      <c r="F469" s="1002"/>
      <c r="G469" s="1003"/>
      <c r="H469" s="1002"/>
      <c r="I469" s="1002"/>
      <c r="J469" s="1002"/>
      <c r="K469" s="1002"/>
      <c r="L469" s="1002"/>
      <c r="M469" s="1002"/>
      <c r="N469" s="1002"/>
      <c r="O469" s="476"/>
      <c r="P469" s="1002"/>
      <c r="Q469" s="476"/>
      <c r="R469" s="1002"/>
      <c r="S469" s="1002"/>
      <c r="T469" s="476"/>
      <c r="U469" s="476"/>
      <c r="V469" s="1002"/>
      <c r="W469" s="476"/>
      <c r="X469" s="476"/>
      <c r="Y469" s="476"/>
      <c r="Z469" s="476"/>
      <c r="AA469" s="476"/>
    </row>
    <row r="470" spans="1:27" ht="15" customHeight="1">
      <c r="A470" s="476"/>
      <c r="B470" s="476"/>
      <c r="C470" s="1001"/>
      <c r="D470" s="1002"/>
      <c r="E470" s="476"/>
      <c r="F470" s="1002"/>
      <c r="G470" s="1003"/>
      <c r="H470" s="1002"/>
      <c r="I470" s="1002"/>
      <c r="J470" s="1002"/>
      <c r="K470" s="1002"/>
      <c r="L470" s="1002"/>
      <c r="M470" s="1002"/>
      <c r="N470" s="1002"/>
      <c r="O470" s="476"/>
      <c r="P470" s="1002"/>
      <c r="Q470" s="476"/>
      <c r="R470" s="1002"/>
      <c r="S470" s="1002"/>
      <c r="T470" s="476"/>
      <c r="U470" s="476"/>
      <c r="V470" s="1002"/>
      <c r="W470" s="476"/>
      <c r="X470" s="476"/>
      <c r="Y470" s="476"/>
      <c r="Z470" s="476"/>
      <c r="AA470" s="476"/>
    </row>
    <row r="471" spans="1:27" ht="15" customHeight="1">
      <c r="A471" s="476"/>
      <c r="B471" s="476"/>
      <c r="C471" s="1001"/>
      <c r="D471" s="1002"/>
      <c r="E471" s="476"/>
      <c r="F471" s="1002"/>
      <c r="G471" s="1003"/>
      <c r="H471" s="1002"/>
      <c r="I471" s="1002"/>
      <c r="J471" s="1002"/>
      <c r="K471" s="1002"/>
      <c r="L471" s="1002"/>
      <c r="M471" s="1002"/>
      <c r="N471" s="1002"/>
      <c r="O471" s="476"/>
      <c r="P471" s="1002"/>
      <c r="Q471" s="476"/>
      <c r="R471" s="1002"/>
      <c r="S471" s="1002"/>
      <c r="T471" s="476"/>
      <c r="U471" s="476"/>
      <c r="V471" s="1002"/>
      <c r="W471" s="476"/>
      <c r="X471" s="476"/>
      <c r="Y471" s="476"/>
      <c r="Z471" s="476"/>
      <c r="AA471" s="476"/>
    </row>
    <row r="472" spans="1:27" ht="15" customHeight="1">
      <c r="A472" s="476"/>
      <c r="B472" s="476"/>
      <c r="C472" s="1001"/>
      <c r="D472" s="1002"/>
      <c r="E472" s="476"/>
      <c r="F472" s="1002"/>
      <c r="G472" s="1003"/>
      <c r="H472" s="1002"/>
      <c r="I472" s="1002"/>
      <c r="J472" s="1002"/>
      <c r="K472" s="1002"/>
      <c r="L472" s="1002"/>
      <c r="M472" s="1002"/>
      <c r="N472" s="1002"/>
      <c r="O472" s="476"/>
      <c r="P472" s="1002"/>
      <c r="Q472" s="476"/>
      <c r="R472" s="1002"/>
      <c r="S472" s="1002"/>
      <c r="T472" s="476"/>
      <c r="U472" s="476"/>
      <c r="V472" s="1002"/>
      <c r="W472" s="476"/>
      <c r="X472" s="476"/>
      <c r="Y472" s="476"/>
      <c r="Z472" s="476"/>
      <c r="AA472" s="476"/>
    </row>
    <row r="473" spans="1:27" ht="15" customHeight="1">
      <c r="A473" s="476"/>
      <c r="B473" s="476"/>
      <c r="C473" s="1001"/>
      <c r="D473" s="1002"/>
      <c r="E473" s="476"/>
      <c r="F473" s="1002"/>
      <c r="G473" s="1003"/>
      <c r="H473" s="1002"/>
      <c r="I473" s="1002"/>
      <c r="J473" s="1002"/>
      <c r="K473" s="1002"/>
      <c r="L473" s="1002"/>
      <c r="M473" s="1002"/>
      <c r="N473" s="1002"/>
      <c r="O473" s="476"/>
      <c r="P473" s="1002"/>
      <c r="Q473" s="476"/>
      <c r="R473" s="1002"/>
      <c r="S473" s="1002"/>
      <c r="T473" s="476"/>
      <c r="U473" s="476"/>
      <c r="V473" s="1002"/>
      <c r="W473" s="476"/>
      <c r="X473" s="476"/>
      <c r="Y473" s="476"/>
      <c r="Z473" s="476"/>
      <c r="AA473" s="476"/>
    </row>
    <row r="474" spans="1:27" ht="15" customHeight="1">
      <c r="A474" s="476"/>
      <c r="B474" s="476"/>
      <c r="C474" s="1001"/>
      <c r="D474" s="1002"/>
      <c r="E474" s="476"/>
      <c r="F474" s="1002"/>
      <c r="G474" s="1003"/>
      <c r="H474" s="1002"/>
      <c r="I474" s="1002"/>
      <c r="J474" s="1002"/>
      <c r="K474" s="1002"/>
      <c r="L474" s="1002"/>
      <c r="M474" s="1002"/>
      <c r="N474" s="1002"/>
      <c r="O474" s="476"/>
      <c r="P474" s="1002"/>
      <c r="Q474" s="476"/>
      <c r="R474" s="1002"/>
      <c r="S474" s="1002"/>
      <c r="T474" s="476"/>
      <c r="U474" s="476"/>
      <c r="V474" s="1002"/>
      <c r="W474" s="476"/>
      <c r="X474" s="476"/>
      <c r="Y474" s="476"/>
      <c r="Z474" s="476"/>
      <c r="AA474" s="476"/>
    </row>
    <row r="475" spans="1:27" ht="15" customHeight="1">
      <c r="A475" s="476"/>
      <c r="B475" s="476"/>
      <c r="C475" s="1001"/>
      <c r="D475" s="1002"/>
      <c r="E475" s="476"/>
      <c r="F475" s="1002"/>
      <c r="G475" s="1003"/>
      <c r="H475" s="1002"/>
      <c r="I475" s="1002"/>
      <c r="J475" s="1002"/>
      <c r="K475" s="1002"/>
      <c r="L475" s="1002"/>
      <c r="M475" s="1002"/>
      <c r="N475" s="1002"/>
      <c r="O475" s="476"/>
      <c r="P475" s="1002"/>
      <c r="Q475" s="476"/>
      <c r="R475" s="1002"/>
      <c r="S475" s="1002"/>
      <c r="T475" s="476"/>
      <c r="U475" s="476"/>
      <c r="V475" s="1002"/>
      <c r="W475" s="476"/>
      <c r="X475" s="476"/>
      <c r="Y475" s="476"/>
      <c r="Z475" s="476"/>
      <c r="AA475" s="476"/>
    </row>
    <row r="476" spans="1:27" ht="15" customHeight="1">
      <c r="A476" s="476"/>
      <c r="B476" s="476"/>
      <c r="C476" s="1001"/>
      <c r="D476" s="1002"/>
      <c r="E476" s="476"/>
      <c r="F476" s="1002"/>
      <c r="G476" s="1003"/>
      <c r="H476" s="1002"/>
      <c r="I476" s="1002"/>
      <c r="J476" s="1002"/>
      <c r="K476" s="1002"/>
      <c r="L476" s="1002"/>
      <c r="M476" s="1002"/>
      <c r="N476" s="1002"/>
      <c r="O476" s="476"/>
      <c r="P476" s="1002"/>
      <c r="Q476" s="476"/>
      <c r="R476" s="1002"/>
      <c r="S476" s="1002"/>
      <c r="T476" s="476"/>
      <c r="U476" s="476"/>
      <c r="V476" s="1002"/>
      <c r="W476" s="476"/>
      <c r="X476" s="476"/>
      <c r="Y476" s="476"/>
      <c r="Z476" s="476"/>
      <c r="AA476" s="476"/>
    </row>
    <row r="477" spans="1:27" ht="15" customHeight="1">
      <c r="A477" s="476"/>
      <c r="B477" s="476"/>
      <c r="C477" s="1001"/>
      <c r="D477" s="1002"/>
      <c r="E477" s="476"/>
      <c r="F477" s="1002"/>
      <c r="G477" s="1003"/>
      <c r="H477" s="1002"/>
      <c r="I477" s="1002"/>
      <c r="J477" s="1002"/>
      <c r="K477" s="1002"/>
      <c r="L477" s="1002"/>
      <c r="M477" s="1002"/>
      <c r="N477" s="1002"/>
      <c r="O477" s="476"/>
      <c r="P477" s="1002"/>
      <c r="Q477" s="476"/>
      <c r="R477" s="1002"/>
      <c r="S477" s="1002"/>
      <c r="T477" s="476"/>
      <c r="U477" s="476"/>
      <c r="V477" s="1002"/>
      <c r="W477" s="476"/>
      <c r="X477" s="476"/>
      <c r="Y477" s="476"/>
      <c r="Z477" s="476"/>
      <c r="AA477" s="476"/>
    </row>
    <row r="478" spans="1:27" ht="15" customHeight="1">
      <c r="A478" s="476"/>
      <c r="B478" s="476"/>
      <c r="C478" s="1001"/>
      <c r="D478" s="1002"/>
      <c r="E478" s="476"/>
      <c r="F478" s="1002"/>
      <c r="G478" s="1003"/>
      <c r="H478" s="1002"/>
      <c r="I478" s="1002"/>
      <c r="J478" s="1002"/>
      <c r="K478" s="1002"/>
      <c r="L478" s="1002"/>
      <c r="M478" s="1002"/>
      <c r="N478" s="1002"/>
      <c r="O478" s="476"/>
      <c r="P478" s="1002"/>
      <c r="Q478" s="476"/>
      <c r="R478" s="1002"/>
      <c r="S478" s="1002"/>
      <c r="T478" s="476"/>
      <c r="U478" s="476"/>
      <c r="V478" s="1002"/>
      <c r="W478" s="476"/>
      <c r="X478" s="476"/>
      <c r="Y478" s="476"/>
      <c r="Z478" s="476"/>
      <c r="AA478" s="476"/>
    </row>
    <row r="479" spans="1:27" ht="15" customHeight="1">
      <c r="A479" s="476"/>
      <c r="B479" s="476"/>
      <c r="C479" s="1001"/>
      <c r="D479" s="1002"/>
      <c r="E479" s="476"/>
      <c r="F479" s="1002"/>
      <c r="G479" s="1003"/>
      <c r="H479" s="1002"/>
      <c r="I479" s="1002"/>
      <c r="J479" s="1002"/>
      <c r="K479" s="1002"/>
      <c r="L479" s="1002"/>
      <c r="M479" s="1002"/>
      <c r="N479" s="1002"/>
      <c r="O479" s="476"/>
      <c r="P479" s="1002"/>
      <c r="Q479" s="476"/>
      <c r="R479" s="1002"/>
      <c r="S479" s="1002"/>
      <c r="T479" s="476"/>
      <c r="U479" s="476"/>
      <c r="V479" s="1002"/>
      <c r="W479" s="476"/>
      <c r="X479" s="476"/>
      <c r="Y479" s="476"/>
      <c r="Z479" s="476"/>
      <c r="AA479" s="476"/>
    </row>
    <row r="480" spans="1:27" ht="15" customHeight="1">
      <c r="A480" s="476"/>
      <c r="B480" s="476"/>
      <c r="C480" s="1001"/>
      <c r="D480" s="1002"/>
      <c r="E480" s="476"/>
      <c r="F480" s="1002"/>
      <c r="G480" s="1003"/>
      <c r="H480" s="1002"/>
      <c r="I480" s="1002"/>
      <c r="J480" s="1002"/>
      <c r="K480" s="1002"/>
      <c r="L480" s="1002"/>
      <c r="M480" s="1002"/>
      <c r="N480" s="1002"/>
      <c r="O480" s="476"/>
      <c r="P480" s="1002"/>
      <c r="Q480" s="476"/>
      <c r="R480" s="1002"/>
      <c r="S480" s="1002"/>
      <c r="T480" s="476"/>
      <c r="U480" s="476"/>
      <c r="V480" s="1002"/>
      <c r="W480" s="476"/>
      <c r="X480" s="476"/>
      <c r="Y480" s="476"/>
      <c r="Z480" s="476"/>
      <c r="AA480" s="476"/>
    </row>
    <row r="481" spans="1:27" ht="15" customHeight="1">
      <c r="A481" s="476"/>
      <c r="B481" s="476"/>
      <c r="C481" s="1001"/>
      <c r="D481" s="1002"/>
      <c r="E481" s="476"/>
      <c r="F481" s="1002"/>
      <c r="G481" s="1003"/>
      <c r="H481" s="1002"/>
      <c r="I481" s="1002"/>
      <c r="J481" s="1002"/>
      <c r="K481" s="1002"/>
      <c r="L481" s="1002"/>
      <c r="M481" s="1002"/>
      <c r="N481" s="1002"/>
      <c r="O481" s="476"/>
      <c r="P481" s="1002"/>
      <c r="Q481" s="476"/>
      <c r="R481" s="1002"/>
      <c r="S481" s="1002"/>
      <c r="T481" s="476"/>
      <c r="U481" s="476"/>
      <c r="V481" s="1002"/>
      <c r="W481" s="476"/>
      <c r="X481" s="476"/>
      <c r="Y481" s="476"/>
      <c r="Z481" s="476"/>
      <c r="AA481" s="476"/>
    </row>
    <row r="482" spans="1:27" ht="15" customHeight="1">
      <c r="A482" s="476"/>
      <c r="B482" s="476"/>
      <c r="C482" s="1001"/>
      <c r="D482" s="1002"/>
      <c r="E482" s="476"/>
      <c r="F482" s="1002"/>
      <c r="G482" s="1003"/>
      <c r="H482" s="1002"/>
      <c r="I482" s="1002"/>
      <c r="J482" s="1002"/>
      <c r="K482" s="1002"/>
      <c r="L482" s="1002"/>
      <c r="M482" s="1002"/>
      <c r="N482" s="1002"/>
      <c r="O482" s="476"/>
      <c r="P482" s="1002"/>
      <c r="Q482" s="476"/>
      <c r="R482" s="1002"/>
      <c r="S482" s="1002"/>
      <c r="T482" s="476"/>
      <c r="U482" s="476"/>
      <c r="V482" s="1002"/>
      <c r="W482" s="476"/>
      <c r="X482" s="476"/>
      <c r="Y482" s="476"/>
      <c r="Z482" s="476"/>
      <c r="AA482" s="476"/>
    </row>
    <row r="483" spans="1:27" ht="15" customHeight="1">
      <c r="A483" s="476"/>
      <c r="B483" s="476"/>
      <c r="C483" s="1001"/>
      <c r="D483" s="1002"/>
      <c r="E483" s="476"/>
      <c r="F483" s="1002"/>
      <c r="G483" s="1003"/>
      <c r="H483" s="1002"/>
      <c r="I483" s="1002"/>
      <c r="J483" s="1002"/>
      <c r="K483" s="1002"/>
      <c r="L483" s="1002"/>
      <c r="M483" s="1002"/>
      <c r="N483" s="1002"/>
      <c r="O483" s="476"/>
      <c r="P483" s="1002"/>
      <c r="Q483" s="476"/>
      <c r="R483" s="1002"/>
      <c r="S483" s="1002"/>
      <c r="T483" s="476"/>
      <c r="U483" s="476"/>
      <c r="V483" s="1002"/>
      <c r="W483" s="476"/>
      <c r="X483" s="476"/>
      <c r="Y483" s="476"/>
      <c r="Z483" s="476"/>
      <c r="AA483" s="476"/>
    </row>
    <row r="484" spans="1:27" ht="15" customHeight="1">
      <c r="A484" s="476"/>
      <c r="B484" s="476"/>
      <c r="C484" s="1001"/>
      <c r="D484" s="1002"/>
      <c r="E484" s="476"/>
      <c r="F484" s="1002"/>
      <c r="G484" s="1003"/>
      <c r="H484" s="1002"/>
      <c r="I484" s="1002"/>
      <c r="J484" s="1002"/>
      <c r="K484" s="1002"/>
      <c r="L484" s="1002"/>
      <c r="M484" s="1002"/>
      <c r="N484" s="1002"/>
      <c r="O484" s="476"/>
      <c r="P484" s="1002"/>
      <c r="Q484" s="476"/>
      <c r="R484" s="1002"/>
      <c r="S484" s="1002"/>
      <c r="T484" s="476"/>
      <c r="U484" s="476"/>
      <c r="V484" s="1002"/>
      <c r="W484" s="476"/>
      <c r="X484" s="476"/>
      <c r="Y484" s="476"/>
      <c r="Z484" s="476"/>
      <c r="AA484" s="476"/>
    </row>
    <row r="485" spans="1:27" ht="15" customHeight="1">
      <c r="A485" s="476"/>
      <c r="B485" s="476"/>
      <c r="C485" s="1001"/>
      <c r="D485" s="1002"/>
      <c r="E485" s="476"/>
      <c r="F485" s="1002"/>
      <c r="G485" s="1003"/>
      <c r="H485" s="1002"/>
      <c r="I485" s="1002"/>
      <c r="J485" s="1002"/>
      <c r="K485" s="1002"/>
      <c r="L485" s="1002"/>
      <c r="M485" s="1002"/>
      <c r="N485" s="1002"/>
      <c r="O485" s="476"/>
      <c r="P485" s="1002"/>
      <c r="Q485" s="476"/>
      <c r="R485" s="1002"/>
      <c r="S485" s="1002"/>
      <c r="T485" s="476"/>
      <c r="U485" s="476"/>
      <c r="V485" s="1002"/>
      <c r="W485" s="476"/>
      <c r="X485" s="476"/>
      <c r="Y485" s="476"/>
      <c r="Z485" s="476"/>
      <c r="AA485" s="476"/>
    </row>
    <row r="486" spans="1:27" ht="15" customHeight="1">
      <c r="A486" s="476"/>
      <c r="B486" s="476"/>
      <c r="C486" s="1001"/>
      <c r="D486" s="1002"/>
      <c r="E486" s="476"/>
      <c r="F486" s="1002"/>
      <c r="G486" s="1003"/>
      <c r="H486" s="1002"/>
      <c r="I486" s="1002"/>
      <c r="J486" s="1002"/>
      <c r="K486" s="1002"/>
      <c r="L486" s="1002"/>
      <c r="M486" s="1002"/>
      <c r="N486" s="1002"/>
      <c r="O486" s="476"/>
      <c r="P486" s="1002"/>
      <c r="Q486" s="476"/>
      <c r="R486" s="1002"/>
      <c r="S486" s="1002"/>
      <c r="T486" s="476"/>
      <c r="U486" s="476"/>
      <c r="V486" s="1002"/>
      <c r="W486" s="476"/>
      <c r="X486" s="476"/>
      <c r="Y486" s="476"/>
      <c r="Z486" s="476"/>
      <c r="AA486" s="476"/>
    </row>
    <row r="487" spans="1:27" ht="15" customHeight="1">
      <c r="A487" s="476"/>
      <c r="B487" s="476"/>
      <c r="C487" s="1001"/>
      <c r="D487" s="1002"/>
      <c r="E487" s="476"/>
      <c r="F487" s="1002"/>
      <c r="G487" s="1003"/>
      <c r="H487" s="1002"/>
      <c r="I487" s="1002"/>
      <c r="J487" s="1002"/>
      <c r="K487" s="1002"/>
      <c r="L487" s="1002"/>
      <c r="M487" s="1002"/>
      <c r="N487" s="1002"/>
      <c r="O487" s="476"/>
      <c r="P487" s="1002"/>
      <c r="Q487" s="476"/>
      <c r="R487" s="1002"/>
      <c r="S487" s="1002"/>
      <c r="T487" s="476"/>
      <c r="U487" s="476"/>
      <c r="V487" s="1002"/>
      <c r="W487" s="476"/>
      <c r="X487" s="476"/>
      <c r="Y487" s="476"/>
      <c r="Z487" s="476"/>
      <c r="AA487" s="476"/>
    </row>
    <row r="488" spans="1:27" ht="15" customHeight="1">
      <c r="A488" s="476"/>
      <c r="B488" s="476"/>
      <c r="C488" s="1001"/>
      <c r="D488" s="1002"/>
      <c r="E488" s="476"/>
      <c r="F488" s="1002"/>
      <c r="G488" s="1003"/>
      <c r="H488" s="1002"/>
      <c r="I488" s="1002"/>
      <c r="J488" s="1002"/>
      <c r="K488" s="1002"/>
      <c r="L488" s="1002"/>
      <c r="M488" s="1002"/>
      <c r="N488" s="1002"/>
      <c r="O488" s="476"/>
      <c r="P488" s="1002"/>
      <c r="Q488" s="476"/>
      <c r="R488" s="1002"/>
      <c r="S488" s="1002"/>
      <c r="T488" s="476"/>
      <c r="U488" s="476"/>
      <c r="V488" s="1002"/>
      <c r="W488" s="476"/>
      <c r="X488" s="476"/>
      <c r="Y488" s="476"/>
      <c r="Z488" s="476"/>
      <c r="AA488" s="476"/>
    </row>
    <row r="489" spans="1:27" ht="15" customHeight="1">
      <c r="A489" s="476"/>
      <c r="B489" s="476"/>
      <c r="C489" s="1001"/>
      <c r="D489" s="1002"/>
      <c r="E489" s="476"/>
      <c r="F489" s="1002"/>
      <c r="G489" s="1003"/>
      <c r="H489" s="1002"/>
      <c r="I489" s="1002"/>
      <c r="J489" s="1002"/>
      <c r="K489" s="1002"/>
      <c r="L489" s="1002"/>
      <c r="M489" s="1002"/>
      <c r="N489" s="1002"/>
      <c r="O489" s="476"/>
      <c r="P489" s="1002"/>
      <c r="Q489" s="476"/>
      <c r="R489" s="1002"/>
      <c r="S489" s="1002"/>
      <c r="T489" s="476"/>
      <c r="U489" s="476"/>
      <c r="V489" s="1002"/>
      <c r="W489" s="476"/>
      <c r="X489" s="476"/>
      <c r="Y489" s="476"/>
      <c r="Z489" s="476"/>
      <c r="AA489" s="476"/>
    </row>
    <row r="490" spans="1:27" ht="15" customHeight="1">
      <c r="A490" s="476"/>
      <c r="B490" s="476"/>
      <c r="C490" s="1001"/>
      <c r="D490" s="1002"/>
      <c r="E490" s="476"/>
      <c r="F490" s="1002"/>
      <c r="G490" s="1003"/>
      <c r="H490" s="1002"/>
      <c r="I490" s="1002"/>
      <c r="J490" s="1002"/>
      <c r="K490" s="1002"/>
      <c r="L490" s="1002"/>
      <c r="M490" s="1002"/>
      <c r="N490" s="1002"/>
      <c r="O490" s="476"/>
      <c r="P490" s="1002"/>
      <c r="Q490" s="476"/>
      <c r="R490" s="1002"/>
      <c r="S490" s="1002"/>
      <c r="T490" s="476"/>
      <c r="U490" s="476"/>
      <c r="V490" s="1002"/>
      <c r="W490" s="476"/>
      <c r="X490" s="476"/>
      <c r="Y490" s="476"/>
      <c r="Z490" s="476"/>
      <c r="AA490" s="476"/>
    </row>
    <row r="491" spans="1:27" ht="15" customHeight="1">
      <c r="A491" s="476"/>
      <c r="B491" s="476"/>
      <c r="C491" s="1001"/>
      <c r="D491" s="1002"/>
      <c r="E491" s="476"/>
      <c r="F491" s="1002"/>
      <c r="G491" s="1003"/>
      <c r="H491" s="1002"/>
      <c r="I491" s="1002"/>
      <c r="J491" s="1002"/>
      <c r="K491" s="1002"/>
      <c r="L491" s="1002"/>
      <c r="M491" s="1002"/>
      <c r="N491" s="1002"/>
      <c r="O491" s="476"/>
      <c r="P491" s="1002"/>
      <c r="Q491" s="476"/>
      <c r="R491" s="1002"/>
      <c r="S491" s="1002"/>
      <c r="T491" s="476"/>
      <c r="U491" s="476"/>
      <c r="V491" s="1002"/>
      <c r="W491" s="476"/>
      <c r="X491" s="476"/>
      <c r="Y491" s="476"/>
      <c r="Z491" s="476"/>
      <c r="AA491" s="476"/>
    </row>
    <row r="492" spans="1:27" ht="15" customHeight="1">
      <c r="A492" s="476"/>
      <c r="B492" s="476"/>
      <c r="C492" s="1001"/>
      <c r="D492" s="1002"/>
      <c r="E492" s="476"/>
      <c r="F492" s="1002"/>
      <c r="G492" s="1003"/>
      <c r="H492" s="1002"/>
      <c r="I492" s="1002"/>
      <c r="J492" s="1002"/>
      <c r="K492" s="1002"/>
      <c r="L492" s="1002"/>
      <c r="M492" s="1002"/>
      <c r="N492" s="1002"/>
      <c r="O492" s="476"/>
      <c r="P492" s="1002"/>
      <c r="Q492" s="476"/>
      <c r="R492" s="1002"/>
      <c r="S492" s="1002"/>
      <c r="T492" s="476"/>
      <c r="U492" s="476"/>
      <c r="V492" s="1002"/>
      <c r="W492" s="476"/>
      <c r="X492" s="476"/>
      <c r="Y492" s="476"/>
      <c r="Z492" s="476"/>
      <c r="AA492" s="476"/>
    </row>
    <row r="493" spans="1:27" ht="15" customHeight="1">
      <c r="A493" s="476"/>
      <c r="B493" s="476"/>
      <c r="C493" s="1001"/>
      <c r="D493" s="1002"/>
      <c r="E493" s="476"/>
      <c r="F493" s="1002"/>
      <c r="G493" s="1003"/>
      <c r="H493" s="1002"/>
      <c r="I493" s="1002"/>
      <c r="J493" s="1002"/>
      <c r="K493" s="1002"/>
      <c r="L493" s="1002"/>
      <c r="M493" s="1002"/>
      <c r="N493" s="1002"/>
      <c r="O493" s="476"/>
      <c r="P493" s="1002"/>
      <c r="Q493" s="476"/>
      <c r="R493" s="1002"/>
      <c r="S493" s="1002"/>
      <c r="T493" s="476"/>
      <c r="U493" s="476"/>
      <c r="V493" s="1002"/>
      <c r="W493" s="476"/>
      <c r="X493" s="476"/>
      <c r="Y493" s="476"/>
      <c r="Z493" s="476"/>
      <c r="AA493" s="476"/>
    </row>
    <row r="494" spans="1:27" ht="15" customHeight="1">
      <c r="A494" s="476"/>
      <c r="B494" s="476"/>
      <c r="C494" s="1001"/>
      <c r="D494" s="1002"/>
      <c r="E494" s="476"/>
      <c r="F494" s="1002"/>
      <c r="G494" s="1003"/>
      <c r="H494" s="1002"/>
      <c r="I494" s="1002"/>
      <c r="J494" s="1002"/>
      <c r="K494" s="1002"/>
      <c r="L494" s="1002"/>
      <c r="M494" s="1002"/>
      <c r="N494" s="1002"/>
      <c r="O494" s="476"/>
      <c r="P494" s="1002"/>
      <c r="Q494" s="476"/>
      <c r="R494" s="1002"/>
      <c r="S494" s="1002"/>
      <c r="T494" s="476"/>
      <c r="U494" s="476"/>
      <c r="V494" s="1002"/>
      <c r="W494" s="476"/>
      <c r="X494" s="476"/>
      <c r="Y494" s="476"/>
      <c r="Z494" s="476"/>
      <c r="AA494" s="476"/>
    </row>
    <row r="495" spans="1:27" ht="15" customHeight="1">
      <c r="A495" s="476"/>
      <c r="B495" s="476"/>
      <c r="C495" s="1001"/>
      <c r="D495" s="1002"/>
      <c r="E495" s="476"/>
      <c r="F495" s="1002"/>
      <c r="G495" s="1003"/>
      <c r="H495" s="1002"/>
      <c r="I495" s="1002"/>
      <c r="J495" s="1002"/>
      <c r="K495" s="1002"/>
      <c r="L495" s="1002"/>
      <c r="M495" s="1002"/>
      <c r="N495" s="1002"/>
      <c r="O495" s="476"/>
      <c r="P495" s="1002"/>
      <c r="Q495" s="476"/>
      <c r="R495" s="1002"/>
      <c r="S495" s="1002"/>
      <c r="T495" s="476"/>
      <c r="U495" s="476"/>
      <c r="V495" s="1002"/>
      <c r="W495" s="476"/>
      <c r="X495" s="476"/>
      <c r="Y495" s="476"/>
      <c r="Z495" s="476"/>
      <c r="AA495" s="476"/>
    </row>
    <row r="496" spans="1:27" ht="15" customHeight="1">
      <c r="A496" s="476"/>
      <c r="B496" s="476"/>
      <c r="C496" s="1001"/>
      <c r="D496" s="1002"/>
      <c r="E496" s="476"/>
      <c r="F496" s="1002"/>
      <c r="G496" s="1003"/>
      <c r="H496" s="1002"/>
      <c r="I496" s="1002"/>
      <c r="J496" s="1002"/>
      <c r="K496" s="1002"/>
      <c r="L496" s="1002"/>
      <c r="M496" s="1002"/>
      <c r="N496" s="1002"/>
      <c r="O496" s="476"/>
      <c r="P496" s="1002"/>
      <c r="Q496" s="476"/>
      <c r="R496" s="1002"/>
      <c r="S496" s="1002"/>
      <c r="T496" s="476"/>
      <c r="U496" s="476"/>
      <c r="V496" s="1002"/>
      <c r="W496" s="476"/>
      <c r="X496" s="476"/>
      <c r="Y496" s="476"/>
      <c r="Z496" s="476"/>
      <c r="AA496" s="476"/>
    </row>
    <row r="497" spans="1:27" ht="15" customHeight="1">
      <c r="A497" s="476"/>
      <c r="B497" s="476"/>
      <c r="C497" s="1001"/>
      <c r="D497" s="1002"/>
      <c r="E497" s="476"/>
      <c r="F497" s="1002"/>
      <c r="G497" s="1003"/>
      <c r="H497" s="1002"/>
      <c r="I497" s="1002"/>
      <c r="J497" s="1002"/>
      <c r="K497" s="1002"/>
      <c r="L497" s="1002"/>
      <c r="M497" s="1002"/>
      <c r="N497" s="1002"/>
      <c r="O497" s="476"/>
      <c r="P497" s="1002"/>
      <c r="Q497" s="476"/>
      <c r="R497" s="1002"/>
      <c r="S497" s="1002"/>
      <c r="T497" s="476"/>
      <c r="U497" s="476"/>
      <c r="V497" s="1002"/>
      <c r="W497" s="476"/>
      <c r="X497" s="476"/>
      <c r="Y497" s="476"/>
      <c r="Z497" s="476"/>
      <c r="AA497" s="476"/>
    </row>
    <row r="498" spans="1:27" ht="15" customHeight="1">
      <c r="A498" s="476"/>
      <c r="B498" s="476"/>
      <c r="C498" s="1001"/>
      <c r="D498" s="1002"/>
      <c r="E498" s="476"/>
      <c r="F498" s="1002"/>
      <c r="G498" s="1003"/>
      <c r="H498" s="1002"/>
      <c r="I498" s="1002"/>
      <c r="J498" s="1002"/>
      <c r="K498" s="1002"/>
      <c r="L498" s="1002"/>
      <c r="M498" s="1002"/>
      <c r="N498" s="1002"/>
      <c r="O498" s="476"/>
      <c r="P498" s="1002"/>
      <c r="Q498" s="476"/>
      <c r="R498" s="1002"/>
      <c r="S498" s="1002"/>
      <c r="T498" s="476"/>
      <c r="U498" s="476"/>
      <c r="V498" s="1002"/>
      <c r="W498" s="476"/>
      <c r="X498" s="476"/>
      <c r="Y498" s="476"/>
      <c r="Z498" s="476"/>
      <c r="AA498" s="476"/>
    </row>
    <row r="499" spans="1:27" ht="15" customHeight="1">
      <c r="A499" s="476"/>
      <c r="B499" s="476"/>
      <c r="C499" s="1001"/>
      <c r="D499" s="1002"/>
      <c r="E499" s="476"/>
      <c r="F499" s="1002"/>
      <c r="G499" s="1003"/>
      <c r="H499" s="1002"/>
      <c r="I499" s="1002"/>
      <c r="J499" s="1002"/>
      <c r="K499" s="1002"/>
      <c r="L499" s="1002"/>
      <c r="M499" s="1002"/>
      <c r="N499" s="1002"/>
      <c r="O499" s="476"/>
      <c r="P499" s="1002"/>
      <c r="Q499" s="476"/>
      <c r="R499" s="1002"/>
      <c r="S499" s="1002"/>
      <c r="T499" s="476"/>
      <c r="U499" s="476"/>
      <c r="V499" s="1002"/>
      <c r="W499" s="476"/>
      <c r="X499" s="476"/>
      <c r="Y499" s="476"/>
      <c r="Z499" s="476"/>
      <c r="AA499" s="476"/>
    </row>
    <row r="500" spans="1:27" ht="15" customHeight="1">
      <c r="A500" s="476"/>
      <c r="B500" s="476"/>
      <c r="C500" s="1001"/>
      <c r="D500" s="1002"/>
      <c r="E500" s="476"/>
      <c r="F500" s="1002"/>
      <c r="G500" s="1003"/>
      <c r="H500" s="1002"/>
      <c r="I500" s="1002"/>
      <c r="J500" s="1002"/>
      <c r="K500" s="1002"/>
      <c r="L500" s="1002"/>
      <c r="M500" s="1002"/>
      <c r="N500" s="1002"/>
      <c r="O500" s="476"/>
      <c r="P500" s="1002"/>
      <c r="Q500" s="476"/>
      <c r="R500" s="1002"/>
      <c r="S500" s="1002"/>
      <c r="T500" s="476"/>
      <c r="U500" s="476"/>
      <c r="V500" s="1002"/>
      <c r="W500" s="476"/>
      <c r="X500" s="476"/>
      <c r="Y500" s="476"/>
      <c r="Z500" s="476"/>
      <c r="AA500" s="476"/>
    </row>
    <row r="501" spans="1:27" ht="15" customHeight="1">
      <c r="A501" s="476"/>
      <c r="B501" s="476"/>
      <c r="C501" s="1001"/>
      <c r="D501" s="1002"/>
      <c r="E501" s="476"/>
      <c r="F501" s="1002"/>
      <c r="G501" s="1003"/>
      <c r="H501" s="1002"/>
      <c r="I501" s="1002"/>
      <c r="J501" s="1002"/>
      <c r="K501" s="1002"/>
      <c r="L501" s="1002"/>
      <c r="M501" s="1002"/>
      <c r="N501" s="1002"/>
      <c r="O501" s="476"/>
      <c r="P501" s="1002"/>
      <c r="Q501" s="476"/>
      <c r="R501" s="1002"/>
      <c r="S501" s="1002"/>
      <c r="T501" s="476"/>
      <c r="U501" s="476"/>
      <c r="V501" s="1002"/>
      <c r="W501" s="476"/>
      <c r="X501" s="476"/>
      <c r="Y501" s="476"/>
      <c r="Z501" s="476"/>
      <c r="AA501" s="476"/>
    </row>
    <row r="502" spans="1:27" ht="15" customHeight="1">
      <c r="A502" s="476"/>
      <c r="B502" s="476"/>
      <c r="C502" s="1001"/>
      <c r="D502" s="1002"/>
      <c r="E502" s="476"/>
      <c r="F502" s="1002"/>
      <c r="G502" s="1003"/>
      <c r="H502" s="1002"/>
      <c r="I502" s="1002"/>
      <c r="J502" s="1002"/>
      <c r="K502" s="1002"/>
      <c r="L502" s="1002"/>
      <c r="M502" s="1002"/>
      <c r="N502" s="1002"/>
      <c r="O502" s="476"/>
      <c r="P502" s="1002"/>
      <c r="Q502" s="476"/>
      <c r="R502" s="1002"/>
      <c r="S502" s="1002"/>
      <c r="T502" s="476"/>
      <c r="U502" s="476"/>
      <c r="V502" s="1002"/>
      <c r="W502" s="476"/>
      <c r="X502" s="476"/>
      <c r="Y502" s="476"/>
      <c r="Z502" s="476"/>
      <c r="AA502" s="476"/>
    </row>
    <row r="503" spans="1:27" ht="15" customHeight="1">
      <c r="A503" s="476"/>
      <c r="B503" s="476"/>
      <c r="C503" s="1001"/>
      <c r="D503" s="1002"/>
      <c r="E503" s="476"/>
      <c r="F503" s="1002"/>
      <c r="G503" s="1003"/>
      <c r="H503" s="1002"/>
      <c r="I503" s="1002"/>
      <c r="J503" s="1002"/>
      <c r="K503" s="1002"/>
      <c r="L503" s="1002"/>
      <c r="M503" s="1002"/>
      <c r="N503" s="1002"/>
      <c r="O503" s="476"/>
      <c r="P503" s="1002"/>
      <c r="Q503" s="476"/>
      <c r="R503" s="1002"/>
      <c r="S503" s="1002"/>
      <c r="T503" s="476"/>
      <c r="U503" s="476"/>
      <c r="V503" s="1002"/>
      <c r="W503" s="476"/>
      <c r="X503" s="476"/>
      <c r="Y503" s="476"/>
      <c r="Z503" s="476"/>
      <c r="AA503" s="476"/>
    </row>
    <row r="504" spans="1:27" ht="15" customHeight="1">
      <c r="A504" s="476"/>
      <c r="B504" s="476"/>
      <c r="C504" s="1001"/>
      <c r="D504" s="1002"/>
      <c r="E504" s="476"/>
      <c r="F504" s="1002"/>
      <c r="G504" s="1003"/>
      <c r="H504" s="1002"/>
      <c r="I504" s="1002"/>
      <c r="J504" s="1002"/>
      <c r="K504" s="1002"/>
      <c r="L504" s="1002"/>
      <c r="M504" s="1002"/>
      <c r="N504" s="1002"/>
      <c r="O504" s="476"/>
      <c r="P504" s="1002"/>
      <c r="Q504" s="476"/>
      <c r="R504" s="1002"/>
      <c r="S504" s="1002"/>
      <c r="T504" s="476"/>
      <c r="U504" s="476"/>
      <c r="V504" s="1002"/>
      <c r="W504" s="476"/>
      <c r="X504" s="476"/>
      <c r="Y504" s="476"/>
      <c r="Z504" s="476"/>
      <c r="AA504" s="476"/>
    </row>
    <row r="505" spans="1:27" ht="15" customHeight="1">
      <c r="A505" s="476"/>
      <c r="B505" s="476"/>
      <c r="C505" s="1001"/>
      <c r="D505" s="1002"/>
      <c r="E505" s="476"/>
      <c r="F505" s="1002"/>
      <c r="G505" s="1003"/>
      <c r="H505" s="1002"/>
      <c r="I505" s="1002"/>
      <c r="J505" s="1002"/>
      <c r="K505" s="1002"/>
      <c r="L505" s="1002"/>
      <c r="M505" s="1002"/>
      <c r="N505" s="1002"/>
      <c r="O505" s="476"/>
      <c r="P505" s="1002"/>
      <c r="Q505" s="476"/>
      <c r="R505" s="1002"/>
      <c r="S505" s="1002"/>
      <c r="T505" s="476"/>
      <c r="U505" s="476"/>
      <c r="V505" s="1002"/>
      <c r="W505" s="476"/>
      <c r="X505" s="476"/>
      <c r="Y505" s="476"/>
      <c r="Z505" s="476"/>
      <c r="AA505" s="476"/>
    </row>
    <row r="506" spans="1:27" ht="15" customHeight="1">
      <c r="A506" s="476"/>
      <c r="B506" s="476"/>
      <c r="C506" s="1001"/>
      <c r="D506" s="1002"/>
      <c r="E506" s="476"/>
      <c r="F506" s="1002"/>
      <c r="G506" s="1003"/>
      <c r="H506" s="1002"/>
      <c r="I506" s="1002"/>
      <c r="J506" s="1002"/>
      <c r="K506" s="1002"/>
      <c r="L506" s="1002"/>
      <c r="M506" s="1002"/>
      <c r="N506" s="1002"/>
      <c r="O506" s="476"/>
      <c r="P506" s="1002"/>
      <c r="Q506" s="476"/>
      <c r="R506" s="1002"/>
      <c r="S506" s="1002"/>
      <c r="T506" s="476"/>
      <c r="U506" s="476"/>
      <c r="V506" s="1002"/>
      <c r="W506" s="476"/>
      <c r="X506" s="476"/>
      <c r="Y506" s="476"/>
      <c r="Z506" s="476"/>
      <c r="AA506" s="476"/>
    </row>
    <row r="507" spans="1:27" ht="15" customHeight="1">
      <c r="A507" s="476"/>
      <c r="B507" s="476"/>
      <c r="C507" s="1001"/>
      <c r="D507" s="1002"/>
      <c r="E507" s="476"/>
      <c r="F507" s="1002"/>
      <c r="G507" s="1003"/>
      <c r="H507" s="1002"/>
      <c r="I507" s="1002"/>
      <c r="J507" s="1002"/>
      <c r="K507" s="1002"/>
      <c r="L507" s="1002"/>
      <c r="M507" s="1002"/>
      <c r="N507" s="1002"/>
      <c r="O507" s="476"/>
      <c r="P507" s="1002"/>
      <c r="Q507" s="476"/>
      <c r="R507" s="1002"/>
      <c r="S507" s="1002"/>
      <c r="T507" s="476"/>
      <c r="U507" s="476"/>
      <c r="V507" s="1002"/>
      <c r="W507" s="476"/>
      <c r="X507" s="476"/>
      <c r="Y507" s="476"/>
      <c r="Z507" s="476"/>
      <c r="AA507" s="476"/>
    </row>
    <row r="508" spans="1:27" ht="15" customHeight="1">
      <c r="A508" s="476"/>
      <c r="B508" s="476"/>
      <c r="C508" s="1001"/>
      <c r="D508" s="1002"/>
      <c r="E508" s="476"/>
      <c r="F508" s="1002"/>
      <c r="G508" s="1003"/>
      <c r="H508" s="1002"/>
      <c r="I508" s="1002"/>
      <c r="J508" s="1002"/>
      <c r="K508" s="1002"/>
      <c r="L508" s="1002"/>
      <c r="M508" s="1002"/>
      <c r="N508" s="1002"/>
      <c r="O508" s="476"/>
      <c r="P508" s="1002"/>
      <c r="Q508" s="476"/>
      <c r="R508" s="1002"/>
      <c r="S508" s="1002"/>
      <c r="T508" s="476"/>
      <c r="U508" s="476"/>
      <c r="V508" s="1002"/>
      <c r="W508" s="476"/>
      <c r="X508" s="476"/>
      <c r="Y508" s="476"/>
      <c r="Z508" s="476"/>
      <c r="AA508" s="476"/>
    </row>
    <row r="509" spans="1:27" ht="15" customHeight="1">
      <c r="A509" s="476"/>
      <c r="B509" s="476"/>
      <c r="C509" s="1001"/>
      <c r="D509" s="1002"/>
      <c r="E509" s="476"/>
      <c r="F509" s="1002"/>
      <c r="G509" s="1003"/>
      <c r="H509" s="1002"/>
      <c r="I509" s="1002"/>
      <c r="J509" s="1002"/>
      <c r="K509" s="1002"/>
      <c r="L509" s="1002"/>
      <c r="M509" s="1002"/>
      <c r="N509" s="1002"/>
      <c r="O509" s="476"/>
      <c r="P509" s="1002"/>
      <c r="Q509" s="476"/>
      <c r="R509" s="1002"/>
      <c r="S509" s="1002"/>
      <c r="T509" s="476"/>
      <c r="U509" s="476"/>
      <c r="V509" s="1002"/>
      <c r="W509" s="476"/>
      <c r="X509" s="476"/>
      <c r="Y509" s="476"/>
      <c r="Z509" s="476"/>
      <c r="AA509" s="476"/>
    </row>
    <row r="510" spans="1:27" ht="15" customHeight="1">
      <c r="A510" s="476"/>
      <c r="B510" s="476"/>
      <c r="C510" s="1001"/>
      <c r="D510" s="1002"/>
      <c r="E510" s="476"/>
      <c r="F510" s="1002"/>
      <c r="G510" s="1003"/>
      <c r="H510" s="1002"/>
      <c r="I510" s="1002"/>
      <c r="J510" s="1002"/>
      <c r="K510" s="1002"/>
      <c r="L510" s="1002"/>
      <c r="M510" s="1002"/>
      <c r="N510" s="1002"/>
      <c r="O510" s="476"/>
      <c r="P510" s="1002"/>
      <c r="Q510" s="476"/>
      <c r="R510" s="1002"/>
      <c r="S510" s="1002"/>
      <c r="T510" s="476"/>
      <c r="U510" s="476"/>
      <c r="V510" s="1002"/>
      <c r="W510" s="476"/>
      <c r="X510" s="476"/>
      <c r="Y510" s="476"/>
      <c r="Z510" s="476"/>
      <c r="AA510" s="476"/>
    </row>
    <row r="511" spans="1:27" ht="15" customHeight="1">
      <c r="A511" s="476"/>
      <c r="B511" s="476"/>
      <c r="C511" s="1001"/>
      <c r="D511" s="1002"/>
      <c r="E511" s="476"/>
      <c r="F511" s="1002"/>
      <c r="G511" s="1003"/>
      <c r="H511" s="1002"/>
      <c r="I511" s="1002"/>
      <c r="J511" s="1002"/>
      <c r="K511" s="1002"/>
      <c r="L511" s="1002"/>
      <c r="M511" s="1002"/>
      <c r="N511" s="1002"/>
      <c r="O511" s="476"/>
      <c r="P511" s="1002"/>
      <c r="Q511" s="476"/>
      <c r="R511" s="1002"/>
      <c r="S511" s="1002"/>
      <c r="T511" s="476"/>
      <c r="U511" s="476"/>
      <c r="V511" s="1002"/>
      <c r="W511" s="476"/>
      <c r="X511" s="476"/>
      <c r="Y511" s="476"/>
      <c r="Z511" s="476"/>
      <c r="AA511" s="476"/>
    </row>
    <row r="512" spans="1:27" ht="15" customHeight="1">
      <c r="A512" s="476"/>
      <c r="B512" s="476"/>
      <c r="C512" s="1001"/>
      <c r="D512" s="1002"/>
      <c r="E512" s="476"/>
      <c r="F512" s="1002"/>
      <c r="G512" s="1003"/>
      <c r="H512" s="1002"/>
      <c r="I512" s="1002"/>
      <c r="J512" s="1002"/>
      <c r="K512" s="1002"/>
      <c r="L512" s="1002"/>
      <c r="M512" s="1002"/>
      <c r="N512" s="1002"/>
      <c r="O512" s="476"/>
      <c r="P512" s="1002"/>
      <c r="Q512" s="476"/>
      <c r="R512" s="1002"/>
      <c r="S512" s="1002"/>
      <c r="T512" s="476"/>
      <c r="U512" s="476"/>
      <c r="V512" s="1002"/>
      <c r="W512" s="476"/>
      <c r="X512" s="476"/>
      <c r="Y512" s="476"/>
      <c r="Z512" s="476"/>
      <c r="AA512" s="476"/>
    </row>
    <row r="513" spans="1:27" ht="15" customHeight="1">
      <c r="A513" s="476"/>
      <c r="B513" s="476"/>
      <c r="C513" s="1001"/>
      <c r="D513" s="1002"/>
      <c r="E513" s="476"/>
      <c r="F513" s="1002"/>
      <c r="G513" s="1003"/>
      <c r="H513" s="1002"/>
      <c r="I513" s="1002"/>
      <c r="J513" s="1002"/>
      <c r="K513" s="1002"/>
      <c r="L513" s="1002"/>
      <c r="M513" s="1002"/>
      <c r="N513" s="1002"/>
      <c r="O513" s="476"/>
      <c r="P513" s="1002"/>
      <c r="Q513" s="476"/>
      <c r="R513" s="1002"/>
      <c r="S513" s="1002"/>
      <c r="T513" s="476"/>
      <c r="U513" s="476"/>
      <c r="V513" s="1002"/>
      <c r="W513" s="476"/>
      <c r="X513" s="476"/>
      <c r="Y513" s="476"/>
      <c r="Z513" s="476"/>
      <c r="AA513" s="476"/>
    </row>
    <row r="514" spans="1:27" ht="15" customHeight="1">
      <c r="A514" s="476"/>
      <c r="B514" s="476"/>
      <c r="C514" s="1001"/>
      <c r="D514" s="1002"/>
      <c r="E514" s="476"/>
      <c r="F514" s="1002"/>
      <c r="G514" s="1003"/>
      <c r="H514" s="1002"/>
      <c r="I514" s="1002"/>
      <c r="J514" s="1002"/>
      <c r="K514" s="1002"/>
      <c r="L514" s="1002"/>
      <c r="M514" s="1002"/>
      <c r="N514" s="1002"/>
      <c r="O514" s="476"/>
      <c r="P514" s="1002"/>
      <c r="Q514" s="476"/>
      <c r="R514" s="1002"/>
      <c r="S514" s="1002"/>
      <c r="T514" s="476"/>
      <c r="U514" s="476"/>
      <c r="V514" s="1002"/>
      <c r="W514" s="476"/>
      <c r="X514" s="476"/>
      <c r="Y514" s="476"/>
      <c r="Z514" s="476"/>
      <c r="AA514" s="476"/>
    </row>
    <row r="515" spans="1:27" ht="15" customHeight="1">
      <c r="A515" s="476"/>
      <c r="B515" s="476"/>
      <c r="C515" s="1001"/>
      <c r="D515" s="1002"/>
      <c r="E515" s="476"/>
      <c r="F515" s="1002"/>
      <c r="G515" s="1003"/>
      <c r="H515" s="1002"/>
      <c r="I515" s="1002"/>
      <c r="J515" s="1002"/>
      <c r="K515" s="1002"/>
      <c r="L515" s="1002"/>
      <c r="M515" s="1002"/>
      <c r="N515" s="1002"/>
      <c r="O515" s="476"/>
      <c r="P515" s="1002"/>
      <c r="Q515" s="476"/>
      <c r="R515" s="1002"/>
      <c r="S515" s="1002"/>
      <c r="T515" s="476"/>
      <c r="U515" s="476"/>
      <c r="V515" s="1002"/>
      <c r="W515" s="476"/>
      <c r="X515" s="476"/>
      <c r="Y515" s="476"/>
      <c r="Z515" s="476"/>
      <c r="AA515" s="476"/>
    </row>
    <row r="516" spans="1:27" ht="15" customHeight="1">
      <c r="A516" s="476"/>
      <c r="B516" s="476"/>
      <c r="C516" s="1001"/>
      <c r="D516" s="1002"/>
      <c r="E516" s="476"/>
      <c r="F516" s="1002"/>
      <c r="G516" s="1003"/>
      <c r="H516" s="1002"/>
      <c r="I516" s="1002"/>
      <c r="J516" s="1002"/>
      <c r="K516" s="1002"/>
      <c r="L516" s="1002"/>
      <c r="M516" s="1002"/>
      <c r="N516" s="1002"/>
      <c r="O516" s="476"/>
      <c r="P516" s="1002"/>
      <c r="Q516" s="476"/>
      <c r="R516" s="1002"/>
      <c r="S516" s="1002"/>
      <c r="T516" s="476"/>
      <c r="U516" s="476"/>
      <c r="V516" s="1002"/>
      <c r="W516" s="476"/>
      <c r="X516" s="476"/>
      <c r="Y516" s="476"/>
      <c r="Z516" s="476"/>
      <c r="AA516" s="476"/>
    </row>
    <row r="517" spans="1:27" ht="15" customHeight="1">
      <c r="A517" s="476"/>
      <c r="B517" s="476"/>
      <c r="C517" s="1001"/>
      <c r="D517" s="1002"/>
      <c r="E517" s="476"/>
      <c r="F517" s="1002"/>
      <c r="G517" s="1003"/>
      <c r="H517" s="1002"/>
      <c r="I517" s="1002"/>
      <c r="J517" s="1002"/>
      <c r="K517" s="1002"/>
      <c r="L517" s="1002"/>
      <c r="M517" s="1002"/>
      <c r="N517" s="1002"/>
      <c r="O517" s="476"/>
      <c r="P517" s="1002"/>
      <c r="Q517" s="476"/>
      <c r="R517" s="1002"/>
      <c r="S517" s="1002"/>
      <c r="T517" s="476"/>
      <c r="U517" s="476"/>
      <c r="V517" s="1002"/>
      <c r="W517" s="476"/>
      <c r="X517" s="476"/>
      <c r="Y517" s="476"/>
      <c r="Z517" s="476"/>
      <c r="AA517" s="476"/>
    </row>
    <row r="518" spans="1:27" ht="15" customHeight="1">
      <c r="A518" s="476"/>
      <c r="B518" s="476"/>
      <c r="C518" s="1001"/>
      <c r="D518" s="1002"/>
      <c r="E518" s="476"/>
      <c r="F518" s="1002"/>
      <c r="G518" s="1003"/>
      <c r="H518" s="1002"/>
      <c r="I518" s="1002"/>
      <c r="J518" s="1002"/>
      <c r="K518" s="1002"/>
      <c r="L518" s="1002"/>
      <c r="M518" s="1002"/>
      <c r="N518" s="1002"/>
      <c r="O518" s="476"/>
      <c r="P518" s="1002"/>
      <c r="Q518" s="476"/>
      <c r="R518" s="1002"/>
      <c r="S518" s="1002"/>
      <c r="T518" s="476"/>
      <c r="U518" s="476"/>
      <c r="V518" s="1002"/>
      <c r="W518" s="476"/>
      <c r="X518" s="476"/>
      <c r="Y518" s="476"/>
      <c r="Z518" s="476"/>
      <c r="AA518" s="476"/>
    </row>
    <row r="519" spans="1:27" ht="15" customHeight="1">
      <c r="A519" s="476"/>
      <c r="B519" s="476"/>
      <c r="C519" s="1001"/>
      <c r="D519" s="1002"/>
      <c r="E519" s="476"/>
      <c r="F519" s="1002"/>
      <c r="G519" s="1003"/>
      <c r="H519" s="1002"/>
      <c r="I519" s="1002"/>
      <c r="J519" s="1002"/>
      <c r="K519" s="1002"/>
      <c r="L519" s="1002"/>
      <c r="M519" s="1002"/>
      <c r="N519" s="1002"/>
      <c r="O519" s="476"/>
      <c r="P519" s="1002"/>
      <c r="Q519" s="476"/>
      <c r="R519" s="1002"/>
      <c r="S519" s="1002"/>
      <c r="T519" s="476"/>
      <c r="U519" s="476"/>
      <c r="V519" s="1002"/>
      <c r="W519" s="476"/>
      <c r="X519" s="476"/>
      <c r="Y519" s="476"/>
      <c r="Z519" s="476"/>
      <c r="AA519" s="476"/>
    </row>
    <row r="520" spans="1:27" ht="15" customHeight="1">
      <c r="A520" s="476"/>
      <c r="B520" s="476"/>
      <c r="C520" s="1001"/>
      <c r="D520" s="1002"/>
      <c r="E520" s="476"/>
      <c r="F520" s="1002"/>
      <c r="G520" s="1003"/>
      <c r="H520" s="1002"/>
      <c r="I520" s="1002"/>
      <c r="J520" s="1002"/>
      <c r="K520" s="1002"/>
      <c r="L520" s="1002"/>
      <c r="M520" s="1002"/>
      <c r="N520" s="1002"/>
      <c r="O520" s="476"/>
      <c r="P520" s="1002"/>
      <c r="Q520" s="476"/>
      <c r="R520" s="1002"/>
      <c r="S520" s="1002"/>
      <c r="T520" s="476"/>
      <c r="U520" s="476"/>
      <c r="V520" s="1002"/>
      <c r="W520" s="476"/>
      <c r="X520" s="476"/>
      <c r="Y520" s="476"/>
      <c r="Z520" s="476"/>
      <c r="AA520" s="476"/>
    </row>
    <row r="521" spans="1:27" ht="15" customHeight="1">
      <c r="A521" s="476"/>
      <c r="B521" s="476"/>
      <c r="C521" s="1001"/>
      <c r="D521" s="1002"/>
      <c r="E521" s="476"/>
      <c r="F521" s="1002"/>
      <c r="G521" s="1003"/>
      <c r="H521" s="1002"/>
      <c r="I521" s="1002"/>
      <c r="J521" s="1002"/>
      <c r="K521" s="1002"/>
      <c r="L521" s="1002"/>
      <c r="M521" s="1002"/>
      <c r="N521" s="1002"/>
      <c r="O521" s="476"/>
      <c r="P521" s="1002"/>
      <c r="Q521" s="476"/>
      <c r="R521" s="1002"/>
      <c r="S521" s="1002"/>
      <c r="T521" s="476"/>
      <c r="U521" s="476"/>
      <c r="V521" s="1002"/>
      <c r="W521" s="476"/>
      <c r="X521" s="476"/>
      <c r="Y521" s="476"/>
      <c r="Z521" s="476"/>
      <c r="AA521" s="476"/>
    </row>
    <row r="522" spans="1:27" ht="15" customHeight="1">
      <c r="A522" s="476"/>
      <c r="B522" s="476"/>
      <c r="C522" s="1001"/>
      <c r="D522" s="1002"/>
      <c r="E522" s="476"/>
      <c r="F522" s="1002"/>
      <c r="G522" s="1003"/>
      <c r="H522" s="1002"/>
      <c r="I522" s="1002"/>
      <c r="J522" s="1002"/>
      <c r="K522" s="1002"/>
      <c r="L522" s="1002"/>
      <c r="M522" s="1002"/>
      <c r="N522" s="1002"/>
      <c r="O522" s="476"/>
      <c r="P522" s="1002"/>
      <c r="Q522" s="476"/>
      <c r="R522" s="1002"/>
      <c r="S522" s="1002"/>
      <c r="T522" s="476"/>
      <c r="U522" s="476"/>
      <c r="V522" s="1002"/>
      <c r="W522" s="476"/>
      <c r="X522" s="476"/>
      <c r="Y522" s="476"/>
      <c r="Z522" s="476"/>
      <c r="AA522" s="476"/>
    </row>
    <row r="523" spans="1:27" ht="15" customHeight="1">
      <c r="A523" s="476"/>
      <c r="B523" s="476"/>
      <c r="C523" s="1001"/>
      <c r="D523" s="1002"/>
      <c r="E523" s="476"/>
      <c r="F523" s="1002"/>
      <c r="G523" s="1003"/>
      <c r="H523" s="1002"/>
      <c r="I523" s="1002"/>
      <c r="J523" s="1002"/>
      <c r="K523" s="1002"/>
      <c r="L523" s="1002"/>
      <c r="M523" s="1002"/>
      <c r="N523" s="1002"/>
      <c r="O523" s="476"/>
      <c r="P523" s="1002"/>
      <c r="Q523" s="476"/>
      <c r="R523" s="1002"/>
      <c r="S523" s="1002"/>
      <c r="T523" s="476"/>
      <c r="U523" s="476"/>
      <c r="V523" s="1002"/>
      <c r="W523" s="476"/>
      <c r="X523" s="476"/>
      <c r="Y523" s="476"/>
      <c r="Z523" s="476"/>
      <c r="AA523" s="476"/>
    </row>
    <row r="524" spans="1:27" ht="15" customHeight="1">
      <c r="A524" s="476"/>
      <c r="B524" s="476"/>
      <c r="C524" s="1001"/>
      <c r="D524" s="1002"/>
      <c r="E524" s="476"/>
      <c r="F524" s="1002"/>
      <c r="G524" s="1003"/>
      <c r="H524" s="1002"/>
      <c r="I524" s="1002"/>
      <c r="J524" s="1002"/>
      <c r="K524" s="1002"/>
      <c r="L524" s="1002"/>
      <c r="M524" s="1002"/>
      <c r="N524" s="1002"/>
      <c r="O524" s="476"/>
      <c r="P524" s="1002"/>
      <c r="Q524" s="476"/>
      <c r="R524" s="1002"/>
      <c r="S524" s="1002"/>
      <c r="T524" s="476"/>
      <c r="U524" s="476"/>
      <c r="V524" s="1002"/>
      <c r="W524" s="476"/>
      <c r="X524" s="476"/>
      <c r="Y524" s="476"/>
      <c r="Z524" s="476"/>
      <c r="AA524" s="476"/>
    </row>
    <row r="525" spans="1:27" ht="15" customHeight="1">
      <c r="A525" s="476"/>
      <c r="B525" s="476"/>
      <c r="C525" s="1001"/>
      <c r="D525" s="1002"/>
      <c r="E525" s="476"/>
      <c r="F525" s="1002"/>
      <c r="G525" s="1003"/>
      <c r="H525" s="1002"/>
      <c r="I525" s="1002"/>
      <c r="J525" s="1002"/>
      <c r="K525" s="1002"/>
      <c r="L525" s="1002"/>
      <c r="M525" s="1002"/>
      <c r="N525" s="1002"/>
      <c r="O525" s="476"/>
      <c r="P525" s="1002"/>
      <c r="Q525" s="476"/>
      <c r="R525" s="1002"/>
      <c r="S525" s="1002"/>
      <c r="T525" s="476"/>
      <c r="U525" s="476"/>
      <c r="V525" s="1002"/>
      <c r="W525" s="476"/>
      <c r="X525" s="476"/>
      <c r="Y525" s="476"/>
      <c r="Z525" s="476"/>
      <c r="AA525" s="476"/>
    </row>
    <row r="526" spans="1:27" ht="15" customHeight="1">
      <c r="A526" s="476"/>
      <c r="B526" s="476"/>
      <c r="C526" s="1001"/>
      <c r="D526" s="1002"/>
      <c r="E526" s="476"/>
      <c r="F526" s="1002"/>
      <c r="G526" s="1003"/>
      <c r="H526" s="1002"/>
      <c r="I526" s="1002"/>
      <c r="J526" s="1002"/>
      <c r="K526" s="1002"/>
      <c r="L526" s="1002"/>
      <c r="M526" s="1002"/>
      <c r="N526" s="1002"/>
      <c r="O526" s="476"/>
      <c r="P526" s="1002"/>
      <c r="Q526" s="476"/>
      <c r="R526" s="1002"/>
      <c r="S526" s="1002"/>
      <c r="T526" s="476"/>
      <c r="U526" s="476"/>
      <c r="V526" s="1002"/>
      <c r="W526" s="476"/>
      <c r="X526" s="476"/>
      <c r="Y526" s="476"/>
      <c r="Z526" s="476"/>
      <c r="AA526" s="476"/>
    </row>
    <row r="527" spans="1:27" ht="15" customHeight="1">
      <c r="A527" s="476"/>
      <c r="B527" s="476"/>
      <c r="C527" s="1001"/>
      <c r="D527" s="1002"/>
      <c r="E527" s="476"/>
      <c r="F527" s="1002"/>
      <c r="G527" s="1003"/>
      <c r="H527" s="1002"/>
      <c r="I527" s="1002"/>
      <c r="J527" s="1002"/>
      <c r="K527" s="1002"/>
      <c r="L527" s="1002"/>
      <c r="M527" s="1002"/>
      <c r="N527" s="1002"/>
      <c r="O527" s="476"/>
      <c r="P527" s="1002"/>
      <c r="Q527" s="476"/>
      <c r="R527" s="1002"/>
      <c r="S527" s="1002"/>
      <c r="T527" s="476"/>
      <c r="U527" s="476"/>
      <c r="V527" s="1002"/>
      <c r="W527" s="476"/>
      <c r="X527" s="476"/>
      <c r="Y527" s="476"/>
      <c r="Z527" s="476"/>
      <c r="AA527" s="476"/>
    </row>
    <row r="528" spans="1:27" ht="15" customHeight="1">
      <c r="A528" s="476"/>
      <c r="B528" s="476"/>
      <c r="C528" s="1001"/>
      <c r="D528" s="1002"/>
      <c r="E528" s="476"/>
      <c r="F528" s="1002"/>
      <c r="G528" s="1003"/>
      <c r="H528" s="1002"/>
      <c r="I528" s="1002"/>
      <c r="J528" s="1002"/>
      <c r="K528" s="1002"/>
      <c r="L528" s="1002"/>
      <c r="M528" s="1002"/>
      <c r="N528" s="1002"/>
      <c r="O528" s="476"/>
      <c r="P528" s="1002"/>
      <c r="Q528" s="476"/>
      <c r="R528" s="1002"/>
      <c r="S528" s="1002"/>
      <c r="T528" s="476"/>
      <c r="U528" s="476"/>
      <c r="V528" s="1002"/>
      <c r="W528" s="476"/>
      <c r="X528" s="476"/>
      <c r="Y528" s="476"/>
      <c r="Z528" s="476"/>
      <c r="AA528" s="476"/>
    </row>
    <row r="529" spans="1:27" ht="15" customHeight="1">
      <c r="A529" s="476"/>
      <c r="B529" s="476"/>
      <c r="C529" s="1001"/>
      <c r="D529" s="1002"/>
      <c r="E529" s="476"/>
      <c r="F529" s="1002"/>
      <c r="G529" s="1003"/>
      <c r="H529" s="1002"/>
      <c r="I529" s="1002"/>
      <c r="J529" s="1002"/>
      <c r="K529" s="1002"/>
      <c r="L529" s="1002"/>
      <c r="M529" s="1002"/>
      <c r="N529" s="1002"/>
      <c r="O529" s="476"/>
      <c r="P529" s="1002"/>
      <c r="Q529" s="476"/>
      <c r="R529" s="1002"/>
      <c r="S529" s="1002"/>
      <c r="T529" s="476"/>
      <c r="U529" s="476"/>
      <c r="V529" s="1002"/>
      <c r="W529" s="476"/>
      <c r="X529" s="476"/>
      <c r="Y529" s="476"/>
      <c r="Z529" s="476"/>
      <c r="AA529" s="476"/>
    </row>
    <row r="530" spans="1:27" ht="15" customHeight="1">
      <c r="A530" s="476"/>
      <c r="B530" s="476"/>
      <c r="C530" s="1001"/>
      <c r="D530" s="1002"/>
      <c r="E530" s="476"/>
      <c r="F530" s="1002"/>
      <c r="G530" s="1003"/>
      <c r="H530" s="1002"/>
      <c r="I530" s="1002"/>
      <c r="J530" s="1002"/>
      <c r="K530" s="1002"/>
      <c r="L530" s="1002"/>
      <c r="M530" s="1002"/>
      <c r="N530" s="1002"/>
      <c r="O530" s="476"/>
      <c r="P530" s="1002"/>
      <c r="Q530" s="476"/>
      <c r="R530" s="1002"/>
      <c r="S530" s="1002"/>
      <c r="T530" s="476"/>
      <c r="U530" s="476"/>
      <c r="V530" s="1002"/>
      <c r="W530" s="476"/>
      <c r="X530" s="476"/>
      <c r="Y530" s="476"/>
      <c r="Z530" s="476"/>
      <c r="AA530" s="476"/>
    </row>
    <row r="531" spans="1:27" ht="15" customHeight="1">
      <c r="A531" s="476"/>
      <c r="B531" s="476"/>
      <c r="C531" s="1001"/>
      <c r="D531" s="1002"/>
      <c r="E531" s="476"/>
      <c r="F531" s="1002"/>
      <c r="G531" s="1003"/>
      <c r="H531" s="1002"/>
      <c r="I531" s="1002"/>
      <c r="J531" s="1002"/>
      <c r="K531" s="1002"/>
      <c r="L531" s="1002"/>
      <c r="M531" s="1002"/>
      <c r="N531" s="1002"/>
      <c r="O531" s="476"/>
      <c r="P531" s="1002"/>
      <c r="Q531" s="476"/>
      <c r="R531" s="1002"/>
      <c r="S531" s="1002"/>
      <c r="T531" s="476"/>
      <c r="U531" s="476"/>
      <c r="V531" s="1002"/>
      <c r="W531" s="476"/>
      <c r="X531" s="476"/>
      <c r="Y531" s="476"/>
      <c r="Z531" s="476"/>
      <c r="AA531" s="476"/>
    </row>
    <row r="532" spans="1:27" ht="15" customHeight="1">
      <c r="A532" s="476"/>
      <c r="B532" s="476"/>
      <c r="C532" s="1001"/>
      <c r="D532" s="1002"/>
      <c r="E532" s="476"/>
      <c r="F532" s="1002"/>
      <c r="G532" s="1003"/>
      <c r="H532" s="1002"/>
      <c r="I532" s="1002"/>
      <c r="J532" s="1002"/>
      <c r="K532" s="1002"/>
      <c r="L532" s="1002"/>
      <c r="M532" s="1002"/>
      <c r="N532" s="1002"/>
      <c r="O532" s="476"/>
      <c r="P532" s="1002"/>
      <c r="Q532" s="476"/>
      <c r="R532" s="1002"/>
      <c r="S532" s="1002"/>
      <c r="T532" s="476"/>
      <c r="U532" s="476"/>
      <c r="V532" s="1002"/>
      <c r="W532" s="476"/>
      <c r="X532" s="476"/>
      <c r="Y532" s="476"/>
      <c r="Z532" s="476"/>
      <c r="AA532" s="476"/>
    </row>
    <row r="533" spans="1:27" ht="15" customHeight="1">
      <c r="A533" s="476"/>
      <c r="B533" s="476"/>
      <c r="C533" s="1001"/>
      <c r="D533" s="1002"/>
      <c r="E533" s="476"/>
      <c r="F533" s="1002"/>
      <c r="G533" s="1003"/>
      <c r="H533" s="1002"/>
      <c r="I533" s="1002"/>
      <c r="J533" s="1002"/>
      <c r="K533" s="1002"/>
      <c r="L533" s="1002"/>
      <c r="M533" s="1002"/>
      <c r="N533" s="1002"/>
      <c r="O533" s="476"/>
      <c r="P533" s="1002"/>
      <c r="Q533" s="476"/>
      <c r="R533" s="1002"/>
      <c r="S533" s="1002"/>
      <c r="T533" s="476"/>
      <c r="U533" s="476"/>
      <c r="V533" s="1002"/>
      <c r="W533" s="476"/>
      <c r="X533" s="476"/>
      <c r="Y533" s="476"/>
      <c r="Z533" s="476"/>
      <c r="AA533" s="476"/>
    </row>
    <row r="534" spans="1:27" ht="15" customHeight="1">
      <c r="A534" s="476"/>
      <c r="B534" s="476"/>
      <c r="C534" s="1001"/>
      <c r="D534" s="1002"/>
      <c r="E534" s="476"/>
      <c r="F534" s="1002"/>
      <c r="G534" s="1003"/>
      <c r="H534" s="1002"/>
      <c r="I534" s="1002"/>
      <c r="J534" s="1002"/>
      <c r="K534" s="1002"/>
      <c r="L534" s="1002"/>
      <c r="M534" s="1002"/>
      <c r="N534" s="1002"/>
      <c r="O534" s="476"/>
      <c r="P534" s="1002"/>
      <c r="Q534" s="476"/>
      <c r="R534" s="1002"/>
      <c r="S534" s="1002"/>
      <c r="T534" s="476"/>
      <c r="U534" s="476"/>
      <c r="V534" s="1002"/>
      <c r="W534" s="476"/>
      <c r="X534" s="476"/>
      <c r="Y534" s="476"/>
      <c r="Z534" s="476"/>
      <c r="AA534" s="476"/>
    </row>
    <row r="535" spans="1:27" ht="15" customHeight="1">
      <c r="A535" s="476"/>
      <c r="B535" s="476"/>
      <c r="C535" s="1001"/>
      <c r="D535" s="1002"/>
      <c r="E535" s="476"/>
      <c r="F535" s="1002"/>
      <c r="G535" s="1003"/>
      <c r="H535" s="1002"/>
      <c r="I535" s="1002"/>
      <c r="J535" s="1002"/>
      <c r="K535" s="1002"/>
      <c r="L535" s="1002"/>
      <c r="M535" s="1002"/>
      <c r="N535" s="1002"/>
      <c r="O535" s="476"/>
      <c r="P535" s="1002"/>
      <c r="Q535" s="476"/>
      <c r="R535" s="1002"/>
      <c r="S535" s="1002"/>
      <c r="T535" s="476"/>
      <c r="U535" s="476"/>
      <c r="V535" s="1002"/>
      <c r="W535" s="476"/>
      <c r="X535" s="476"/>
      <c r="Y535" s="476"/>
      <c r="Z535" s="476"/>
      <c r="AA535" s="476"/>
    </row>
    <row r="536" spans="1:27" ht="15" customHeight="1">
      <c r="A536" s="476"/>
      <c r="B536" s="476"/>
      <c r="C536" s="1001"/>
      <c r="D536" s="1002"/>
      <c r="E536" s="476"/>
      <c r="F536" s="1002"/>
      <c r="G536" s="1003"/>
      <c r="H536" s="1002"/>
      <c r="I536" s="1002"/>
      <c r="J536" s="1002"/>
      <c r="K536" s="1002"/>
      <c r="L536" s="1002"/>
      <c r="M536" s="1002"/>
      <c r="N536" s="1002"/>
      <c r="O536" s="476"/>
      <c r="P536" s="1002"/>
      <c r="Q536" s="476"/>
      <c r="R536" s="1002"/>
      <c r="S536" s="1002"/>
      <c r="T536" s="476"/>
      <c r="U536" s="476"/>
      <c r="V536" s="1002"/>
      <c r="W536" s="476"/>
      <c r="X536" s="476"/>
      <c r="Y536" s="476"/>
      <c r="Z536" s="476"/>
      <c r="AA536" s="476"/>
    </row>
    <row r="537" spans="1:27" ht="15" customHeight="1">
      <c r="A537" s="476"/>
      <c r="B537" s="476"/>
      <c r="C537" s="1001"/>
      <c r="D537" s="1002"/>
      <c r="E537" s="476"/>
      <c r="F537" s="1002"/>
      <c r="G537" s="1003"/>
      <c r="H537" s="1002"/>
      <c r="I537" s="1002"/>
      <c r="J537" s="1002"/>
      <c r="K537" s="1002"/>
      <c r="L537" s="1002"/>
      <c r="M537" s="1002"/>
      <c r="N537" s="1002"/>
      <c r="O537" s="476"/>
      <c r="P537" s="1002"/>
      <c r="Q537" s="476"/>
      <c r="R537" s="1002"/>
      <c r="S537" s="1002"/>
      <c r="T537" s="476"/>
      <c r="U537" s="476"/>
      <c r="V537" s="1002"/>
      <c r="W537" s="476"/>
      <c r="X537" s="476"/>
      <c r="Y537" s="476"/>
      <c r="Z537" s="476"/>
      <c r="AA537" s="476"/>
    </row>
    <row r="538" spans="1:27" ht="15" customHeight="1">
      <c r="A538" s="476"/>
      <c r="B538" s="476"/>
      <c r="C538" s="1001"/>
      <c r="D538" s="1002"/>
      <c r="E538" s="476"/>
      <c r="F538" s="1002"/>
      <c r="G538" s="1003"/>
      <c r="H538" s="1002"/>
      <c r="I538" s="1002"/>
      <c r="J538" s="1002"/>
      <c r="K538" s="1002"/>
      <c r="L538" s="1002"/>
      <c r="M538" s="1002"/>
      <c r="N538" s="1002"/>
      <c r="O538" s="476"/>
      <c r="P538" s="1002"/>
      <c r="Q538" s="476"/>
      <c r="R538" s="1002"/>
      <c r="S538" s="1002"/>
      <c r="T538" s="476"/>
      <c r="U538" s="476"/>
      <c r="V538" s="1002"/>
      <c r="W538" s="476"/>
      <c r="X538" s="476"/>
      <c r="Y538" s="476"/>
      <c r="Z538" s="476"/>
      <c r="AA538" s="476"/>
    </row>
    <row r="539" spans="1:27" ht="15" customHeight="1">
      <c r="A539" s="476"/>
      <c r="B539" s="476"/>
      <c r="C539" s="1001"/>
      <c r="D539" s="1002"/>
      <c r="E539" s="476"/>
      <c r="F539" s="1002"/>
      <c r="G539" s="1003"/>
      <c r="H539" s="1002"/>
      <c r="I539" s="1002"/>
      <c r="J539" s="1002"/>
      <c r="K539" s="1002"/>
      <c r="L539" s="1002"/>
      <c r="M539" s="1002"/>
      <c r="N539" s="1002"/>
      <c r="O539" s="476"/>
      <c r="P539" s="1002"/>
      <c r="Q539" s="476"/>
      <c r="R539" s="1002"/>
      <c r="S539" s="1002"/>
      <c r="T539" s="476"/>
      <c r="U539" s="476"/>
      <c r="V539" s="1002"/>
      <c r="W539" s="476"/>
      <c r="X539" s="476"/>
      <c r="Y539" s="476"/>
      <c r="Z539" s="476"/>
      <c r="AA539" s="476"/>
    </row>
    <row r="540" spans="1:27" ht="15" customHeight="1">
      <c r="A540" s="476"/>
      <c r="B540" s="476"/>
      <c r="C540" s="1001"/>
      <c r="D540" s="1002"/>
      <c r="E540" s="476"/>
      <c r="F540" s="1002"/>
      <c r="G540" s="1003"/>
      <c r="H540" s="1002"/>
      <c r="I540" s="1002"/>
      <c r="J540" s="1002"/>
      <c r="K540" s="1002"/>
      <c r="L540" s="1002"/>
      <c r="M540" s="1002"/>
      <c r="N540" s="1002"/>
      <c r="O540" s="476"/>
      <c r="P540" s="1002"/>
      <c r="Q540" s="476"/>
      <c r="R540" s="1002"/>
      <c r="S540" s="1002"/>
      <c r="T540" s="476"/>
      <c r="U540" s="476"/>
      <c r="V540" s="1002"/>
      <c r="W540" s="476"/>
      <c r="X540" s="476"/>
      <c r="Y540" s="476"/>
      <c r="Z540" s="476"/>
      <c r="AA540" s="476"/>
    </row>
    <row r="541" spans="1:27" ht="15" customHeight="1">
      <c r="A541" s="476"/>
      <c r="B541" s="476"/>
      <c r="C541" s="1001"/>
      <c r="D541" s="1002"/>
      <c r="E541" s="476"/>
      <c r="F541" s="1002"/>
      <c r="G541" s="1003"/>
      <c r="H541" s="1002"/>
      <c r="I541" s="1002"/>
      <c r="J541" s="1002"/>
      <c r="K541" s="1002"/>
      <c r="L541" s="1002"/>
      <c r="M541" s="1002"/>
      <c r="N541" s="1002"/>
      <c r="O541" s="476"/>
      <c r="P541" s="1002"/>
      <c r="Q541" s="476"/>
      <c r="R541" s="1002"/>
      <c r="S541" s="1002"/>
      <c r="T541" s="476"/>
      <c r="U541" s="476"/>
      <c r="V541" s="1002"/>
      <c r="W541" s="476"/>
      <c r="X541" s="476"/>
      <c r="Y541" s="476"/>
      <c r="Z541" s="476"/>
      <c r="AA541" s="476"/>
    </row>
    <row r="542" spans="1:27" ht="15" customHeight="1">
      <c r="A542" s="476"/>
      <c r="B542" s="476"/>
      <c r="C542" s="1001"/>
      <c r="D542" s="1002"/>
      <c r="E542" s="476"/>
      <c r="F542" s="1002"/>
      <c r="G542" s="1003"/>
      <c r="H542" s="1002"/>
      <c r="I542" s="1002"/>
      <c r="J542" s="1002"/>
      <c r="K542" s="1002"/>
      <c r="L542" s="1002"/>
      <c r="M542" s="1002"/>
      <c r="N542" s="1002"/>
      <c r="O542" s="476"/>
      <c r="P542" s="1002"/>
      <c r="Q542" s="476"/>
      <c r="R542" s="1002"/>
      <c r="S542" s="1002"/>
      <c r="T542" s="476"/>
      <c r="U542" s="476"/>
      <c r="V542" s="1002"/>
      <c r="W542" s="476"/>
      <c r="X542" s="476"/>
      <c r="Y542" s="476"/>
      <c r="Z542" s="476"/>
      <c r="AA542" s="476"/>
    </row>
    <row r="543" spans="1:27" ht="15" customHeight="1">
      <c r="A543" s="476"/>
      <c r="B543" s="476"/>
      <c r="C543" s="1001"/>
      <c r="D543" s="1002"/>
      <c r="E543" s="476"/>
      <c r="F543" s="1002"/>
      <c r="G543" s="1003"/>
      <c r="H543" s="1002"/>
      <c r="I543" s="1002"/>
      <c r="J543" s="1002"/>
      <c r="K543" s="1002"/>
      <c r="L543" s="1002"/>
      <c r="M543" s="1002"/>
      <c r="N543" s="1002"/>
      <c r="O543" s="476"/>
      <c r="P543" s="1002"/>
      <c r="Q543" s="476"/>
      <c r="R543" s="1002"/>
      <c r="S543" s="1002"/>
      <c r="T543" s="476"/>
      <c r="U543" s="476"/>
      <c r="V543" s="1002"/>
      <c r="W543" s="476"/>
      <c r="X543" s="476"/>
      <c r="Y543" s="476"/>
      <c r="Z543" s="476"/>
      <c r="AA543" s="476"/>
    </row>
    <row r="544" spans="1:27" ht="15" customHeight="1">
      <c r="A544" s="476"/>
      <c r="B544" s="476"/>
      <c r="C544" s="1001"/>
      <c r="D544" s="1002"/>
      <c r="E544" s="476"/>
      <c r="F544" s="1002"/>
      <c r="G544" s="1003"/>
      <c r="H544" s="1002"/>
      <c r="I544" s="1002"/>
      <c r="J544" s="1002"/>
      <c r="K544" s="1002"/>
      <c r="L544" s="1002"/>
      <c r="M544" s="1002"/>
      <c r="N544" s="1002"/>
      <c r="O544" s="476"/>
      <c r="P544" s="1002"/>
      <c r="Q544" s="476"/>
      <c r="R544" s="1002"/>
      <c r="S544" s="1002"/>
      <c r="T544" s="476"/>
      <c r="U544" s="476"/>
      <c r="V544" s="1002"/>
      <c r="W544" s="476"/>
      <c r="X544" s="476"/>
      <c r="Y544" s="476"/>
      <c r="Z544" s="476"/>
      <c r="AA544" s="476"/>
    </row>
    <row r="545" spans="1:27" ht="15" customHeight="1">
      <c r="A545" s="476"/>
      <c r="B545" s="476"/>
      <c r="C545" s="1001"/>
      <c r="D545" s="1002"/>
      <c r="E545" s="476"/>
      <c r="F545" s="1002"/>
      <c r="G545" s="1003"/>
      <c r="H545" s="1002"/>
      <c r="I545" s="1002"/>
      <c r="J545" s="1002"/>
      <c r="K545" s="1002"/>
      <c r="L545" s="1002"/>
      <c r="M545" s="1002"/>
      <c r="N545" s="1002"/>
      <c r="O545" s="476"/>
      <c r="P545" s="1002"/>
      <c r="Q545" s="476"/>
      <c r="R545" s="1002"/>
      <c r="S545" s="1002"/>
      <c r="T545" s="476"/>
      <c r="U545" s="476"/>
      <c r="V545" s="1002"/>
      <c r="W545" s="476"/>
      <c r="X545" s="476"/>
      <c r="Y545" s="476"/>
      <c r="Z545" s="476"/>
      <c r="AA545" s="476"/>
    </row>
    <row r="546" spans="1:27" ht="15" customHeight="1">
      <c r="A546" s="476"/>
      <c r="B546" s="476"/>
      <c r="C546" s="1001"/>
      <c r="D546" s="1002"/>
      <c r="E546" s="476"/>
      <c r="F546" s="1002"/>
      <c r="G546" s="1003"/>
      <c r="H546" s="1002"/>
      <c r="I546" s="1002"/>
      <c r="J546" s="1002"/>
      <c r="K546" s="1002"/>
      <c r="L546" s="1002"/>
      <c r="M546" s="1002"/>
      <c r="N546" s="1002"/>
      <c r="O546" s="476"/>
      <c r="P546" s="1002"/>
      <c r="Q546" s="476"/>
      <c r="R546" s="1002"/>
      <c r="S546" s="1002"/>
      <c r="T546" s="476"/>
      <c r="U546" s="476"/>
      <c r="V546" s="1002"/>
      <c r="W546" s="476"/>
      <c r="X546" s="476"/>
      <c r="Y546" s="476"/>
      <c r="Z546" s="476"/>
      <c r="AA546" s="476"/>
    </row>
    <row r="547" spans="1:27" ht="15" customHeight="1">
      <c r="A547" s="476"/>
      <c r="B547" s="476"/>
      <c r="C547" s="1001"/>
      <c r="D547" s="1002"/>
      <c r="E547" s="476"/>
      <c r="F547" s="1002"/>
      <c r="G547" s="1003"/>
      <c r="H547" s="1002"/>
      <c r="I547" s="1002"/>
      <c r="J547" s="1002"/>
      <c r="K547" s="1002"/>
      <c r="L547" s="1002"/>
      <c r="M547" s="1002"/>
      <c r="N547" s="1002"/>
      <c r="O547" s="476"/>
      <c r="P547" s="1002"/>
      <c r="Q547" s="476"/>
      <c r="R547" s="1002"/>
      <c r="S547" s="1002"/>
      <c r="T547" s="476"/>
      <c r="U547" s="476"/>
      <c r="V547" s="1002"/>
      <c r="W547" s="476"/>
      <c r="X547" s="476"/>
      <c r="Y547" s="476"/>
      <c r="Z547" s="476"/>
      <c r="AA547" s="476"/>
    </row>
    <row r="548" spans="1:27" ht="15" customHeight="1">
      <c r="A548" s="476"/>
      <c r="B548" s="476"/>
      <c r="C548" s="1001"/>
      <c r="D548" s="1002"/>
      <c r="E548" s="476"/>
      <c r="F548" s="1002"/>
      <c r="G548" s="1003"/>
      <c r="H548" s="1002"/>
      <c r="I548" s="1002"/>
      <c r="J548" s="1002"/>
      <c r="K548" s="1002"/>
      <c r="L548" s="1002"/>
      <c r="M548" s="1002"/>
      <c r="N548" s="1002"/>
      <c r="O548" s="476"/>
      <c r="P548" s="1002"/>
      <c r="Q548" s="476"/>
      <c r="R548" s="1002"/>
      <c r="S548" s="1002"/>
      <c r="T548" s="476"/>
      <c r="U548" s="476"/>
      <c r="V548" s="1002"/>
      <c r="W548" s="476"/>
      <c r="X548" s="476"/>
      <c r="Y548" s="476"/>
      <c r="Z548" s="476"/>
      <c r="AA548" s="476"/>
    </row>
    <row r="549" spans="1:27" ht="15" customHeight="1">
      <c r="A549" s="476"/>
      <c r="B549" s="476"/>
      <c r="C549" s="1001"/>
      <c r="D549" s="1002"/>
      <c r="E549" s="476"/>
      <c r="F549" s="1002"/>
      <c r="G549" s="1003"/>
      <c r="H549" s="1002"/>
      <c r="I549" s="1002"/>
      <c r="J549" s="1002"/>
      <c r="K549" s="1002"/>
      <c r="L549" s="1002"/>
      <c r="M549" s="1002"/>
      <c r="N549" s="1002"/>
      <c r="O549" s="476"/>
      <c r="P549" s="1002"/>
      <c r="Q549" s="476"/>
      <c r="R549" s="1002"/>
      <c r="S549" s="1002"/>
      <c r="T549" s="476"/>
      <c r="U549" s="476"/>
      <c r="V549" s="1002"/>
      <c r="W549" s="476"/>
      <c r="X549" s="476"/>
      <c r="Y549" s="476"/>
      <c r="Z549" s="476"/>
      <c r="AA549" s="476"/>
    </row>
    <row r="550" spans="1:27" ht="15" customHeight="1">
      <c r="A550" s="476"/>
      <c r="B550" s="476"/>
      <c r="C550" s="1001"/>
      <c r="D550" s="1002"/>
      <c r="E550" s="476"/>
      <c r="F550" s="1002"/>
      <c r="G550" s="1003"/>
      <c r="H550" s="1002"/>
      <c r="I550" s="1002"/>
      <c r="J550" s="1002"/>
      <c r="K550" s="1002"/>
      <c r="L550" s="1002"/>
      <c r="M550" s="1002"/>
      <c r="N550" s="1002"/>
      <c r="O550" s="476"/>
      <c r="P550" s="1002"/>
      <c r="Q550" s="476"/>
      <c r="R550" s="1002"/>
      <c r="S550" s="1002"/>
      <c r="T550" s="476"/>
      <c r="U550" s="476"/>
      <c r="V550" s="1002"/>
      <c r="W550" s="476"/>
      <c r="X550" s="476"/>
      <c r="Y550" s="476"/>
      <c r="Z550" s="476"/>
      <c r="AA550" s="476"/>
    </row>
    <row r="551" spans="1:27" ht="15" customHeight="1">
      <c r="A551" s="476"/>
      <c r="B551" s="476"/>
      <c r="C551" s="1001"/>
      <c r="D551" s="1002"/>
      <c r="E551" s="476"/>
      <c r="F551" s="1002"/>
      <c r="G551" s="1003"/>
      <c r="H551" s="1002"/>
      <c r="I551" s="1002"/>
      <c r="J551" s="1002"/>
      <c r="K551" s="1002"/>
      <c r="L551" s="1002"/>
      <c r="M551" s="1002"/>
      <c r="N551" s="1002"/>
      <c r="O551" s="476"/>
      <c r="P551" s="1002"/>
      <c r="Q551" s="476"/>
      <c r="R551" s="1002"/>
      <c r="S551" s="1002"/>
      <c r="T551" s="476"/>
      <c r="U551" s="476"/>
      <c r="V551" s="1002"/>
      <c r="W551" s="476"/>
      <c r="X551" s="476"/>
      <c r="Y551" s="476"/>
      <c r="Z551" s="476"/>
      <c r="AA551" s="476"/>
    </row>
    <row r="552" spans="1:27" ht="15" customHeight="1">
      <c r="A552" s="476"/>
      <c r="B552" s="476"/>
      <c r="C552" s="1001"/>
      <c r="D552" s="1002"/>
      <c r="E552" s="476"/>
      <c r="F552" s="1002"/>
      <c r="G552" s="1003"/>
      <c r="H552" s="1002"/>
      <c r="I552" s="1002"/>
      <c r="J552" s="1002"/>
      <c r="K552" s="1002"/>
      <c r="L552" s="1002"/>
      <c r="M552" s="1002"/>
      <c r="N552" s="1002"/>
      <c r="O552" s="476"/>
      <c r="P552" s="1002"/>
      <c r="Q552" s="476"/>
      <c r="R552" s="1002"/>
      <c r="S552" s="1002"/>
      <c r="T552" s="476"/>
      <c r="U552" s="476"/>
      <c r="V552" s="1002"/>
      <c r="W552" s="476"/>
      <c r="X552" s="476"/>
      <c r="Y552" s="476"/>
      <c r="Z552" s="476"/>
      <c r="AA552" s="476"/>
    </row>
    <row r="553" spans="1:27" ht="15" customHeight="1">
      <c r="A553" s="476"/>
      <c r="B553" s="476"/>
      <c r="C553" s="1001"/>
      <c r="D553" s="1002"/>
      <c r="E553" s="476"/>
      <c r="F553" s="1002"/>
      <c r="G553" s="1003"/>
      <c r="H553" s="1002"/>
      <c r="I553" s="1002"/>
      <c r="J553" s="1002"/>
      <c r="K553" s="1002"/>
      <c r="L553" s="1002"/>
      <c r="M553" s="1002"/>
      <c r="N553" s="1002"/>
      <c r="O553" s="476"/>
      <c r="P553" s="1002"/>
      <c r="Q553" s="476"/>
      <c r="R553" s="1002"/>
      <c r="S553" s="1002"/>
      <c r="T553" s="476"/>
      <c r="U553" s="476"/>
      <c r="V553" s="1002"/>
      <c r="W553" s="476"/>
      <c r="X553" s="476"/>
      <c r="Y553" s="476"/>
      <c r="Z553" s="476"/>
      <c r="AA553" s="476"/>
    </row>
    <row r="554" spans="1:27" ht="15" customHeight="1">
      <c r="A554" s="476"/>
      <c r="B554" s="476"/>
      <c r="C554" s="1001"/>
      <c r="D554" s="1002"/>
      <c r="E554" s="476"/>
      <c r="F554" s="1002"/>
      <c r="G554" s="1003"/>
      <c r="H554" s="1002"/>
      <c r="I554" s="1002"/>
      <c r="J554" s="1002"/>
      <c r="K554" s="1002"/>
      <c r="L554" s="1002"/>
      <c r="M554" s="1002"/>
      <c r="N554" s="1002"/>
      <c r="O554" s="476"/>
      <c r="P554" s="1002"/>
      <c r="Q554" s="476"/>
      <c r="R554" s="1002"/>
      <c r="S554" s="1002"/>
      <c r="T554" s="476"/>
      <c r="U554" s="476"/>
      <c r="V554" s="1002"/>
      <c r="W554" s="476"/>
      <c r="X554" s="476"/>
      <c r="Y554" s="476"/>
      <c r="Z554" s="476"/>
      <c r="AA554" s="476"/>
    </row>
    <row r="555" spans="1:27" ht="15" customHeight="1">
      <c r="A555" s="476"/>
      <c r="B555" s="476"/>
      <c r="C555" s="1001"/>
      <c r="D555" s="1002"/>
      <c r="E555" s="476"/>
      <c r="F555" s="1002"/>
      <c r="G555" s="1003"/>
      <c r="H555" s="1002"/>
      <c r="I555" s="1002"/>
      <c r="J555" s="1002"/>
      <c r="K555" s="1002"/>
      <c r="L555" s="1002"/>
      <c r="M555" s="1002"/>
      <c r="N555" s="1002"/>
      <c r="O555" s="476"/>
      <c r="P555" s="1002"/>
      <c r="Q555" s="476"/>
      <c r="R555" s="1002"/>
      <c r="S555" s="1002"/>
      <c r="T555" s="476"/>
      <c r="U555" s="476"/>
      <c r="V555" s="1002"/>
      <c r="W555" s="476"/>
      <c r="X555" s="476"/>
      <c r="Y555" s="476"/>
      <c r="Z555" s="476"/>
      <c r="AA555" s="476"/>
    </row>
    <row r="556" spans="1:27" ht="15" customHeight="1">
      <c r="A556" s="476"/>
      <c r="B556" s="476"/>
      <c r="C556" s="1001"/>
      <c r="D556" s="1002"/>
      <c r="E556" s="476"/>
      <c r="F556" s="1002"/>
      <c r="G556" s="1003"/>
      <c r="H556" s="1002"/>
      <c r="I556" s="1002"/>
      <c r="J556" s="1002"/>
      <c r="K556" s="1002"/>
      <c r="L556" s="1002"/>
      <c r="M556" s="1002"/>
      <c r="N556" s="1002"/>
      <c r="O556" s="476"/>
      <c r="P556" s="1002"/>
      <c r="Q556" s="476"/>
      <c r="R556" s="1002"/>
      <c r="S556" s="1002"/>
      <c r="T556" s="476"/>
      <c r="U556" s="476"/>
      <c r="V556" s="1002"/>
      <c r="W556" s="476"/>
      <c r="X556" s="476"/>
      <c r="Y556" s="476"/>
      <c r="Z556" s="476"/>
      <c r="AA556" s="476"/>
    </row>
    <row r="557" spans="1:27" ht="15" customHeight="1">
      <c r="A557" s="476"/>
      <c r="B557" s="476"/>
      <c r="C557" s="1001"/>
      <c r="D557" s="1002"/>
      <c r="E557" s="476"/>
      <c r="F557" s="1002"/>
      <c r="G557" s="1003"/>
      <c r="H557" s="1002"/>
      <c r="I557" s="1002"/>
      <c r="J557" s="1002"/>
      <c r="K557" s="1002"/>
      <c r="L557" s="1002"/>
      <c r="M557" s="1002"/>
      <c r="N557" s="1002"/>
      <c r="O557" s="476"/>
      <c r="P557" s="1002"/>
      <c r="Q557" s="476"/>
      <c r="R557" s="1002"/>
      <c r="S557" s="1002"/>
      <c r="T557" s="476"/>
      <c r="U557" s="476"/>
      <c r="V557" s="1002"/>
      <c r="W557" s="476"/>
      <c r="X557" s="476"/>
      <c r="Y557" s="476"/>
      <c r="Z557" s="476"/>
      <c r="AA557" s="476"/>
    </row>
    <row r="558" spans="1:27" ht="15" customHeight="1">
      <c r="A558" s="476"/>
      <c r="B558" s="476"/>
      <c r="C558" s="1001"/>
      <c r="D558" s="1002"/>
      <c r="E558" s="476"/>
      <c r="F558" s="1002"/>
      <c r="G558" s="1003"/>
      <c r="H558" s="1002"/>
      <c r="I558" s="1002"/>
      <c r="J558" s="1002"/>
      <c r="K558" s="1002"/>
      <c r="L558" s="1002"/>
      <c r="M558" s="1002"/>
      <c r="N558" s="1002"/>
      <c r="O558" s="476"/>
      <c r="P558" s="1002"/>
      <c r="Q558" s="476"/>
      <c r="R558" s="1002"/>
      <c r="S558" s="1002"/>
      <c r="T558" s="476"/>
      <c r="U558" s="476"/>
      <c r="V558" s="1002"/>
      <c r="W558" s="476"/>
      <c r="X558" s="476"/>
      <c r="Y558" s="476"/>
      <c r="Z558" s="476"/>
      <c r="AA558" s="476"/>
    </row>
    <row r="559" spans="1:27" ht="15" customHeight="1">
      <c r="A559" s="476"/>
      <c r="B559" s="476"/>
      <c r="C559" s="1001"/>
      <c r="D559" s="1002"/>
      <c r="E559" s="476"/>
      <c r="F559" s="1002"/>
      <c r="G559" s="1003"/>
      <c r="H559" s="1002"/>
      <c r="I559" s="1002"/>
      <c r="J559" s="1002"/>
      <c r="K559" s="1002"/>
      <c r="L559" s="1002"/>
      <c r="M559" s="1002"/>
      <c r="N559" s="1002"/>
      <c r="O559" s="476"/>
      <c r="P559" s="1002"/>
      <c r="Q559" s="476"/>
      <c r="R559" s="1002"/>
      <c r="S559" s="1002"/>
      <c r="T559" s="476"/>
      <c r="U559" s="476"/>
      <c r="V559" s="1002"/>
      <c r="W559" s="476"/>
      <c r="X559" s="476"/>
      <c r="Y559" s="476"/>
      <c r="Z559" s="476"/>
      <c r="AA559" s="476"/>
    </row>
    <row r="560" spans="1:27" ht="15" customHeight="1">
      <c r="A560" s="476"/>
      <c r="B560" s="476"/>
      <c r="C560" s="1001"/>
      <c r="D560" s="1002"/>
      <c r="E560" s="476"/>
      <c r="F560" s="1002"/>
      <c r="G560" s="1003"/>
      <c r="H560" s="1002"/>
      <c r="I560" s="1002"/>
      <c r="J560" s="1002"/>
      <c r="K560" s="1002"/>
      <c r="L560" s="1002"/>
      <c r="M560" s="1002"/>
      <c r="N560" s="1002"/>
      <c r="O560" s="476"/>
      <c r="P560" s="1002"/>
      <c r="Q560" s="476"/>
      <c r="R560" s="1002"/>
      <c r="S560" s="1002"/>
      <c r="T560" s="476"/>
      <c r="U560" s="476"/>
      <c r="V560" s="1002"/>
      <c r="W560" s="476"/>
      <c r="X560" s="476"/>
      <c r="Y560" s="476"/>
      <c r="Z560" s="476"/>
      <c r="AA560" s="476"/>
    </row>
    <row r="561" spans="1:27" ht="15" customHeight="1">
      <c r="A561" s="476"/>
      <c r="B561" s="476"/>
      <c r="C561" s="1001"/>
      <c r="D561" s="1002"/>
      <c r="E561" s="476"/>
      <c r="F561" s="1002"/>
      <c r="G561" s="1003"/>
      <c r="H561" s="1002"/>
      <c r="I561" s="1002"/>
      <c r="J561" s="1002"/>
      <c r="K561" s="1002"/>
      <c r="L561" s="1002"/>
      <c r="M561" s="1002"/>
      <c r="N561" s="1002"/>
      <c r="O561" s="476"/>
      <c r="P561" s="1002"/>
      <c r="Q561" s="476"/>
      <c r="R561" s="1002"/>
      <c r="S561" s="1002"/>
      <c r="T561" s="476"/>
      <c r="U561" s="476"/>
      <c r="V561" s="1002"/>
      <c r="W561" s="476"/>
      <c r="X561" s="476"/>
      <c r="Y561" s="476"/>
      <c r="Z561" s="476"/>
      <c r="AA561" s="476"/>
    </row>
    <row r="562" spans="1:27" ht="15" customHeight="1">
      <c r="A562" s="476"/>
      <c r="B562" s="476"/>
      <c r="C562" s="1001"/>
      <c r="D562" s="1002"/>
      <c r="E562" s="476"/>
      <c r="F562" s="1002"/>
      <c r="G562" s="1003"/>
      <c r="H562" s="1002"/>
      <c r="I562" s="1002"/>
      <c r="J562" s="1002"/>
      <c r="K562" s="1002"/>
      <c r="L562" s="1002"/>
      <c r="M562" s="1002"/>
      <c r="N562" s="1002"/>
      <c r="O562" s="476"/>
      <c r="P562" s="1002"/>
      <c r="Q562" s="476"/>
      <c r="R562" s="1002"/>
      <c r="S562" s="1002"/>
      <c r="T562" s="476"/>
      <c r="U562" s="476"/>
      <c r="V562" s="1002"/>
      <c r="W562" s="476"/>
      <c r="X562" s="476"/>
      <c r="Y562" s="476"/>
      <c r="Z562" s="476"/>
      <c r="AA562" s="476"/>
    </row>
    <row r="563" spans="1:27" ht="15" customHeight="1">
      <c r="A563" s="476"/>
      <c r="B563" s="476"/>
      <c r="C563" s="1001"/>
      <c r="D563" s="1002"/>
      <c r="E563" s="476"/>
      <c r="F563" s="1002"/>
      <c r="G563" s="1003"/>
      <c r="H563" s="1002"/>
      <c r="I563" s="1002"/>
      <c r="J563" s="1002"/>
      <c r="K563" s="1002"/>
      <c r="L563" s="1002"/>
      <c r="M563" s="1002"/>
      <c r="N563" s="1002"/>
      <c r="O563" s="476"/>
      <c r="P563" s="1002"/>
      <c r="Q563" s="476"/>
      <c r="R563" s="1002"/>
      <c r="S563" s="1002"/>
      <c r="T563" s="476"/>
      <c r="U563" s="476"/>
      <c r="V563" s="1002"/>
      <c r="W563" s="476"/>
      <c r="X563" s="476"/>
      <c r="Y563" s="476"/>
      <c r="Z563" s="476"/>
      <c r="AA563" s="476"/>
    </row>
    <row r="564" spans="1:27" ht="15" customHeight="1">
      <c r="A564" s="476"/>
      <c r="B564" s="476"/>
      <c r="C564" s="1001"/>
      <c r="D564" s="1002"/>
      <c r="E564" s="476"/>
      <c r="F564" s="1002"/>
      <c r="G564" s="1003"/>
      <c r="H564" s="1002"/>
      <c r="I564" s="1002"/>
      <c r="J564" s="1002"/>
      <c r="K564" s="1002"/>
      <c r="L564" s="1002"/>
      <c r="M564" s="1002"/>
      <c r="N564" s="1002"/>
      <c r="O564" s="476"/>
      <c r="P564" s="1002"/>
      <c r="Q564" s="476"/>
      <c r="R564" s="1002"/>
      <c r="S564" s="1002"/>
      <c r="T564" s="476"/>
      <c r="U564" s="476"/>
      <c r="V564" s="1002"/>
      <c r="W564" s="476"/>
      <c r="X564" s="476"/>
      <c r="Y564" s="476"/>
      <c r="Z564" s="476"/>
      <c r="AA564" s="476"/>
    </row>
    <row r="565" spans="1:27" ht="15" customHeight="1">
      <c r="A565" s="476"/>
      <c r="B565" s="476"/>
      <c r="C565" s="1001"/>
      <c r="D565" s="1002"/>
      <c r="E565" s="476"/>
      <c r="F565" s="1002"/>
      <c r="G565" s="1003"/>
      <c r="H565" s="1002"/>
      <c r="I565" s="1002"/>
      <c r="J565" s="1002"/>
      <c r="K565" s="1002"/>
      <c r="L565" s="1002"/>
      <c r="M565" s="1002"/>
      <c r="N565" s="1002"/>
      <c r="O565" s="476"/>
      <c r="P565" s="1002"/>
      <c r="Q565" s="476"/>
      <c r="R565" s="1002"/>
      <c r="S565" s="1002"/>
      <c r="T565" s="476"/>
      <c r="U565" s="476"/>
      <c r="V565" s="1002"/>
      <c r="W565" s="476"/>
      <c r="X565" s="476"/>
      <c r="Y565" s="476"/>
      <c r="Z565" s="476"/>
      <c r="AA565" s="476"/>
    </row>
    <row r="566" spans="1:27" ht="15" customHeight="1">
      <c r="A566" s="476"/>
      <c r="B566" s="476"/>
      <c r="C566" s="1001"/>
      <c r="D566" s="1002"/>
      <c r="E566" s="476"/>
      <c r="F566" s="1002"/>
      <c r="G566" s="1003"/>
      <c r="H566" s="1002"/>
      <c r="I566" s="1002"/>
      <c r="J566" s="1002"/>
      <c r="K566" s="1002"/>
      <c r="L566" s="1002"/>
      <c r="M566" s="1002"/>
      <c r="N566" s="1002"/>
      <c r="O566" s="476"/>
      <c r="P566" s="1002"/>
      <c r="Q566" s="476"/>
      <c r="R566" s="1002"/>
      <c r="S566" s="1002"/>
      <c r="T566" s="476"/>
      <c r="U566" s="476"/>
      <c r="V566" s="1002"/>
      <c r="W566" s="476"/>
      <c r="X566" s="476"/>
      <c r="Y566" s="476"/>
      <c r="Z566" s="476"/>
      <c r="AA566" s="476"/>
    </row>
    <row r="567" spans="1:27" ht="15" customHeight="1">
      <c r="A567" s="476"/>
      <c r="B567" s="476"/>
      <c r="C567" s="1001"/>
      <c r="D567" s="1002"/>
      <c r="E567" s="476"/>
      <c r="F567" s="1002"/>
      <c r="G567" s="1003"/>
      <c r="H567" s="1002"/>
      <c r="I567" s="1002"/>
      <c r="J567" s="1002"/>
      <c r="K567" s="1002"/>
      <c r="L567" s="1002"/>
      <c r="M567" s="1002"/>
      <c r="N567" s="1002"/>
      <c r="O567" s="476"/>
      <c r="P567" s="1002"/>
      <c r="Q567" s="476"/>
      <c r="R567" s="1002"/>
      <c r="S567" s="1002"/>
      <c r="T567" s="476"/>
      <c r="U567" s="476"/>
      <c r="V567" s="1002"/>
      <c r="W567" s="476"/>
      <c r="X567" s="476"/>
      <c r="Y567" s="476"/>
      <c r="Z567" s="476"/>
      <c r="AA567" s="476"/>
    </row>
    <row r="568" spans="1:27" ht="15" customHeight="1">
      <c r="A568" s="476"/>
      <c r="B568" s="476"/>
      <c r="C568" s="1001"/>
      <c r="D568" s="1002"/>
      <c r="E568" s="476"/>
      <c r="F568" s="1002"/>
      <c r="G568" s="1003"/>
      <c r="H568" s="1002"/>
      <c r="I568" s="1002"/>
      <c r="J568" s="1002"/>
      <c r="K568" s="1002"/>
      <c r="L568" s="1002"/>
      <c r="M568" s="1002"/>
      <c r="N568" s="1002"/>
      <c r="O568" s="476"/>
      <c r="P568" s="1002"/>
      <c r="Q568" s="476"/>
      <c r="R568" s="1002"/>
      <c r="S568" s="1002"/>
      <c r="T568" s="476"/>
      <c r="U568" s="476"/>
      <c r="V568" s="1002"/>
      <c r="W568" s="476"/>
      <c r="X568" s="476"/>
      <c r="Y568" s="476"/>
      <c r="Z568" s="476"/>
      <c r="AA568" s="476"/>
    </row>
    <row r="569" spans="1:27" ht="15" customHeight="1">
      <c r="A569" s="476"/>
      <c r="B569" s="476"/>
      <c r="C569" s="1001"/>
      <c r="D569" s="1002"/>
      <c r="E569" s="476"/>
      <c r="F569" s="1002"/>
      <c r="G569" s="1003"/>
      <c r="H569" s="1002"/>
      <c r="I569" s="1002"/>
      <c r="J569" s="1002"/>
      <c r="K569" s="1002"/>
      <c r="L569" s="1002"/>
      <c r="M569" s="1002"/>
      <c r="N569" s="1002"/>
      <c r="O569" s="476"/>
      <c r="P569" s="1002"/>
      <c r="Q569" s="476"/>
      <c r="R569" s="1002"/>
      <c r="S569" s="1002"/>
      <c r="T569" s="476"/>
      <c r="U569" s="476"/>
      <c r="V569" s="1002"/>
      <c r="W569" s="476"/>
      <c r="X569" s="476"/>
      <c r="Y569" s="476"/>
      <c r="Z569" s="476"/>
      <c r="AA569" s="476"/>
    </row>
    <row r="570" spans="1:27" ht="15" customHeight="1">
      <c r="A570" s="476"/>
      <c r="B570" s="476"/>
      <c r="C570" s="1001"/>
      <c r="D570" s="1002"/>
      <c r="E570" s="476"/>
      <c r="F570" s="1002"/>
      <c r="G570" s="1003"/>
      <c r="H570" s="1002"/>
      <c r="I570" s="1002"/>
      <c r="J570" s="1002"/>
      <c r="K570" s="1002"/>
      <c r="L570" s="1002"/>
      <c r="M570" s="1002"/>
      <c r="N570" s="1002"/>
      <c r="O570" s="476"/>
      <c r="P570" s="1002"/>
      <c r="Q570" s="476"/>
      <c r="R570" s="1002"/>
      <c r="S570" s="1002"/>
      <c r="T570" s="476"/>
      <c r="U570" s="476"/>
      <c r="V570" s="1002"/>
      <c r="W570" s="476"/>
      <c r="X570" s="476"/>
      <c r="Y570" s="476"/>
      <c r="Z570" s="476"/>
      <c r="AA570" s="476"/>
    </row>
    <row r="571" spans="1:27" ht="15" customHeight="1">
      <c r="A571" s="476"/>
      <c r="B571" s="476"/>
      <c r="C571" s="1001"/>
      <c r="D571" s="1002"/>
      <c r="E571" s="476"/>
      <c r="F571" s="1002"/>
      <c r="G571" s="1003"/>
      <c r="H571" s="1002"/>
      <c r="I571" s="1002"/>
      <c r="J571" s="1002"/>
      <c r="K571" s="1002"/>
      <c r="L571" s="1002"/>
      <c r="M571" s="1002"/>
      <c r="N571" s="1002"/>
      <c r="O571" s="476"/>
      <c r="P571" s="1002"/>
      <c r="Q571" s="476"/>
      <c r="R571" s="1002"/>
      <c r="S571" s="1002"/>
      <c r="T571" s="476"/>
      <c r="U571" s="476"/>
      <c r="V571" s="1002"/>
      <c r="W571" s="476"/>
      <c r="X571" s="476"/>
      <c r="Y571" s="476"/>
      <c r="Z571" s="476"/>
      <c r="AA571" s="476"/>
    </row>
    <row r="572" spans="1:27" ht="15" customHeight="1">
      <c r="A572" s="476"/>
      <c r="B572" s="476"/>
      <c r="C572" s="1001"/>
      <c r="D572" s="1002"/>
      <c r="E572" s="476"/>
      <c r="F572" s="1002"/>
      <c r="G572" s="1003"/>
      <c r="H572" s="1002"/>
      <c r="I572" s="1002"/>
      <c r="J572" s="1002"/>
      <c r="K572" s="1002"/>
      <c r="L572" s="1002"/>
      <c r="M572" s="1002"/>
      <c r="N572" s="1002"/>
      <c r="O572" s="476"/>
      <c r="P572" s="1002"/>
      <c r="Q572" s="476"/>
      <c r="R572" s="1002"/>
      <c r="S572" s="1002"/>
      <c r="T572" s="476"/>
      <c r="U572" s="476"/>
      <c r="V572" s="1002"/>
      <c r="W572" s="476"/>
      <c r="X572" s="476"/>
      <c r="Y572" s="476"/>
      <c r="Z572" s="476"/>
      <c r="AA572" s="476"/>
    </row>
    <row r="573" spans="1:27" ht="15" customHeight="1">
      <c r="A573" s="476"/>
      <c r="B573" s="476"/>
      <c r="C573" s="1001"/>
      <c r="D573" s="1002"/>
      <c r="E573" s="476"/>
      <c r="F573" s="1002"/>
      <c r="G573" s="1003"/>
      <c r="H573" s="1002"/>
      <c r="I573" s="1002"/>
      <c r="J573" s="1002"/>
      <c r="K573" s="1002"/>
      <c r="L573" s="1002"/>
      <c r="M573" s="1002"/>
      <c r="N573" s="1002"/>
      <c r="O573" s="476"/>
      <c r="P573" s="1002"/>
      <c r="Q573" s="476"/>
      <c r="R573" s="1002"/>
      <c r="S573" s="1002"/>
      <c r="T573" s="476"/>
      <c r="U573" s="476"/>
      <c r="V573" s="1002"/>
      <c r="W573" s="476"/>
      <c r="X573" s="476"/>
      <c r="Y573" s="476"/>
      <c r="Z573" s="476"/>
      <c r="AA573" s="476"/>
    </row>
    <row r="574" spans="1:27" ht="15" customHeight="1">
      <c r="A574" s="476"/>
      <c r="B574" s="476"/>
      <c r="C574" s="1001"/>
      <c r="D574" s="1002"/>
      <c r="E574" s="476"/>
      <c r="F574" s="1002"/>
      <c r="G574" s="1003"/>
      <c r="H574" s="1002"/>
      <c r="I574" s="1002"/>
      <c r="J574" s="1002"/>
      <c r="K574" s="1002"/>
      <c r="L574" s="1002"/>
      <c r="M574" s="1002"/>
      <c r="N574" s="1002"/>
      <c r="O574" s="476"/>
      <c r="P574" s="1002"/>
      <c r="Q574" s="476"/>
      <c r="R574" s="1002"/>
      <c r="S574" s="1002"/>
      <c r="T574" s="476"/>
      <c r="U574" s="476"/>
      <c r="V574" s="1002"/>
      <c r="W574" s="476"/>
      <c r="X574" s="476"/>
      <c r="Y574" s="476"/>
      <c r="Z574" s="476"/>
      <c r="AA574" s="476"/>
    </row>
    <row r="575" spans="1:27" ht="15" customHeight="1">
      <c r="A575" s="476"/>
      <c r="B575" s="476"/>
      <c r="C575" s="1001"/>
      <c r="D575" s="1002"/>
      <c r="E575" s="476"/>
      <c r="F575" s="1002"/>
      <c r="G575" s="1003"/>
      <c r="H575" s="1002"/>
      <c r="I575" s="1002"/>
      <c r="J575" s="1002"/>
      <c r="K575" s="1002"/>
      <c r="L575" s="1002"/>
      <c r="M575" s="1002"/>
      <c r="N575" s="1002"/>
      <c r="O575" s="476"/>
      <c r="P575" s="1002"/>
      <c r="Q575" s="476"/>
      <c r="R575" s="1002"/>
      <c r="S575" s="1002"/>
      <c r="T575" s="476"/>
      <c r="U575" s="476"/>
      <c r="V575" s="1002"/>
      <c r="W575" s="476"/>
      <c r="X575" s="476"/>
      <c r="Y575" s="476"/>
      <c r="Z575" s="476"/>
      <c r="AA575" s="476"/>
    </row>
    <row r="576" spans="1:27" ht="15" customHeight="1">
      <c r="A576" s="476"/>
      <c r="B576" s="476"/>
      <c r="C576" s="1001"/>
      <c r="D576" s="1002"/>
      <c r="E576" s="476"/>
      <c r="F576" s="1002"/>
      <c r="G576" s="1003"/>
      <c r="H576" s="1002"/>
      <c r="I576" s="1002"/>
      <c r="J576" s="1002"/>
      <c r="K576" s="1002"/>
      <c r="L576" s="1002"/>
      <c r="M576" s="1002"/>
      <c r="N576" s="1002"/>
      <c r="O576" s="476"/>
      <c r="P576" s="1002"/>
      <c r="Q576" s="476"/>
      <c r="R576" s="1002"/>
      <c r="S576" s="1002"/>
      <c r="T576" s="476"/>
      <c r="U576" s="476"/>
      <c r="V576" s="1002"/>
      <c r="W576" s="476"/>
      <c r="X576" s="476"/>
      <c r="Y576" s="476"/>
      <c r="Z576" s="476"/>
      <c r="AA576" s="476"/>
    </row>
    <row r="577" spans="1:27" ht="15" customHeight="1">
      <c r="A577" s="476"/>
      <c r="B577" s="476"/>
      <c r="C577" s="1001"/>
      <c r="D577" s="1002"/>
      <c r="E577" s="476"/>
      <c r="F577" s="1002"/>
      <c r="G577" s="1003"/>
      <c r="H577" s="1002"/>
      <c r="I577" s="1002"/>
      <c r="J577" s="1002"/>
      <c r="K577" s="1002"/>
      <c r="L577" s="1002"/>
      <c r="M577" s="1002"/>
      <c r="N577" s="1002"/>
      <c r="O577" s="476"/>
      <c r="P577" s="1002"/>
      <c r="Q577" s="476"/>
      <c r="R577" s="1002"/>
      <c r="S577" s="1002"/>
      <c r="T577" s="476"/>
      <c r="U577" s="476"/>
      <c r="V577" s="1002"/>
      <c r="W577" s="476"/>
      <c r="X577" s="476"/>
      <c r="Y577" s="476"/>
      <c r="Z577" s="476"/>
      <c r="AA577" s="476"/>
    </row>
    <row r="578" spans="1:27" ht="15" customHeight="1">
      <c r="A578" s="476"/>
      <c r="B578" s="476"/>
      <c r="C578" s="1001"/>
      <c r="D578" s="1002"/>
      <c r="E578" s="476"/>
      <c r="F578" s="1002"/>
      <c r="G578" s="1003"/>
      <c r="H578" s="1002"/>
      <c r="I578" s="1002"/>
      <c r="J578" s="1002"/>
      <c r="K578" s="1002"/>
      <c r="L578" s="1002"/>
      <c r="M578" s="1002"/>
      <c r="N578" s="1002"/>
      <c r="O578" s="476"/>
      <c r="P578" s="1002"/>
      <c r="Q578" s="476"/>
      <c r="R578" s="1002"/>
      <c r="S578" s="1002"/>
      <c r="T578" s="476"/>
      <c r="U578" s="476"/>
      <c r="V578" s="1002"/>
      <c r="W578" s="476"/>
      <c r="X578" s="476"/>
      <c r="Y578" s="476"/>
      <c r="Z578" s="476"/>
      <c r="AA578" s="476"/>
    </row>
    <row r="579" spans="1:27" ht="15" customHeight="1">
      <c r="A579" s="476"/>
      <c r="B579" s="476"/>
      <c r="C579" s="1001"/>
      <c r="D579" s="1002"/>
      <c r="E579" s="476"/>
      <c r="F579" s="1002"/>
      <c r="G579" s="1003"/>
      <c r="H579" s="1002"/>
      <c r="I579" s="1002"/>
      <c r="J579" s="1002"/>
      <c r="K579" s="1002"/>
      <c r="L579" s="1002"/>
      <c r="M579" s="1002"/>
      <c r="N579" s="1002"/>
      <c r="O579" s="476"/>
      <c r="P579" s="1002"/>
      <c r="Q579" s="476"/>
      <c r="R579" s="1002"/>
      <c r="S579" s="1002"/>
      <c r="T579" s="476"/>
      <c r="U579" s="476"/>
      <c r="V579" s="1002"/>
      <c r="W579" s="476"/>
      <c r="X579" s="476"/>
      <c r="Y579" s="476"/>
      <c r="Z579" s="476"/>
      <c r="AA579" s="476"/>
    </row>
    <row r="580" spans="1:27" ht="15" customHeight="1">
      <c r="A580" s="476"/>
      <c r="B580" s="476"/>
      <c r="C580" s="1001"/>
      <c r="D580" s="1002"/>
      <c r="E580" s="476"/>
      <c r="F580" s="1002"/>
      <c r="G580" s="1003"/>
      <c r="H580" s="1002"/>
      <c r="I580" s="1002"/>
      <c r="J580" s="1002"/>
      <c r="K580" s="1002"/>
      <c r="L580" s="1002"/>
      <c r="M580" s="1002"/>
      <c r="N580" s="1002"/>
      <c r="O580" s="476"/>
      <c r="P580" s="1002"/>
      <c r="Q580" s="476"/>
      <c r="R580" s="1002"/>
      <c r="S580" s="1002"/>
      <c r="T580" s="476"/>
      <c r="U580" s="476"/>
      <c r="V580" s="1002"/>
      <c r="W580" s="476"/>
      <c r="X580" s="476"/>
      <c r="Y580" s="476"/>
      <c r="Z580" s="476"/>
      <c r="AA580" s="476"/>
    </row>
    <row r="581" spans="1:27" ht="15" customHeight="1">
      <c r="A581" s="476"/>
      <c r="B581" s="476"/>
      <c r="C581" s="1001"/>
      <c r="D581" s="1002"/>
      <c r="E581" s="476"/>
      <c r="F581" s="1002"/>
      <c r="G581" s="1003"/>
      <c r="H581" s="1002"/>
      <c r="I581" s="1002"/>
      <c r="J581" s="1002"/>
      <c r="K581" s="1002"/>
      <c r="L581" s="1002"/>
      <c r="M581" s="1002"/>
      <c r="N581" s="1002"/>
      <c r="O581" s="476"/>
      <c r="P581" s="1002"/>
      <c r="Q581" s="476"/>
      <c r="R581" s="1002"/>
      <c r="S581" s="1002"/>
      <c r="T581" s="476"/>
      <c r="U581" s="476"/>
      <c r="V581" s="1002"/>
      <c r="W581" s="476"/>
      <c r="X581" s="476"/>
      <c r="Y581" s="476"/>
      <c r="Z581" s="476"/>
      <c r="AA581" s="476"/>
    </row>
    <row r="582" spans="1:27" ht="15" customHeight="1">
      <c r="A582" s="476"/>
      <c r="B582" s="476"/>
      <c r="C582" s="1001"/>
      <c r="D582" s="1002"/>
      <c r="E582" s="476"/>
      <c r="F582" s="1002"/>
      <c r="G582" s="1003"/>
      <c r="H582" s="1002"/>
      <c r="I582" s="1002"/>
      <c r="J582" s="1002"/>
      <c r="K582" s="1002"/>
      <c r="L582" s="1002"/>
      <c r="M582" s="1002"/>
      <c r="N582" s="1002"/>
      <c r="O582" s="476"/>
      <c r="P582" s="1002"/>
      <c r="Q582" s="476"/>
      <c r="R582" s="1002"/>
      <c r="S582" s="1002"/>
      <c r="T582" s="476"/>
      <c r="U582" s="476"/>
      <c r="V582" s="1002"/>
      <c r="W582" s="476"/>
      <c r="X582" s="476"/>
      <c r="Y582" s="476"/>
      <c r="Z582" s="476"/>
      <c r="AA582" s="476"/>
    </row>
    <row r="583" spans="1:27" ht="15" customHeight="1">
      <c r="A583" s="476"/>
      <c r="B583" s="476"/>
      <c r="C583" s="1001"/>
      <c r="D583" s="1002"/>
      <c r="E583" s="476"/>
      <c r="F583" s="1002"/>
      <c r="G583" s="1003"/>
      <c r="H583" s="1002"/>
      <c r="I583" s="1002"/>
      <c r="J583" s="1002"/>
      <c r="K583" s="1002"/>
      <c r="L583" s="1002"/>
      <c r="M583" s="1002"/>
      <c r="N583" s="1002"/>
      <c r="O583" s="476"/>
      <c r="P583" s="1002"/>
      <c r="Q583" s="476"/>
      <c r="R583" s="1002"/>
      <c r="S583" s="1002"/>
      <c r="T583" s="476"/>
      <c r="U583" s="476"/>
      <c r="V583" s="1002"/>
      <c r="W583" s="476"/>
      <c r="X583" s="476"/>
      <c r="Y583" s="476"/>
      <c r="Z583" s="476"/>
      <c r="AA583" s="476"/>
    </row>
    <row r="584" spans="1:27" ht="15" customHeight="1">
      <c r="A584" s="476"/>
      <c r="B584" s="476"/>
      <c r="C584" s="1001"/>
      <c r="D584" s="1002"/>
      <c r="E584" s="476"/>
      <c r="F584" s="1002"/>
      <c r="G584" s="1003"/>
      <c r="H584" s="1002"/>
      <c r="I584" s="1002"/>
      <c r="J584" s="1002"/>
      <c r="K584" s="1002"/>
      <c r="L584" s="1002"/>
      <c r="M584" s="1002"/>
      <c r="N584" s="1002"/>
      <c r="O584" s="476"/>
      <c r="P584" s="1002"/>
      <c r="Q584" s="476"/>
      <c r="R584" s="1002"/>
      <c r="S584" s="1002"/>
      <c r="T584" s="476"/>
      <c r="U584" s="476"/>
      <c r="V584" s="1002"/>
      <c r="W584" s="476"/>
      <c r="X584" s="476"/>
      <c r="Y584" s="476"/>
      <c r="Z584" s="476"/>
      <c r="AA584" s="476"/>
    </row>
    <row r="585" spans="1:27" ht="15" customHeight="1">
      <c r="A585" s="476"/>
      <c r="B585" s="476"/>
      <c r="C585" s="1001"/>
      <c r="D585" s="1002"/>
      <c r="E585" s="476"/>
      <c r="F585" s="1002"/>
      <c r="G585" s="1003"/>
      <c r="H585" s="1002"/>
      <c r="I585" s="1002"/>
      <c r="J585" s="1002"/>
      <c r="K585" s="1002"/>
      <c r="L585" s="1002"/>
      <c r="M585" s="1002"/>
      <c r="N585" s="1002"/>
      <c r="O585" s="476"/>
      <c r="P585" s="1002"/>
      <c r="Q585" s="476"/>
      <c r="R585" s="1002"/>
      <c r="S585" s="1002"/>
      <c r="T585" s="476"/>
      <c r="U585" s="476"/>
      <c r="V585" s="1002"/>
      <c r="W585" s="476"/>
      <c r="X585" s="476"/>
      <c r="Y585" s="476"/>
      <c r="Z585" s="476"/>
      <c r="AA585" s="476"/>
    </row>
    <row r="586" spans="1:27" ht="15" customHeight="1">
      <c r="A586" s="476"/>
      <c r="B586" s="476"/>
      <c r="C586" s="1001"/>
      <c r="D586" s="1002"/>
      <c r="E586" s="476"/>
      <c r="F586" s="1002"/>
      <c r="G586" s="1003"/>
      <c r="H586" s="1002"/>
      <c r="I586" s="1002"/>
      <c r="J586" s="1002"/>
      <c r="K586" s="1002"/>
      <c r="L586" s="1002"/>
      <c r="M586" s="1002"/>
      <c r="N586" s="1002"/>
      <c r="O586" s="476"/>
      <c r="P586" s="1002"/>
      <c r="Q586" s="476"/>
      <c r="R586" s="1002"/>
      <c r="S586" s="1002"/>
      <c r="T586" s="476"/>
      <c r="U586" s="476"/>
      <c r="V586" s="1002"/>
      <c r="W586" s="476"/>
      <c r="X586" s="476"/>
      <c r="Y586" s="476"/>
      <c r="Z586" s="476"/>
      <c r="AA586" s="476"/>
    </row>
    <row r="587" spans="1:27" ht="15" customHeight="1">
      <c r="A587" s="476"/>
      <c r="B587" s="476"/>
      <c r="C587" s="1001"/>
      <c r="D587" s="1002"/>
      <c r="E587" s="476"/>
      <c r="F587" s="1002"/>
      <c r="G587" s="1003"/>
      <c r="H587" s="1002"/>
      <c r="I587" s="1002"/>
      <c r="J587" s="1002"/>
      <c r="K587" s="1002"/>
      <c r="L587" s="1002"/>
      <c r="M587" s="1002"/>
      <c r="N587" s="1002"/>
      <c r="O587" s="476"/>
      <c r="P587" s="1002"/>
      <c r="Q587" s="476"/>
      <c r="R587" s="1002"/>
      <c r="S587" s="1002"/>
      <c r="T587" s="476"/>
      <c r="U587" s="476"/>
      <c r="V587" s="1002"/>
      <c r="W587" s="476"/>
      <c r="X587" s="476"/>
      <c r="Y587" s="476"/>
      <c r="Z587" s="476"/>
      <c r="AA587" s="476"/>
    </row>
    <row r="588" spans="1:27" ht="15" customHeight="1">
      <c r="A588" s="476"/>
      <c r="B588" s="476"/>
      <c r="C588" s="1001"/>
      <c r="D588" s="1002"/>
      <c r="E588" s="476"/>
      <c r="F588" s="1002"/>
      <c r="G588" s="1003"/>
      <c r="H588" s="1002"/>
      <c r="I588" s="1002"/>
      <c r="J588" s="1002"/>
      <c r="K588" s="1002"/>
      <c r="L588" s="1002"/>
      <c r="M588" s="1002"/>
      <c r="N588" s="1002"/>
      <c r="O588" s="476"/>
      <c r="P588" s="1002"/>
      <c r="Q588" s="476"/>
      <c r="R588" s="1002"/>
      <c r="S588" s="1002"/>
      <c r="T588" s="476"/>
      <c r="U588" s="476"/>
      <c r="V588" s="1002"/>
      <c r="W588" s="476"/>
      <c r="X588" s="476"/>
      <c r="Y588" s="476"/>
      <c r="Z588" s="476"/>
      <c r="AA588" s="476"/>
    </row>
    <row r="589" spans="1:27" ht="15" customHeight="1">
      <c r="A589" s="476"/>
      <c r="B589" s="476"/>
      <c r="C589" s="1001"/>
      <c r="D589" s="1002"/>
      <c r="E589" s="476"/>
      <c r="F589" s="1002"/>
      <c r="G589" s="1003"/>
      <c r="H589" s="1002"/>
      <c r="I589" s="1002"/>
      <c r="J589" s="1002"/>
      <c r="K589" s="1002"/>
      <c r="L589" s="1002"/>
      <c r="M589" s="1002"/>
      <c r="N589" s="1002"/>
      <c r="O589" s="476"/>
      <c r="P589" s="1002"/>
      <c r="Q589" s="476"/>
      <c r="R589" s="1002"/>
      <c r="S589" s="1002"/>
      <c r="T589" s="476"/>
      <c r="U589" s="476"/>
      <c r="V589" s="1002"/>
      <c r="W589" s="476"/>
      <c r="X589" s="476"/>
      <c r="Y589" s="476"/>
      <c r="Z589" s="476"/>
      <c r="AA589" s="476"/>
    </row>
    <row r="590" spans="1:27" ht="15" customHeight="1">
      <c r="A590" s="476"/>
      <c r="B590" s="476"/>
      <c r="C590" s="1001"/>
      <c r="D590" s="1002"/>
      <c r="E590" s="476"/>
      <c r="F590" s="1002"/>
      <c r="G590" s="1003"/>
      <c r="H590" s="1002"/>
      <c r="I590" s="1002"/>
      <c r="J590" s="1002"/>
      <c r="K590" s="1002"/>
      <c r="L590" s="1002"/>
      <c r="M590" s="1002"/>
      <c r="N590" s="1002"/>
      <c r="O590" s="476"/>
      <c r="P590" s="1002"/>
      <c r="Q590" s="476"/>
      <c r="R590" s="1002"/>
      <c r="S590" s="1002"/>
      <c r="T590" s="476"/>
      <c r="U590" s="476"/>
      <c r="V590" s="1002"/>
      <c r="W590" s="476"/>
      <c r="X590" s="476"/>
      <c r="Y590" s="476"/>
      <c r="Z590" s="476"/>
      <c r="AA590" s="476"/>
    </row>
    <row r="591" spans="1:27" ht="15" customHeight="1">
      <c r="A591" s="476"/>
      <c r="B591" s="476"/>
      <c r="C591" s="1001"/>
      <c r="D591" s="1002"/>
      <c r="E591" s="476"/>
      <c r="F591" s="1002"/>
      <c r="G591" s="1003"/>
      <c r="H591" s="1002"/>
      <c r="I591" s="1002"/>
      <c r="J591" s="1002"/>
      <c r="K591" s="1002"/>
      <c r="L591" s="1002"/>
      <c r="M591" s="1002"/>
      <c r="N591" s="1002"/>
      <c r="O591" s="476"/>
      <c r="P591" s="1002"/>
      <c r="Q591" s="476"/>
      <c r="R591" s="1002"/>
      <c r="S591" s="1002"/>
      <c r="T591" s="476"/>
      <c r="U591" s="476"/>
      <c r="V591" s="1002"/>
      <c r="W591" s="476"/>
      <c r="X591" s="476"/>
      <c r="Y591" s="476"/>
      <c r="Z591" s="476"/>
      <c r="AA591" s="476"/>
    </row>
    <row r="592" spans="1:27" ht="15" customHeight="1">
      <c r="A592" s="476"/>
      <c r="B592" s="476"/>
      <c r="C592" s="1001"/>
      <c r="D592" s="1002"/>
      <c r="E592" s="476"/>
      <c r="F592" s="1002"/>
      <c r="G592" s="1003"/>
      <c r="H592" s="1002"/>
      <c r="I592" s="1002"/>
      <c r="J592" s="1002"/>
      <c r="K592" s="1002"/>
      <c r="L592" s="1002"/>
      <c r="M592" s="1002"/>
      <c r="N592" s="1002"/>
      <c r="O592" s="476"/>
      <c r="P592" s="1002"/>
      <c r="Q592" s="476"/>
      <c r="R592" s="1002"/>
      <c r="S592" s="1002"/>
      <c r="T592" s="476"/>
      <c r="U592" s="476"/>
      <c r="V592" s="1002"/>
      <c r="W592" s="476"/>
      <c r="X592" s="476"/>
      <c r="Y592" s="476"/>
      <c r="Z592" s="476"/>
      <c r="AA592" s="476"/>
    </row>
    <row r="593" spans="1:27" ht="15" customHeight="1">
      <c r="A593" s="476"/>
      <c r="B593" s="476"/>
      <c r="C593" s="1001"/>
      <c r="D593" s="1002"/>
      <c r="E593" s="476"/>
      <c r="F593" s="1002"/>
      <c r="G593" s="1003"/>
      <c r="H593" s="1002"/>
      <c r="I593" s="1002"/>
      <c r="J593" s="1002"/>
      <c r="K593" s="1002"/>
      <c r="L593" s="1002"/>
      <c r="M593" s="1002"/>
      <c r="N593" s="1002"/>
      <c r="O593" s="476"/>
      <c r="P593" s="1002"/>
      <c r="Q593" s="476"/>
      <c r="R593" s="1002"/>
      <c r="S593" s="1002"/>
      <c r="T593" s="476"/>
      <c r="U593" s="476"/>
      <c r="V593" s="1002"/>
      <c r="W593" s="476"/>
      <c r="X593" s="476"/>
      <c r="Y593" s="476"/>
      <c r="Z593" s="476"/>
      <c r="AA593" s="476"/>
    </row>
    <row r="594" spans="1:27" ht="15" customHeight="1">
      <c r="A594" s="476"/>
      <c r="B594" s="476"/>
      <c r="C594" s="1001"/>
      <c r="D594" s="1002"/>
      <c r="E594" s="476"/>
      <c r="F594" s="1002"/>
      <c r="G594" s="1003"/>
      <c r="H594" s="1002"/>
      <c r="I594" s="1002"/>
      <c r="J594" s="1002"/>
      <c r="K594" s="1002"/>
      <c r="L594" s="1002"/>
      <c r="M594" s="1002"/>
      <c r="N594" s="1002"/>
      <c r="O594" s="476"/>
      <c r="P594" s="1002"/>
      <c r="Q594" s="476"/>
      <c r="R594" s="1002"/>
      <c r="S594" s="1002"/>
      <c r="T594" s="476"/>
      <c r="U594" s="476"/>
      <c r="V594" s="1002"/>
      <c r="W594" s="476"/>
      <c r="X594" s="476"/>
      <c r="Y594" s="476"/>
      <c r="Z594" s="476"/>
      <c r="AA594" s="476"/>
    </row>
    <row r="595" spans="1:27" ht="15" customHeight="1">
      <c r="A595" s="476"/>
      <c r="B595" s="476"/>
      <c r="C595" s="1001"/>
      <c r="D595" s="1002"/>
      <c r="E595" s="476"/>
      <c r="F595" s="1002"/>
      <c r="G595" s="1003"/>
      <c r="H595" s="1002"/>
      <c r="I595" s="1002"/>
      <c r="J595" s="1002"/>
      <c r="K595" s="1002"/>
      <c r="L595" s="1002"/>
      <c r="M595" s="1002"/>
      <c r="N595" s="1002"/>
      <c r="O595" s="476"/>
      <c r="P595" s="1002"/>
      <c r="Q595" s="476"/>
      <c r="R595" s="1002"/>
      <c r="S595" s="1002"/>
      <c r="T595" s="476"/>
      <c r="U595" s="476"/>
      <c r="V595" s="1002"/>
      <c r="W595" s="476"/>
      <c r="X595" s="476"/>
      <c r="Y595" s="476"/>
      <c r="Z595" s="476"/>
      <c r="AA595" s="476"/>
    </row>
    <row r="596" spans="1:27" ht="15" customHeight="1">
      <c r="A596" s="476"/>
      <c r="B596" s="476"/>
      <c r="C596" s="1001"/>
      <c r="D596" s="1002"/>
      <c r="E596" s="476"/>
      <c r="F596" s="1002"/>
      <c r="G596" s="1003"/>
      <c r="H596" s="1002"/>
      <c r="I596" s="1002"/>
      <c r="J596" s="1002"/>
      <c r="K596" s="1002"/>
      <c r="L596" s="1002"/>
      <c r="M596" s="1002"/>
      <c r="N596" s="1002"/>
      <c r="O596" s="476"/>
      <c r="P596" s="1002"/>
      <c r="Q596" s="476"/>
      <c r="R596" s="1002"/>
      <c r="S596" s="1002"/>
      <c r="T596" s="476"/>
      <c r="U596" s="476"/>
      <c r="V596" s="1002"/>
      <c r="W596" s="476"/>
      <c r="X596" s="476"/>
      <c r="Y596" s="476"/>
      <c r="Z596" s="476"/>
      <c r="AA596" s="476"/>
    </row>
    <row r="597" spans="1:27" ht="15" customHeight="1">
      <c r="A597" s="476"/>
      <c r="B597" s="476"/>
      <c r="C597" s="1001"/>
      <c r="D597" s="1002"/>
      <c r="E597" s="476"/>
      <c r="F597" s="1002"/>
      <c r="G597" s="1003"/>
      <c r="H597" s="1002"/>
      <c r="I597" s="1002"/>
      <c r="J597" s="1002"/>
      <c r="K597" s="1002"/>
      <c r="L597" s="1002"/>
      <c r="M597" s="1002"/>
      <c r="N597" s="1002"/>
      <c r="O597" s="476"/>
      <c r="P597" s="1002"/>
      <c r="Q597" s="476"/>
      <c r="R597" s="1002"/>
      <c r="S597" s="1002"/>
      <c r="T597" s="476"/>
      <c r="U597" s="476"/>
      <c r="V597" s="1002"/>
      <c r="W597" s="476"/>
      <c r="X597" s="476"/>
      <c r="Y597" s="476"/>
      <c r="Z597" s="476"/>
      <c r="AA597" s="476"/>
    </row>
    <row r="598" spans="1:27" ht="15" customHeight="1">
      <c r="A598" s="476"/>
      <c r="B598" s="476"/>
      <c r="C598" s="1001"/>
      <c r="D598" s="1002"/>
      <c r="E598" s="476"/>
      <c r="F598" s="1002"/>
      <c r="G598" s="1003"/>
      <c r="H598" s="1002"/>
      <c r="I598" s="1002"/>
      <c r="J598" s="1002"/>
      <c r="K598" s="1002"/>
      <c r="L598" s="1002"/>
      <c r="M598" s="1002"/>
      <c r="N598" s="1002"/>
      <c r="O598" s="476"/>
      <c r="P598" s="1002"/>
      <c r="Q598" s="476"/>
      <c r="R598" s="1002"/>
      <c r="S598" s="1002"/>
      <c r="T598" s="476"/>
      <c r="U598" s="476"/>
      <c r="V598" s="1002"/>
      <c r="W598" s="476"/>
      <c r="X598" s="476"/>
      <c r="Y598" s="476"/>
      <c r="Z598" s="476"/>
      <c r="AA598" s="476"/>
    </row>
    <row r="599" spans="1:27" ht="15" customHeight="1">
      <c r="A599" s="476"/>
      <c r="B599" s="476"/>
      <c r="C599" s="1001"/>
      <c r="D599" s="1002"/>
      <c r="E599" s="476"/>
      <c r="F599" s="1002"/>
      <c r="G599" s="1003"/>
      <c r="H599" s="1002"/>
      <c r="I599" s="1002"/>
      <c r="J599" s="1002"/>
      <c r="K599" s="1002"/>
      <c r="L599" s="1002"/>
      <c r="M599" s="1002"/>
      <c r="N599" s="1002"/>
      <c r="O599" s="476"/>
      <c r="P599" s="1002"/>
      <c r="Q599" s="476"/>
      <c r="R599" s="1002"/>
      <c r="S599" s="1002"/>
      <c r="T599" s="476"/>
      <c r="U599" s="476"/>
      <c r="V599" s="1002"/>
      <c r="W599" s="476"/>
      <c r="X599" s="476"/>
      <c r="Y599" s="476"/>
      <c r="Z599" s="476"/>
      <c r="AA599" s="476"/>
    </row>
    <row r="600" spans="1:27" ht="15" customHeight="1">
      <c r="A600" s="476"/>
      <c r="B600" s="476"/>
      <c r="C600" s="1001"/>
      <c r="D600" s="1002"/>
      <c r="E600" s="476"/>
      <c r="F600" s="1002"/>
      <c r="G600" s="1003"/>
      <c r="H600" s="1002"/>
      <c r="I600" s="1002"/>
      <c r="J600" s="1002"/>
      <c r="K600" s="1002"/>
      <c r="L600" s="1002"/>
      <c r="M600" s="1002"/>
      <c r="N600" s="1002"/>
      <c r="O600" s="476"/>
      <c r="P600" s="1002"/>
      <c r="Q600" s="476"/>
      <c r="R600" s="1002"/>
      <c r="S600" s="1002"/>
      <c r="T600" s="476"/>
      <c r="U600" s="476"/>
      <c r="V600" s="1002"/>
      <c r="W600" s="476"/>
      <c r="X600" s="476"/>
      <c r="Y600" s="476"/>
      <c r="Z600" s="476"/>
      <c r="AA600" s="476"/>
    </row>
    <row r="601" spans="1:27" ht="15" customHeight="1">
      <c r="A601" s="476"/>
      <c r="B601" s="476"/>
      <c r="C601" s="1001"/>
      <c r="D601" s="1002"/>
      <c r="E601" s="476"/>
      <c r="F601" s="1002"/>
      <c r="G601" s="1003"/>
      <c r="H601" s="1002"/>
      <c r="I601" s="1002"/>
      <c r="J601" s="1002"/>
      <c r="K601" s="1002"/>
      <c r="L601" s="1002"/>
      <c r="M601" s="1002"/>
      <c r="N601" s="1002"/>
      <c r="O601" s="476"/>
      <c r="P601" s="1002"/>
      <c r="Q601" s="476"/>
      <c r="R601" s="1002"/>
      <c r="S601" s="1002"/>
      <c r="T601" s="476"/>
      <c r="U601" s="476"/>
      <c r="V601" s="1002"/>
      <c r="W601" s="476"/>
      <c r="X601" s="476"/>
      <c r="Y601" s="476"/>
      <c r="Z601" s="476"/>
      <c r="AA601" s="476"/>
    </row>
    <row r="602" spans="1:27" ht="15" customHeight="1">
      <c r="A602" s="476"/>
      <c r="B602" s="476"/>
      <c r="C602" s="1001"/>
      <c r="D602" s="1002"/>
      <c r="E602" s="476"/>
      <c r="F602" s="1002"/>
      <c r="G602" s="1003"/>
      <c r="H602" s="1002"/>
      <c r="I602" s="1002"/>
      <c r="J602" s="1002"/>
      <c r="K602" s="1002"/>
      <c r="L602" s="1002"/>
      <c r="M602" s="1002"/>
      <c r="N602" s="1002"/>
      <c r="O602" s="476"/>
      <c r="P602" s="1002"/>
      <c r="Q602" s="476"/>
      <c r="R602" s="1002"/>
      <c r="S602" s="1002"/>
      <c r="T602" s="476"/>
      <c r="U602" s="476"/>
      <c r="V602" s="1002"/>
      <c r="W602" s="476"/>
      <c r="X602" s="476"/>
      <c r="Y602" s="476"/>
      <c r="Z602" s="476"/>
      <c r="AA602" s="476"/>
    </row>
    <row r="603" spans="1:27" ht="15" customHeight="1">
      <c r="A603" s="476"/>
      <c r="B603" s="476"/>
      <c r="C603" s="1001"/>
      <c r="D603" s="1002"/>
      <c r="E603" s="476"/>
      <c r="F603" s="1002"/>
      <c r="G603" s="1003"/>
      <c r="H603" s="1002"/>
      <c r="I603" s="1002"/>
      <c r="J603" s="1002"/>
      <c r="K603" s="1002"/>
      <c r="L603" s="1002"/>
      <c r="M603" s="1002"/>
      <c r="N603" s="1002"/>
      <c r="O603" s="476"/>
      <c r="P603" s="1002"/>
      <c r="Q603" s="476"/>
      <c r="R603" s="1002"/>
      <c r="S603" s="1002"/>
      <c r="T603" s="476"/>
      <c r="U603" s="476"/>
      <c r="V603" s="1002"/>
      <c r="W603" s="476"/>
      <c r="X603" s="476"/>
      <c r="Y603" s="476"/>
      <c r="Z603" s="476"/>
      <c r="AA603" s="476"/>
    </row>
    <row r="604" spans="1:27" ht="15" customHeight="1">
      <c r="A604" s="476"/>
      <c r="B604" s="476"/>
      <c r="C604" s="1001"/>
      <c r="D604" s="1002"/>
      <c r="E604" s="476"/>
      <c r="F604" s="1002"/>
      <c r="G604" s="1003"/>
      <c r="H604" s="1002"/>
      <c r="I604" s="1002"/>
      <c r="J604" s="1002"/>
      <c r="K604" s="1002"/>
      <c r="L604" s="1002"/>
      <c r="M604" s="1002"/>
      <c r="N604" s="1002"/>
      <c r="O604" s="476"/>
      <c r="P604" s="1002"/>
      <c r="Q604" s="476"/>
      <c r="R604" s="1002"/>
      <c r="S604" s="1002"/>
      <c r="T604" s="476"/>
      <c r="U604" s="476"/>
      <c r="V604" s="1002"/>
      <c r="W604" s="476"/>
      <c r="X604" s="476"/>
      <c r="Y604" s="476"/>
      <c r="Z604" s="476"/>
      <c r="AA604" s="476"/>
    </row>
    <row r="605" spans="1:27" ht="15" customHeight="1">
      <c r="A605" s="476"/>
      <c r="B605" s="476"/>
      <c r="C605" s="1001"/>
      <c r="D605" s="1002"/>
      <c r="E605" s="476"/>
      <c r="F605" s="1002"/>
      <c r="G605" s="1003"/>
      <c r="H605" s="1002"/>
      <c r="I605" s="1002"/>
      <c r="J605" s="1002"/>
      <c r="K605" s="1002"/>
      <c r="L605" s="1002"/>
      <c r="M605" s="1002"/>
      <c r="N605" s="1002"/>
      <c r="O605" s="476"/>
      <c r="P605" s="1002"/>
      <c r="Q605" s="476"/>
      <c r="R605" s="1002"/>
      <c r="S605" s="1002"/>
      <c r="T605" s="476"/>
      <c r="U605" s="476"/>
      <c r="V605" s="1002"/>
      <c r="W605" s="476"/>
      <c r="X605" s="476"/>
      <c r="Y605" s="476"/>
      <c r="Z605" s="476"/>
      <c r="AA605" s="476"/>
    </row>
    <row r="606" spans="1:27" ht="15" customHeight="1">
      <c r="A606" s="476"/>
      <c r="B606" s="476"/>
      <c r="C606" s="1001"/>
      <c r="D606" s="1002"/>
      <c r="E606" s="476"/>
      <c r="F606" s="1002"/>
      <c r="G606" s="1003"/>
      <c r="H606" s="1002"/>
      <c r="I606" s="1002"/>
      <c r="J606" s="1002"/>
      <c r="K606" s="1002"/>
      <c r="L606" s="1002"/>
      <c r="M606" s="1002"/>
      <c r="N606" s="1002"/>
      <c r="O606" s="476"/>
      <c r="P606" s="1002"/>
      <c r="Q606" s="476"/>
      <c r="R606" s="1002"/>
      <c r="S606" s="1002"/>
      <c r="T606" s="476"/>
      <c r="U606" s="476"/>
      <c r="V606" s="1002"/>
      <c r="W606" s="476"/>
      <c r="X606" s="476"/>
      <c r="Y606" s="476"/>
      <c r="Z606" s="476"/>
      <c r="AA606" s="476"/>
    </row>
    <row r="607" spans="1:27" ht="15" customHeight="1">
      <c r="A607" s="476"/>
      <c r="B607" s="476"/>
      <c r="C607" s="1001"/>
      <c r="D607" s="1002"/>
      <c r="E607" s="476"/>
      <c r="F607" s="1002"/>
      <c r="G607" s="1003"/>
      <c r="H607" s="1002"/>
      <c r="I607" s="1002"/>
      <c r="J607" s="1002"/>
      <c r="K607" s="1002"/>
      <c r="L607" s="1002"/>
      <c r="M607" s="1002"/>
      <c r="N607" s="1002"/>
      <c r="O607" s="476"/>
      <c r="P607" s="1002"/>
      <c r="Q607" s="476"/>
      <c r="R607" s="1002"/>
      <c r="S607" s="1002"/>
      <c r="T607" s="476"/>
      <c r="U607" s="476"/>
      <c r="V607" s="1002"/>
      <c r="W607" s="476"/>
      <c r="X607" s="476"/>
      <c r="Y607" s="476"/>
      <c r="Z607" s="476"/>
      <c r="AA607" s="476"/>
    </row>
    <row r="608" spans="1:27" ht="15" customHeight="1">
      <c r="A608" s="476"/>
      <c r="B608" s="476"/>
      <c r="C608" s="1001"/>
      <c r="D608" s="1002"/>
      <c r="E608" s="476"/>
      <c r="F608" s="1002"/>
      <c r="G608" s="1003"/>
      <c r="H608" s="1002"/>
      <c r="I608" s="1002"/>
      <c r="J608" s="1002"/>
      <c r="K608" s="1002"/>
      <c r="L608" s="1002"/>
      <c r="M608" s="1002"/>
      <c r="N608" s="1002"/>
      <c r="O608" s="476"/>
      <c r="P608" s="1002"/>
      <c r="Q608" s="476"/>
      <c r="R608" s="1002"/>
      <c r="S608" s="1002"/>
      <c r="T608" s="476"/>
      <c r="U608" s="476"/>
      <c r="V608" s="1002"/>
      <c r="W608" s="476"/>
      <c r="X608" s="476"/>
      <c r="Y608" s="476"/>
      <c r="Z608" s="476"/>
      <c r="AA608" s="476"/>
    </row>
    <row r="609" spans="1:27" ht="15" customHeight="1">
      <c r="A609" s="476"/>
      <c r="B609" s="476"/>
      <c r="C609" s="1001"/>
      <c r="D609" s="1002"/>
      <c r="E609" s="476"/>
      <c r="F609" s="1002"/>
      <c r="G609" s="1003"/>
      <c r="H609" s="1002"/>
      <c r="I609" s="1002"/>
      <c r="J609" s="1002"/>
      <c r="K609" s="1002"/>
      <c r="L609" s="1002"/>
      <c r="M609" s="1002"/>
      <c r="N609" s="1002"/>
      <c r="O609" s="476"/>
      <c r="P609" s="1002"/>
      <c r="Q609" s="476"/>
      <c r="R609" s="1002"/>
      <c r="S609" s="1002"/>
      <c r="T609" s="476"/>
      <c r="U609" s="476"/>
      <c r="V609" s="1002"/>
      <c r="W609" s="476"/>
      <c r="X609" s="476"/>
      <c r="Y609" s="476"/>
      <c r="Z609" s="476"/>
      <c r="AA609" s="476"/>
    </row>
    <row r="610" spans="1:27" ht="15" customHeight="1">
      <c r="A610" s="476"/>
      <c r="B610" s="476"/>
      <c r="C610" s="1001"/>
      <c r="D610" s="1002"/>
      <c r="E610" s="476"/>
      <c r="F610" s="1002"/>
      <c r="G610" s="1003"/>
      <c r="H610" s="1002"/>
      <c r="I610" s="1002"/>
      <c r="J610" s="1002"/>
      <c r="K610" s="1002"/>
      <c r="L610" s="1002"/>
      <c r="M610" s="1002"/>
      <c r="N610" s="1002"/>
      <c r="O610" s="476"/>
      <c r="P610" s="1002"/>
      <c r="Q610" s="476"/>
      <c r="R610" s="1002"/>
      <c r="S610" s="1002"/>
      <c r="T610" s="476"/>
      <c r="U610" s="476"/>
      <c r="V610" s="1002"/>
      <c r="W610" s="476"/>
      <c r="X610" s="476"/>
      <c r="Y610" s="476"/>
      <c r="Z610" s="476"/>
      <c r="AA610" s="476"/>
    </row>
    <row r="611" spans="1:27" ht="15" customHeight="1">
      <c r="A611" s="476"/>
      <c r="B611" s="476"/>
      <c r="C611" s="1001"/>
      <c r="D611" s="1002"/>
      <c r="E611" s="476"/>
      <c r="F611" s="1002"/>
      <c r="G611" s="1003"/>
      <c r="H611" s="1002"/>
      <c r="I611" s="1002"/>
      <c r="J611" s="1002"/>
      <c r="K611" s="1002"/>
      <c r="L611" s="1002"/>
      <c r="M611" s="1002"/>
      <c r="N611" s="1002"/>
      <c r="O611" s="476"/>
      <c r="P611" s="1002"/>
      <c r="Q611" s="476"/>
      <c r="R611" s="1002"/>
      <c r="S611" s="1002"/>
      <c r="T611" s="476"/>
      <c r="U611" s="476"/>
      <c r="V611" s="1002"/>
      <c r="W611" s="476"/>
      <c r="X611" s="476"/>
      <c r="Y611" s="476"/>
      <c r="Z611" s="476"/>
      <c r="AA611" s="476"/>
    </row>
    <row r="612" spans="1:27" ht="15" customHeight="1">
      <c r="A612" s="476"/>
      <c r="B612" s="476"/>
      <c r="C612" s="1001"/>
      <c r="D612" s="1002"/>
      <c r="E612" s="476"/>
      <c r="F612" s="1002"/>
      <c r="G612" s="1003"/>
      <c r="H612" s="1002"/>
      <c r="I612" s="1002"/>
      <c r="J612" s="1002"/>
      <c r="K612" s="1002"/>
      <c r="L612" s="1002"/>
      <c r="M612" s="1002"/>
      <c r="N612" s="1002"/>
      <c r="O612" s="476"/>
      <c r="P612" s="1002"/>
      <c r="Q612" s="476"/>
      <c r="R612" s="1002"/>
      <c r="S612" s="1002"/>
      <c r="T612" s="476"/>
      <c r="U612" s="476"/>
      <c r="V612" s="1002"/>
      <c r="W612" s="476"/>
      <c r="X612" s="476"/>
      <c r="Y612" s="476"/>
      <c r="Z612" s="476"/>
      <c r="AA612" s="476"/>
    </row>
    <row r="613" spans="1:27" ht="15" customHeight="1">
      <c r="A613" s="476"/>
      <c r="B613" s="476"/>
      <c r="C613" s="1001"/>
      <c r="D613" s="1002"/>
      <c r="E613" s="476"/>
      <c r="F613" s="1002"/>
      <c r="G613" s="1003"/>
      <c r="H613" s="1002"/>
      <c r="I613" s="1002"/>
      <c r="J613" s="1002"/>
      <c r="K613" s="1002"/>
      <c r="L613" s="1002"/>
      <c r="M613" s="1002"/>
      <c r="N613" s="1002"/>
      <c r="O613" s="476"/>
      <c r="P613" s="1002"/>
      <c r="Q613" s="476"/>
      <c r="R613" s="1002"/>
      <c r="S613" s="1002"/>
      <c r="T613" s="476"/>
      <c r="U613" s="476"/>
      <c r="V613" s="1002"/>
      <c r="W613" s="476"/>
      <c r="X613" s="476"/>
      <c r="Y613" s="476"/>
      <c r="Z613" s="476"/>
      <c r="AA613" s="476"/>
    </row>
    <row r="614" spans="1:27" ht="15" customHeight="1">
      <c r="A614" s="476"/>
      <c r="B614" s="476"/>
      <c r="C614" s="1001"/>
      <c r="D614" s="1002"/>
      <c r="E614" s="476"/>
      <c r="F614" s="1002"/>
      <c r="G614" s="1003"/>
      <c r="H614" s="1002"/>
      <c r="I614" s="1002"/>
      <c r="J614" s="1002"/>
      <c r="K614" s="1002"/>
      <c r="L614" s="1002"/>
      <c r="M614" s="1002"/>
      <c r="N614" s="1002"/>
      <c r="O614" s="476"/>
      <c r="P614" s="1002"/>
      <c r="Q614" s="476"/>
      <c r="R614" s="1002"/>
      <c r="S614" s="1002"/>
      <c r="T614" s="476"/>
      <c r="U614" s="476"/>
      <c r="V614" s="1002"/>
      <c r="W614" s="476"/>
      <c r="X614" s="476"/>
      <c r="Y614" s="476"/>
      <c r="Z614" s="476"/>
      <c r="AA614" s="476"/>
    </row>
    <row r="615" spans="1:27" ht="15" customHeight="1">
      <c r="A615" s="476"/>
      <c r="B615" s="476"/>
      <c r="C615" s="1001"/>
      <c r="D615" s="1002"/>
      <c r="E615" s="476"/>
      <c r="F615" s="1002"/>
      <c r="G615" s="1003"/>
      <c r="H615" s="1002"/>
      <c r="I615" s="1002"/>
      <c r="J615" s="1002"/>
      <c r="K615" s="1002"/>
      <c r="L615" s="1002"/>
      <c r="M615" s="1002"/>
      <c r="N615" s="1002"/>
      <c r="O615" s="476"/>
      <c r="P615" s="1002"/>
      <c r="Q615" s="476"/>
      <c r="R615" s="1002"/>
      <c r="S615" s="1002"/>
      <c r="T615" s="476"/>
      <c r="U615" s="476"/>
      <c r="V615" s="1002"/>
      <c r="W615" s="476"/>
      <c r="X615" s="476"/>
      <c r="Y615" s="476"/>
      <c r="Z615" s="476"/>
      <c r="AA615" s="476"/>
    </row>
    <row r="616" spans="1:27" ht="15" customHeight="1">
      <c r="A616" s="476"/>
      <c r="B616" s="476"/>
      <c r="C616" s="1001"/>
      <c r="D616" s="1002"/>
      <c r="E616" s="476"/>
      <c r="F616" s="1002"/>
      <c r="G616" s="1003"/>
      <c r="H616" s="1002"/>
      <c r="I616" s="1002"/>
      <c r="J616" s="1002"/>
      <c r="K616" s="1002"/>
      <c r="L616" s="1002"/>
      <c r="M616" s="1002"/>
      <c r="N616" s="1002"/>
      <c r="O616" s="476"/>
      <c r="P616" s="1002"/>
      <c r="Q616" s="476"/>
      <c r="R616" s="1002"/>
      <c r="S616" s="1002"/>
      <c r="T616" s="476"/>
      <c r="U616" s="476"/>
      <c r="V616" s="1002"/>
      <c r="W616" s="476"/>
      <c r="X616" s="476"/>
      <c r="Y616" s="476"/>
      <c r="Z616" s="476"/>
      <c r="AA616" s="476"/>
    </row>
    <row r="617" spans="1:27" ht="15" customHeight="1">
      <c r="A617" s="476"/>
      <c r="B617" s="476"/>
      <c r="C617" s="1001"/>
      <c r="D617" s="1002"/>
      <c r="E617" s="476"/>
      <c r="F617" s="1002"/>
      <c r="G617" s="1003"/>
      <c r="H617" s="1002"/>
      <c r="I617" s="1002"/>
      <c r="J617" s="1002"/>
      <c r="K617" s="1002"/>
      <c r="L617" s="1002"/>
      <c r="M617" s="1002"/>
      <c r="N617" s="1002"/>
      <c r="O617" s="476"/>
      <c r="P617" s="1002"/>
      <c r="Q617" s="476"/>
      <c r="R617" s="1002"/>
      <c r="S617" s="1002"/>
      <c r="T617" s="476"/>
      <c r="U617" s="476"/>
      <c r="V617" s="1002"/>
      <c r="W617" s="476"/>
      <c r="X617" s="476"/>
      <c r="Y617" s="476"/>
      <c r="Z617" s="476"/>
      <c r="AA617" s="476"/>
    </row>
    <row r="618" spans="1:27" ht="15" customHeight="1">
      <c r="A618" s="476"/>
      <c r="B618" s="476"/>
      <c r="C618" s="1001"/>
      <c r="D618" s="1002"/>
      <c r="E618" s="476"/>
      <c r="F618" s="1002"/>
      <c r="G618" s="1003"/>
      <c r="H618" s="1002"/>
      <c r="I618" s="1002"/>
      <c r="J618" s="1002"/>
      <c r="K618" s="1002"/>
      <c r="L618" s="1002"/>
      <c r="M618" s="1002"/>
      <c r="N618" s="1002"/>
      <c r="O618" s="476"/>
      <c r="P618" s="1002"/>
      <c r="Q618" s="476"/>
      <c r="R618" s="1002"/>
      <c r="S618" s="1002"/>
      <c r="T618" s="476"/>
      <c r="U618" s="476"/>
      <c r="V618" s="1002"/>
      <c r="W618" s="476"/>
      <c r="X618" s="476"/>
      <c r="Y618" s="476"/>
      <c r="Z618" s="476"/>
      <c r="AA618" s="476"/>
    </row>
    <row r="619" spans="1:27" ht="15" customHeight="1">
      <c r="A619" s="476"/>
      <c r="B619" s="476"/>
      <c r="C619" s="1001"/>
      <c r="D619" s="1002"/>
      <c r="E619" s="476"/>
      <c r="F619" s="1002"/>
      <c r="G619" s="1003"/>
      <c r="H619" s="1002"/>
      <c r="I619" s="1002"/>
      <c r="J619" s="1002"/>
      <c r="K619" s="1002"/>
      <c r="L619" s="1002"/>
      <c r="M619" s="1002"/>
      <c r="N619" s="1002"/>
      <c r="O619" s="476"/>
      <c r="P619" s="1002"/>
      <c r="Q619" s="476"/>
      <c r="R619" s="1002"/>
      <c r="S619" s="1002"/>
      <c r="T619" s="476"/>
      <c r="U619" s="476"/>
      <c r="V619" s="1002"/>
      <c r="W619" s="476"/>
      <c r="X619" s="476"/>
      <c r="Y619" s="476"/>
      <c r="Z619" s="476"/>
      <c r="AA619" s="476"/>
    </row>
    <row r="620" spans="1:27" ht="15" customHeight="1">
      <c r="A620" s="476"/>
      <c r="B620" s="476"/>
      <c r="C620" s="1001"/>
      <c r="D620" s="1002"/>
      <c r="E620" s="476"/>
      <c r="F620" s="1002"/>
      <c r="G620" s="1003"/>
      <c r="H620" s="1002"/>
      <c r="I620" s="1002"/>
      <c r="J620" s="1002"/>
      <c r="K620" s="1002"/>
      <c r="L620" s="1002"/>
      <c r="M620" s="1002"/>
      <c r="N620" s="1002"/>
      <c r="O620" s="476"/>
      <c r="P620" s="1002"/>
      <c r="Q620" s="476"/>
      <c r="R620" s="1002"/>
      <c r="S620" s="1002"/>
      <c r="T620" s="476"/>
      <c r="U620" s="476"/>
      <c r="V620" s="1002"/>
      <c r="W620" s="476"/>
      <c r="X620" s="476"/>
      <c r="Y620" s="476"/>
      <c r="Z620" s="476"/>
      <c r="AA620" s="476"/>
    </row>
    <row r="621" spans="1:27" ht="15" customHeight="1">
      <c r="A621" s="476"/>
      <c r="B621" s="476"/>
      <c r="C621" s="1001"/>
      <c r="D621" s="1002"/>
      <c r="E621" s="476"/>
      <c r="F621" s="1002"/>
      <c r="G621" s="1003"/>
      <c r="H621" s="1002"/>
      <c r="I621" s="1002"/>
      <c r="J621" s="1002"/>
      <c r="K621" s="1002"/>
      <c r="L621" s="1002"/>
      <c r="M621" s="1002"/>
      <c r="N621" s="1002"/>
      <c r="O621" s="476"/>
      <c r="P621" s="1002"/>
      <c r="Q621" s="476"/>
      <c r="R621" s="1002"/>
      <c r="S621" s="1002"/>
      <c r="T621" s="476"/>
      <c r="U621" s="476"/>
      <c r="V621" s="1002"/>
      <c r="W621" s="476"/>
      <c r="X621" s="476"/>
      <c r="Y621" s="476"/>
      <c r="Z621" s="476"/>
      <c r="AA621" s="476"/>
    </row>
    <row r="622" spans="1:27" ht="15" customHeight="1">
      <c r="A622" s="476"/>
      <c r="B622" s="476"/>
      <c r="C622" s="1001"/>
      <c r="D622" s="1002"/>
      <c r="E622" s="476"/>
      <c r="F622" s="1002"/>
      <c r="G622" s="1003"/>
      <c r="H622" s="1002"/>
      <c r="I622" s="1002"/>
      <c r="J622" s="1002"/>
      <c r="K622" s="1002"/>
      <c r="L622" s="1002"/>
      <c r="M622" s="1002"/>
      <c r="N622" s="1002"/>
      <c r="O622" s="476"/>
      <c r="P622" s="1002"/>
      <c r="Q622" s="476"/>
      <c r="R622" s="1002"/>
      <c r="S622" s="1002"/>
      <c r="T622" s="476"/>
      <c r="U622" s="476"/>
      <c r="V622" s="1002"/>
      <c r="W622" s="476"/>
      <c r="X622" s="476"/>
      <c r="Y622" s="476"/>
      <c r="Z622" s="476"/>
      <c r="AA622" s="476"/>
    </row>
    <row r="623" spans="1:27" ht="15" customHeight="1">
      <c r="A623" s="476"/>
      <c r="B623" s="476"/>
      <c r="C623" s="1001"/>
      <c r="D623" s="1002"/>
      <c r="E623" s="476"/>
      <c r="F623" s="1002"/>
      <c r="G623" s="1003"/>
      <c r="H623" s="1002"/>
      <c r="I623" s="1002"/>
      <c r="J623" s="1002"/>
      <c r="K623" s="1002"/>
      <c r="L623" s="1002"/>
      <c r="M623" s="1002"/>
      <c r="N623" s="1002"/>
      <c r="O623" s="476"/>
      <c r="P623" s="1002"/>
      <c r="Q623" s="476"/>
      <c r="R623" s="1002"/>
      <c r="S623" s="1002"/>
      <c r="T623" s="476"/>
      <c r="U623" s="476"/>
      <c r="V623" s="1002"/>
      <c r="W623" s="476"/>
      <c r="X623" s="476"/>
      <c r="Y623" s="476"/>
      <c r="Z623" s="476"/>
      <c r="AA623" s="476"/>
    </row>
    <row r="624" spans="1:27" ht="15" customHeight="1">
      <c r="A624" s="476"/>
      <c r="B624" s="476"/>
      <c r="C624" s="1001"/>
      <c r="D624" s="1002"/>
      <c r="E624" s="476"/>
      <c r="F624" s="1002"/>
      <c r="G624" s="1003"/>
      <c r="H624" s="1002"/>
      <c r="I624" s="1002"/>
      <c r="J624" s="1002"/>
      <c r="K624" s="1002"/>
      <c r="L624" s="1002"/>
      <c r="M624" s="1002"/>
      <c r="N624" s="1002"/>
      <c r="O624" s="476"/>
      <c r="P624" s="1002"/>
      <c r="Q624" s="476"/>
      <c r="R624" s="1002"/>
      <c r="S624" s="1002"/>
      <c r="T624" s="476"/>
      <c r="U624" s="476"/>
      <c r="V624" s="1002"/>
      <c r="W624" s="476"/>
      <c r="X624" s="476"/>
      <c r="Y624" s="476"/>
      <c r="Z624" s="476"/>
      <c r="AA624" s="476"/>
    </row>
    <row r="625" spans="1:27" ht="15" customHeight="1">
      <c r="A625" s="476"/>
      <c r="B625" s="476"/>
      <c r="C625" s="1001"/>
      <c r="D625" s="1002"/>
      <c r="E625" s="476"/>
      <c r="F625" s="1002"/>
      <c r="G625" s="1003"/>
      <c r="H625" s="1002"/>
      <c r="I625" s="1002"/>
      <c r="J625" s="1002"/>
      <c r="K625" s="1002"/>
      <c r="L625" s="1002"/>
      <c r="M625" s="1002"/>
      <c r="N625" s="1002"/>
      <c r="O625" s="476"/>
      <c r="P625" s="1002"/>
      <c r="Q625" s="476"/>
      <c r="R625" s="1002"/>
      <c r="S625" s="1002"/>
      <c r="T625" s="476"/>
      <c r="U625" s="476"/>
      <c r="V625" s="1002"/>
      <c r="W625" s="476"/>
      <c r="X625" s="476"/>
      <c r="Y625" s="476"/>
      <c r="Z625" s="476"/>
      <c r="AA625" s="476"/>
    </row>
    <row r="626" spans="1:27" ht="15" customHeight="1">
      <c r="A626" s="476"/>
      <c r="B626" s="476"/>
      <c r="C626" s="1001"/>
      <c r="D626" s="1002"/>
      <c r="E626" s="476"/>
      <c r="F626" s="1002"/>
      <c r="G626" s="1003"/>
      <c r="H626" s="1002"/>
      <c r="I626" s="1002"/>
      <c r="J626" s="1002"/>
      <c r="K626" s="1002"/>
      <c r="L626" s="1002"/>
      <c r="M626" s="1002"/>
      <c r="N626" s="1002"/>
      <c r="O626" s="476"/>
      <c r="P626" s="1002"/>
      <c r="Q626" s="476"/>
      <c r="R626" s="1002"/>
      <c r="S626" s="1002"/>
      <c r="T626" s="476"/>
      <c r="U626" s="476"/>
      <c r="V626" s="1002"/>
      <c r="W626" s="476"/>
      <c r="X626" s="476"/>
      <c r="Y626" s="476"/>
      <c r="Z626" s="476"/>
      <c r="AA626" s="476"/>
    </row>
    <row r="627" spans="1:27" ht="15" customHeight="1">
      <c r="A627" s="476"/>
      <c r="B627" s="476"/>
      <c r="C627" s="1001"/>
      <c r="D627" s="1002"/>
      <c r="E627" s="476"/>
      <c r="F627" s="1002"/>
      <c r="G627" s="1003"/>
      <c r="H627" s="1002"/>
      <c r="I627" s="1002"/>
      <c r="J627" s="1002"/>
      <c r="K627" s="1002"/>
      <c r="L627" s="1002"/>
      <c r="M627" s="1002"/>
      <c r="N627" s="1002"/>
      <c r="O627" s="476"/>
      <c r="P627" s="1002"/>
      <c r="Q627" s="476"/>
      <c r="R627" s="1002"/>
      <c r="S627" s="1002"/>
      <c r="T627" s="476"/>
      <c r="U627" s="476"/>
      <c r="V627" s="1002"/>
      <c r="W627" s="476"/>
      <c r="X627" s="476"/>
      <c r="Y627" s="476"/>
      <c r="Z627" s="476"/>
      <c r="AA627" s="476"/>
    </row>
    <row r="628" spans="1:27" ht="15" customHeight="1">
      <c r="A628" s="476"/>
      <c r="B628" s="476"/>
      <c r="C628" s="1001"/>
      <c r="D628" s="1002"/>
      <c r="E628" s="476"/>
      <c r="F628" s="1002"/>
      <c r="G628" s="1003"/>
      <c r="H628" s="1002"/>
      <c r="I628" s="1002"/>
      <c r="J628" s="1002"/>
      <c r="K628" s="1002"/>
      <c r="L628" s="1002"/>
      <c r="M628" s="1002"/>
      <c r="N628" s="1002"/>
      <c r="O628" s="476"/>
      <c r="P628" s="1002"/>
      <c r="Q628" s="476"/>
      <c r="R628" s="1002"/>
      <c r="S628" s="1002"/>
      <c r="T628" s="476"/>
      <c r="U628" s="476"/>
      <c r="V628" s="1002"/>
      <c r="W628" s="476"/>
      <c r="X628" s="476"/>
      <c r="Y628" s="476"/>
      <c r="Z628" s="476"/>
      <c r="AA628" s="476"/>
    </row>
    <row r="629" spans="1:27" ht="15" customHeight="1">
      <c r="A629" s="476"/>
      <c r="B629" s="476"/>
      <c r="C629" s="1001"/>
      <c r="D629" s="1002"/>
      <c r="E629" s="476"/>
      <c r="F629" s="1002"/>
      <c r="G629" s="1003"/>
      <c r="H629" s="1002"/>
      <c r="I629" s="1002"/>
      <c r="J629" s="1002"/>
      <c r="K629" s="1002"/>
      <c r="L629" s="1002"/>
      <c r="M629" s="1002"/>
      <c r="N629" s="1002"/>
      <c r="O629" s="476"/>
      <c r="P629" s="1002"/>
      <c r="Q629" s="476"/>
      <c r="R629" s="1002"/>
      <c r="S629" s="1002"/>
      <c r="T629" s="476"/>
      <c r="U629" s="476"/>
      <c r="V629" s="1002"/>
      <c r="W629" s="476"/>
      <c r="X629" s="476"/>
      <c r="Y629" s="476"/>
      <c r="Z629" s="476"/>
      <c r="AA629" s="476"/>
    </row>
    <row r="630" spans="1:27" ht="15" customHeight="1">
      <c r="A630" s="476"/>
      <c r="B630" s="476"/>
      <c r="C630" s="1001"/>
      <c r="D630" s="1002"/>
      <c r="E630" s="476"/>
      <c r="F630" s="1002"/>
      <c r="G630" s="1003"/>
      <c r="H630" s="1002"/>
      <c r="I630" s="1002"/>
      <c r="J630" s="1002"/>
      <c r="K630" s="1002"/>
      <c r="L630" s="1002"/>
      <c r="M630" s="1002"/>
      <c r="N630" s="1002"/>
      <c r="O630" s="476"/>
      <c r="P630" s="1002"/>
      <c r="Q630" s="476"/>
      <c r="R630" s="1002"/>
      <c r="S630" s="1002"/>
      <c r="T630" s="476"/>
      <c r="U630" s="476"/>
      <c r="V630" s="1002"/>
      <c r="W630" s="476"/>
      <c r="X630" s="476"/>
      <c r="Y630" s="476"/>
      <c r="Z630" s="476"/>
      <c r="AA630" s="476"/>
    </row>
    <row r="631" spans="1:27" ht="15" customHeight="1">
      <c r="A631" s="476"/>
      <c r="B631" s="476"/>
      <c r="C631" s="1001"/>
      <c r="D631" s="1002"/>
      <c r="E631" s="476"/>
      <c r="F631" s="1002"/>
      <c r="G631" s="1003"/>
      <c r="H631" s="1002"/>
      <c r="I631" s="1002"/>
      <c r="J631" s="1002"/>
      <c r="K631" s="1002"/>
      <c r="L631" s="1002"/>
      <c r="M631" s="1002"/>
      <c r="N631" s="1002"/>
      <c r="O631" s="476"/>
      <c r="P631" s="1002"/>
      <c r="Q631" s="476"/>
      <c r="R631" s="1002"/>
      <c r="S631" s="1002"/>
      <c r="T631" s="476"/>
      <c r="U631" s="476"/>
      <c r="V631" s="1002"/>
      <c r="W631" s="476"/>
      <c r="X631" s="476"/>
      <c r="Y631" s="476"/>
      <c r="Z631" s="476"/>
      <c r="AA631" s="476"/>
    </row>
    <row r="632" spans="1:27" ht="15" customHeight="1">
      <c r="A632" s="476"/>
      <c r="B632" s="476"/>
      <c r="C632" s="1001"/>
      <c r="D632" s="1002"/>
      <c r="E632" s="476"/>
      <c r="F632" s="1002"/>
      <c r="G632" s="1003"/>
      <c r="H632" s="1002"/>
      <c r="I632" s="1002"/>
      <c r="J632" s="1002"/>
      <c r="K632" s="1002"/>
      <c r="L632" s="1002"/>
      <c r="M632" s="1002"/>
      <c r="N632" s="1002"/>
      <c r="O632" s="476"/>
      <c r="P632" s="1002"/>
      <c r="Q632" s="476"/>
      <c r="R632" s="1002"/>
      <c r="S632" s="1002"/>
      <c r="T632" s="476"/>
      <c r="U632" s="476"/>
      <c r="V632" s="1002"/>
      <c r="W632" s="476"/>
      <c r="X632" s="476"/>
      <c r="Y632" s="476"/>
      <c r="Z632" s="476"/>
      <c r="AA632" s="476"/>
    </row>
    <row r="633" spans="1:27" ht="15" customHeight="1">
      <c r="A633" s="476"/>
      <c r="B633" s="476"/>
      <c r="C633" s="1001"/>
      <c r="D633" s="1002"/>
      <c r="E633" s="476"/>
      <c r="F633" s="1002"/>
      <c r="G633" s="1003"/>
      <c r="H633" s="1002"/>
      <c r="I633" s="1002"/>
      <c r="J633" s="1002"/>
      <c r="K633" s="1002"/>
      <c r="L633" s="1002"/>
      <c r="M633" s="1002"/>
      <c r="N633" s="1002"/>
      <c r="O633" s="476"/>
      <c r="P633" s="1002"/>
      <c r="Q633" s="476"/>
      <c r="R633" s="1002"/>
      <c r="S633" s="1002"/>
      <c r="T633" s="476"/>
      <c r="U633" s="476"/>
      <c r="V633" s="1002"/>
      <c r="W633" s="476"/>
      <c r="X633" s="476"/>
      <c r="Y633" s="476"/>
      <c r="Z633" s="476"/>
      <c r="AA633" s="476"/>
    </row>
    <row r="634" spans="1:27" ht="15" customHeight="1">
      <c r="A634" s="476"/>
      <c r="B634" s="476"/>
      <c r="C634" s="1001"/>
      <c r="D634" s="1002"/>
      <c r="E634" s="476"/>
      <c r="F634" s="1002"/>
      <c r="G634" s="1003"/>
      <c r="H634" s="1002"/>
      <c r="I634" s="1002"/>
      <c r="J634" s="1002"/>
      <c r="K634" s="1002"/>
      <c r="L634" s="1002"/>
      <c r="M634" s="1002"/>
      <c r="N634" s="1002"/>
      <c r="O634" s="476"/>
      <c r="P634" s="1002"/>
      <c r="Q634" s="476"/>
      <c r="R634" s="1002"/>
      <c r="S634" s="1002"/>
      <c r="T634" s="476"/>
      <c r="U634" s="476"/>
      <c r="V634" s="1002"/>
      <c r="W634" s="476"/>
      <c r="X634" s="476"/>
      <c r="Y634" s="476"/>
      <c r="Z634" s="476"/>
      <c r="AA634" s="476"/>
    </row>
    <row r="635" spans="1:27" ht="15" customHeight="1">
      <c r="A635" s="476"/>
      <c r="B635" s="476"/>
      <c r="C635" s="1001"/>
      <c r="D635" s="1002"/>
      <c r="E635" s="476"/>
      <c r="F635" s="1002"/>
      <c r="G635" s="1003"/>
      <c r="H635" s="1002"/>
      <c r="I635" s="1002"/>
      <c r="J635" s="1002"/>
      <c r="K635" s="1002"/>
      <c r="L635" s="1002"/>
      <c r="M635" s="1002"/>
      <c r="N635" s="1002"/>
      <c r="O635" s="476"/>
      <c r="P635" s="1002"/>
      <c r="Q635" s="476"/>
      <c r="R635" s="1002"/>
      <c r="S635" s="1002"/>
      <c r="T635" s="476"/>
      <c r="U635" s="476"/>
      <c r="V635" s="1002"/>
      <c r="W635" s="476"/>
      <c r="X635" s="476"/>
      <c r="Y635" s="476"/>
      <c r="Z635" s="476"/>
      <c r="AA635" s="476"/>
    </row>
    <row r="636" spans="1:27" ht="15" customHeight="1">
      <c r="A636" s="476"/>
      <c r="B636" s="476"/>
      <c r="C636" s="1001"/>
      <c r="D636" s="1002"/>
      <c r="E636" s="476"/>
      <c r="F636" s="1002"/>
      <c r="G636" s="1003"/>
      <c r="H636" s="1002"/>
      <c r="I636" s="1002"/>
      <c r="J636" s="1002"/>
      <c r="K636" s="1002"/>
      <c r="L636" s="1002"/>
      <c r="M636" s="1002"/>
      <c r="N636" s="1002"/>
      <c r="O636" s="476"/>
      <c r="P636" s="1002"/>
      <c r="Q636" s="476"/>
      <c r="R636" s="1002"/>
      <c r="S636" s="1002"/>
      <c r="T636" s="476"/>
      <c r="U636" s="476"/>
      <c r="V636" s="1002"/>
      <c r="W636" s="476"/>
      <c r="X636" s="476"/>
      <c r="Y636" s="476"/>
      <c r="Z636" s="476"/>
      <c r="AA636" s="476"/>
    </row>
    <row r="637" spans="1:27" ht="15" customHeight="1">
      <c r="A637" s="476"/>
      <c r="B637" s="476"/>
      <c r="C637" s="1001"/>
      <c r="D637" s="1002"/>
      <c r="E637" s="476"/>
      <c r="F637" s="1002"/>
      <c r="G637" s="1003"/>
      <c r="H637" s="1002"/>
      <c r="I637" s="1002"/>
      <c r="J637" s="1002"/>
      <c r="K637" s="1002"/>
      <c r="L637" s="1002"/>
      <c r="M637" s="1002"/>
      <c r="N637" s="1002"/>
      <c r="O637" s="476"/>
      <c r="P637" s="1002"/>
      <c r="Q637" s="476"/>
      <c r="R637" s="1002"/>
      <c r="S637" s="1002"/>
      <c r="T637" s="476"/>
      <c r="U637" s="476"/>
      <c r="V637" s="1002"/>
      <c r="W637" s="476"/>
      <c r="X637" s="476"/>
      <c r="Y637" s="476"/>
      <c r="Z637" s="476"/>
      <c r="AA637" s="476"/>
    </row>
    <row r="638" spans="1:27" ht="15" customHeight="1">
      <c r="A638" s="476"/>
      <c r="B638" s="476"/>
      <c r="C638" s="1001"/>
      <c r="D638" s="1002"/>
      <c r="E638" s="476"/>
      <c r="F638" s="1002"/>
      <c r="G638" s="1003"/>
      <c r="H638" s="1002"/>
      <c r="I638" s="1002"/>
      <c r="J638" s="1002"/>
      <c r="K638" s="1002"/>
      <c r="L638" s="1002"/>
      <c r="M638" s="1002"/>
      <c r="N638" s="1002"/>
      <c r="O638" s="476"/>
      <c r="P638" s="1002"/>
      <c r="Q638" s="476"/>
      <c r="R638" s="1002"/>
      <c r="S638" s="1002"/>
      <c r="T638" s="476"/>
      <c r="U638" s="476"/>
      <c r="V638" s="1002"/>
      <c r="W638" s="476"/>
      <c r="X638" s="476"/>
      <c r="Y638" s="476"/>
      <c r="Z638" s="476"/>
      <c r="AA638" s="476"/>
    </row>
    <row r="639" spans="1:27" ht="15" customHeight="1">
      <c r="A639" s="476"/>
      <c r="B639" s="476"/>
      <c r="C639" s="1001"/>
      <c r="D639" s="1002"/>
      <c r="E639" s="476"/>
      <c r="F639" s="1002"/>
      <c r="G639" s="1003"/>
      <c r="H639" s="1002"/>
      <c r="I639" s="1002"/>
      <c r="J639" s="1002"/>
      <c r="K639" s="1002"/>
      <c r="L639" s="1002"/>
      <c r="M639" s="1002"/>
      <c r="N639" s="1002"/>
      <c r="O639" s="476"/>
      <c r="P639" s="1002"/>
      <c r="Q639" s="476"/>
      <c r="R639" s="1002"/>
      <c r="S639" s="1002"/>
      <c r="T639" s="476"/>
      <c r="U639" s="476"/>
      <c r="V639" s="1002"/>
      <c r="W639" s="476"/>
      <c r="X639" s="476"/>
      <c r="Y639" s="476"/>
      <c r="Z639" s="476"/>
      <c r="AA639" s="476"/>
    </row>
    <row r="640" spans="1:27" ht="15" customHeight="1">
      <c r="A640" s="476"/>
      <c r="B640" s="476"/>
      <c r="C640" s="1001"/>
      <c r="D640" s="1002"/>
      <c r="E640" s="476"/>
      <c r="F640" s="1002"/>
      <c r="G640" s="1003"/>
      <c r="H640" s="1002"/>
      <c r="I640" s="1002"/>
      <c r="J640" s="1002"/>
      <c r="K640" s="1002"/>
      <c r="L640" s="1002"/>
      <c r="M640" s="1002"/>
      <c r="N640" s="1002"/>
      <c r="O640" s="476"/>
      <c r="P640" s="1002"/>
      <c r="Q640" s="476"/>
      <c r="R640" s="1002"/>
      <c r="S640" s="1002"/>
      <c r="T640" s="476"/>
      <c r="U640" s="476"/>
      <c r="V640" s="1002"/>
      <c r="W640" s="476"/>
      <c r="X640" s="476"/>
      <c r="Y640" s="476"/>
      <c r="Z640" s="476"/>
      <c r="AA640" s="476"/>
    </row>
    <row r="641" spans="1:27" ht="15" customHeight="1">
      <c r="A641" s="476"/>
      <c r="B641" s="476"/>
      <c r="C641" s="1001"/>
      <c r="D641" s="1002"/>
      <c r="E641" s="476"/>
      <c r="F641" s="1002"/>
      <c r="G641" s="1003"/>
      <c r="H641" s="1002"/>
      <c r="I641" s="1002"/>
      <c r="J641" s="1002"/>
      <c r="K641" s="1002"/>
      <c r="L641" s="1002"/>
      <c r="M641" s="1002"/>
      <c r="N641" s="1002"/>
      <c r="O641" s="476"/>
      <c r="P641" s="1002"/>
      <c r="Q641" s="476"/>
      <c r="R641" s="1002"/>
      <c r="S641" s="1002"/>
      <c r="T641" s="476"/>
      <c r="U641" s="476"/>
      <c r="V641" s="1002"/>
      <c r="W641" s="476"/>
      <c r="X641" s="476"/>
      <c r="Y641" s="476"/>
      <c r="Z641" s="476"/>
      <c r="AA641" s="476"/>
    </row>
    <row r="642" spans="1:27" ht="15" customHeight="1">
      <c r="A642" s="476"/>
      <c r="B642" s="476"/>
      <c r="C642" s="1001"/>
      <c r="D642" s="1002"/>
      <c r="E642" s="476"/>
      <c r="F642" s="1002"/>
      <c r="G642" s="1003"/>
      <c r="H642" s="1002"/>
      <c r="I642" s="1002"/>
      <c r="J642" s="1002"/>
      <c r="K642" s="1002"/>
      <c r="L642" s="1002"/>
      <c r="M642" s="1002"/>
      <c r="N642" s="1002"/>
      <c r="O642" s="476"/>
      <c r="P642" s="1002"/>
      <c r="Q642" s="476"/>
      <c r="R642" s="1002"/>
      <c r="S642" s="1002"/>
      <c r="T642" s="476"/>
      <c r="U642" s="476"/>
      <c r="V642" s="1002"/>
      <c r="W642" s="476"/>
      <c r="X642" s="476"/>
      <c r="Y642" s="476"/>
      <c r="Z642" s="476"/>
      <c r="AA642" s="476"/>
    </row>
    <row r="643" spans="1:27" ht="15" customHeight="1">
      <c r="A643" s="476"/>
      <c r="B643" s="476"/>
      <c r="C643" s="1001"/>
      <c r="D643" s="1002"/>
      <c r="E643" s="476"/>
      <c r="F643" s="1002"/>
      <c r="G643" s="1003"/>
      <c r="H643" s="1002"/>
      <c r="I643" s="1002"/>
      <c r="J643" s="1002"/>
      <c r="K643" s="1002"/>
      <c r="L643" s="1002"/>
      <c r="M643" s="1002"/>
      <c r="N643" s="1002"/>
      <c r="O643" s="476"/>
      <c r="P643" s="1002"/>
      <c r="Q643" s="476"/>
      <c r="R643" s="1002"/>
      <c r="S643" s="1002"/>
      <c r="T643" s="476"/>
      <c r="U643" s="476"/>
      <c r="V643" s="1002"/>
      <c r="W643" s="476"/>
      <c r="X643" s="476"/>
      <c r="Y643" s="476"/>
      <c r="Z643" s="476"/>
      <c r="AA643" s="476"/>
    </row>
    <row r="644" spans="1:27" ht="15" customHeight="1">
      <c r="A644" s="476"/>
      <c r="B644" s="476"/>
      <c r="C644" s="1001"/>
      <c r="D644" s="1002"/>
      <c r="E644" s="476"/>
      <c r="F644" s="1002"/>
      <c r="G644" s="1003"/>
      <c r="H644" s="1002"/>
      <c r="I644" s="1002"/>
      <c r="J644" s="1002"/>
      <c r="K644" s="1002"/>
      <c r="L644" s="1002"/>
      <c r="M644" s="1002"/>
      <c r="N644" s="1002"/>
      <c r="O644" s="476"/>
      <c r="P644" s="1002"/>
      <c r="Q644" s="476"/>
      <c r="R644" s="1002"/>
      <c r="S644" s="1002"/>
      <c r="T644" s="476"/>
      <c r="U644" s="476"/>
      <c r="V644" s="1002"/>
      <c r="W644" s="476"/>
      <c r="X644" s="476"/>
      <c r="Y644" s="476"/>
      <c r="Z644" s="476"/>
      <c r="AA644" s="476"/>
    </row>
    <row r="645" spans="1:27" ht="15" customHeight="1">
      <c r="A645" s="476"/>
      <c r="B645" s="476"/>
      <c r="C645" s="1001"/>
      <c r="D645" s="1002"/>
      <c r="E645" s="476"/>
      <c r="F645" s="1002"/>
      <c r="G645" s="1003"/>
      <c r="H645" s="1002"/>
      <c r="I645" s="1002"/>
      <c r="J645" s="1002"/>
      <c r="K645" s="1002"/>
      <c r="L645" s="1002"/>
      <c r="M645" s="1002"/>
      <c r="N645" s="1002"/>
      <c r="O645" s="476"/>
      <c r="P645" s="1002"/>
      <c r="Q645" s="476"/>
      <c r="R645" s="1002"/>
      <c r="S645" s="1002"/>
      <c r="T645" s="476"/>
      <c r="U645" s="476"/>
      <c r="V645" s="1002"/>
      <c r="W645" s="476"/>
      <c r="X645" s="476"/>
      <c r="Y645" s="476"/>
      <c r="Z645" s="476"/>
      <c r="AA645" s="476"/>
    </row>
    <row r="646" spans="1:27" ht="15" customHeight="1">
      <c r="A646" s="476"/>
      <c r="B646" s="476"/>
      <c r="C646" s="1001"/>
      <c r="D646" s="1002"/>
      <c r="E646" s="476"/>
      <c r="F646" s="1002"/>
      <c r="G646" s="1003"/>
      <c r="H646" s="1002"/>
      <c r="I646" s="1002"/>
      <c r="J646" s="1002"/>
      <c r="K646" s="1002"/>
      <c r="L646" s="1002"/>
      <c r="M646" s="1002"/>
      <c r="N646" s="1002"/>
      <c r="O646" s="476"/>
      <c r="P646" s="1002"/>
      <c r="Q646" s="476"/>
      <c r="R646" s="1002"/>
      <c r="S646" s="1002"/>
      <c r="T646" s="476"/>
      <c r="U646" s="476"/>
      <c r="V646" s="1002"/>
      <c r="W646" s="476"/>
      <c r="X646" s="476"/>
      <c r="Y646" s="476"/>
      <c r="Z646" s="476"/>
      <c r="AA646" s="476"/>
    </row>
    <row r="647" spans="1:27" ht="15" customHeight="1">
      <c r="A647" s="476"/>
      <c r="B647" s="476"/>
      <c r="C647" s="1001"/>
      <c r="D647" s="1002"/>
      <c r="E647" s="476"/>
      <c r="F647" s="1002"/>
      <c r="G647" s="1003"/>
      <c r="H647" s="1002"/>
      <c r="I647" s="1002"/>
      <c r="J647" s="1002"/>
      <c r="K647" s="1002"/>
      <c r="L647" s="1002"/>
      <c r="M647" s="1002"/>
      <c r="N647" s="1002"/>
      <c r="O647" s="476"/>
      <c r="P647" s="1002"/>
      <c r="Q647" s="476"/>
      <c r="R647" s="1002"/>
      <c r="S647" s="1002"/>
      <c r="T647" s="476"/>
      <c r="U647" s="476"/>
      <c r="V647" s="1002"/>
      <c r="W647" s="476"/>
      <c r="X647" s="476"/>
      <c r="Y647" s="476"/>
      <c r="Z647" s="476"/>
      <c r="AA647" s="476"/>
    </row>
    <row r="648" spans="1:27" ht="15" customHeight="1">
      <c r="A648" s="476"/>
      <c r="B648" s="476"/>
      <c r="C648" s="1001"/>
      <c r="D648" s="1002"/>
      <c r="E648" s="476"/>
      <c r="F648" s="1002"/>
      <c r="G648" s="1003"/>
      <c r="H648" s="1002"/>
      <c r="I648" s="1002"/>
      <c r="J648" s="1002"/>
      <c r="K648" s="1002"/>
      <c r="L648" s="1002"/>
      <c r="M648" s="1002"/>
      <c r="N648" s="1002"/>
      <c r="O648" s="476"/>
      <c r="P648" s="1002"/>
      <c r="Q648" s="476"/>
      <c r="R648" s="1002"/>
      <c r="S648" s="1002"/>
      <c r="T648" s="476"/>
      <c r="U648" s="476"/>
      <c r="V648" s="1002"/>
      <c r="W648" s="476"/>
      <c r="X648" s="476"/>
      <c r="Y648" s="476"/>
      <c r="Z648" s="476"/>
      <c r="AA648" s="476"/>
    </row>
    <row r="649" spans="1:27" ht="15" customHeight="1">
      <c r="A649" s="476"/>
      <c r="B649" s="476"/>
      <c r="C649" s="1001"/>
      <c r="D649" s="1002"/>
      <c r="E649" s="476"/>
      <c r="F649" s="1002"/>
      <c r="G649" s="1003"/>
      <c r="H649" s="1002"/>
      <c r="I649" s="1002"/>
      <c r="J649" s="1002"/>
      <c r="K649" s="1002"/>
      <c r="L649" s="1002"/>
      <c r="M649" s="1002"/>
      <c r="N649" s="1002"/>
      <c r="O649" s="476"/>
      <c r="P649" s="1002"/>
      <c r="Q649" s="476"/>
      <c r="R649" s="1002"/>
      <c r="S649" s="1002"/>
      <c r="T649" s="476"/>
      <c r="U649" s="476"/>
      <c r="V649" s="1002"/>
      <c r="W649" s="476"/>
      <c r="X649" s="476"/>
      <c r="Y649" s="476"/>
      <c r="Z649" s="476"/>
      <c r="AA649" s="476"/>
    </row>
    <row r="650" spans="1:27" ht="15" customHeight="1">
      <c r="A650" s="476"/>
      <c r="B650" s="476"/>
      <c r="C650" s="1001"/>
      <c r="D650" s="1002"/>
      <c r="E650" s="476"/>
      <c r="F650" s="1002"/>
      <c r="G650" s="1003"/>
      <c r="H650" s="1002"/>
      <c r="I650" s="1002"/>
      <c r="J650" s="1002"/>
      <c r="K650" s="1002"/>
      <c r="L650" s="1002"/>
      <c r="M650" s="1002"/>
      <c r="N650" s="1002"/>
      <c r="O650" s="476"/>
      <c r="P650" s="1002"/>
      <c r="Q650" s="476"/>
      <c r="R650" s="1002"/>
      <c r="S650" s="1002"/>
      <c r="T650" s="476"/>
      <c r="U650" s="476"/>
      <c r="V650" s="1002"/>
      <c r="W650" s="476"/>
      <c r="X650" s="476"/>
      <c r="Y650" s="476"/>
      <c r="Z650" s="476"/>
      <c r="AA650" s="476"/>
    </row>
    <row r="651" spans="1:27" ht="15" customHeight="1">
      <c r="A651" s="476"/>
      <c r="B651" s="476"/>
      <c r="C651" s="1001"/>
      <c r="D651" s="1002"/>
      <c r="E651" s="476"/>
      <c r="F651" s="1002"/>
      <c r="G651" s="1003"/>
      <c r="H651" s="1002"/>
      <c r="I651" s="1002"/>
      <c r="J651" s="1002"/>
      <c r="K651" s="1002"/>
      <c r="L651" s="1002"/>
      <c r="M651" s="1002"/>
      <c r="N651" s="1002"/>
      <c r="O651" s="476"/>
      <c r="P651" s="1002"/>
      <c r="Q651" s="476"/>
      <c r="R651" s="1002"/>
      <c r="S651" s="1002"/>
      <c r="T651" s="476"/>
      <c r="U651" s="476"/>
      <c r="V651" s="1002"/>
      <c r="W651" s="476"/>
      <c r="X651" s="476"/>
      <c r="Y651" s="476"/>
      <c r="Z651" s="476"/>
      <c r="AA651" s="476"/>
    </row>
    <row r="652" spans="1:27" ht="15" customHeight="1">
      <c r="A652" s="476"/>
      <c r="B652" s="476"/>
      <c r="C652" s="1001"/>
      <c r="D652" s="1002"/>
      <c r="E652" s="476"/>
      <c r="F652" s="1002"/>
      <c r="G652" s="1003"/>
      <c r="H652" s="1002"/>
      <c r="I652" s="1002"/>
      <c r="J652" s="1002"/>
      <c r="K652" s="1002"/>
      <c r="L652" s="1002"/>
      <c r="M652" s="1002"/>
      <c r="N652" s="1002"/>
      <c r="O652" s="476"/>
      <c r="P652" s="1002"/>
      <c r="Q652" s="476"/>
      <c r="R652" s="1002"/>
      <c r="S652" s="1002"/>
      <c r="T652" s="476"/>
      <c r="U652" s="476"/>
      <c r="V652" s="1002"/>
      <c r="W652" s="476"/>
      <c r="X652" s="476"/>
      <c r="Y652" s="476"/>
      <c r="Z652" s="476"/>
      <c r="AA652" s="476"/>
    </row>
    <row r="653" spans="1:27" ht="15" customHeight="1">
      <c r="A653" s="476"/>
      <c r="B653" s="476"/>
      <c r="C653" s="1001"/>
      <c r="D653" s="1002"/>
      <c r="E653" s="476"/>
      <c r="F653" s="1002"/>
      <c r="G653" s="1003"/>
      <c r="H653" s="1002"/>
      <c r="I653" s="1002"/>
      <c r="J653" s="1002"/>
      <c r="K653" s="1002"/>
      <c r="L653" s="1002"/>
      <c r="M653" s="1002"/>
      <c r="N653" s="1002"/>
      <c r="O653" s="476"/>
      <c r="P653" s="1002"/>
      <c r="Q653" s="476"/>
      <c r="R653" s="1002"/>
      <c r="S653" s="1002"/>
      <c r="T653" s="476"/>
      <c r="U653" s="476"/>
      <c r="V653" s="1002"/>
      <c r="W653" s="476"/>
      <c r="X653" s="476"/>
      <c r="Y653" s="476"/>
      <c r="Z653" s="476"/>
      <c r="AA653" s="476"/>
    </row>
    <row r="654" spans="1:27" ht="15" customHeight="1">
      <c r="A654" s="476"/>
      <c r="B654" s="476"/>
      <c r="C654" s="1001"/>
      <c r="D654" s="1002"/>
      <c r="E654" s="476"/>
      <c r="F654" s="1002"/>
      <c r="G654" s="1003"/>
      <c r="H654" s="1002"/>
      <c r="I654" s="1002"/>
      <c r="J654" s="1002"/>
      <c r="K654" s="1002"/>
      <c r="L654" s="1002"/>
      <c r="M654" s="1002"/>
      <c r="N654" s="1002"/>
      <c r="O654" s="476"/>
      <c r="P654" s="1002"/>
      <c r="Q654" s="476"/>
      <c r="R654" s="1002"/>
      <c r="S654" s="1002"/>
      <c r="T654" s="476"/>
      <c r="U654" s="476"/>
      <c r="V654" s="1002"/>
      <c r="W654" s="476"/>
      <c r="X654" s="476"/>
      <c r="Y654" s="476"/>
      <c r="Z654" s="476"/>
      <c r="AA654" s="476"/>
    </row>
    <row r="655" spans="1:27" ht="15" customHeight="1">
      <c r="A655" s="476"/>
      <c r="B655" s="476"/>
      <c r="C655" s="1001"/>
      <c r="D655" s="1002"/>
      <c r="E655" s="476"/>
      <c r="F655" s="1002"/>
      <c r="G655" s="1003"/>
      <c r="H655" s="1002"/>
      <c r="I655" s="1002"/>
      <c r="J655" s="1002"/>
      <c r="K655" s="1002"/>
      <c r="L655" s="1002"/>
      <c r="M655" s="1002"/>
      <c r="N655" s="1002"/>
      <c r="O655" s="476"/>
      <c r="P655" s="1002"/>
      <c r="Q655" s="476"/>
      <c r="R655" s="1002"/>
      <c r="S655" s="1002"/>
      <c r="T655" s="476"/>
      <c r="U655" s="476"/>
      <c r="V655" s="1002"/>
      <c r="W655" s="476"/>
      <c r="X655" s="476"/>
      <c r="Y655" s="476"/>
      <c r="Z655" s="476"/>
      <c r="AA655" s="476"/>
    </row>
    <row r="656" spans="1:27" ht="15" customHeight="1">
      <c r="A656" s="476"/>
      <c r="B656" s="476"/>
      <c r="C656" s="1001"/>
      <c r="D656" s="1002"/>
      <c r="E656" s="476"/>
      <c r="F656" s="1002"/>
      <c r="G656" s="1003"/>
      <c r="H656" s="1002"/>
      <c r="I656" s="1002"/>
      <c r="J656" s="1002"/>
      <c r="K656" s="1002"/>
      <c r="L656" s="1002"/>
      <c r="M656" s="1002"/>
      <c r="N656" s="1002"/>
      <c r="O656" s="476"/>
      <c r="P656" s="1002"/>
      <c r="Q656" s="476"/>
      <c r="R656" s="1002"/>
      <c r="S656" s="1002"/>
      <c r="T656" s="476"/>
      <c r="U656" s="476"/>
      <c r="V656" s="1002"/>
      <c r="W656" s="476"/>
      <c r="X656" s="476"/>
      <c r="Y656" s="476"/>
      <c r="Z656" s="476"/>
      <c r="AA656" s="476"/>
    </row>
    <row r="657" spans="1:27" ht="15" customHeight="1">
      <c r="A657" s="476"/>
      <c r="B657" s="476"/>
      <c r="C657" s="1001"/>
      <c r="D657" s="1002"/>
      <c r="E657" s="476"/>
      <c r="F657" s="1002"/>
      <c r="G657" s="1003"/>
      <c r="H657" s="1002"/>
      <c r="I657" s="1002"/>
      <c r="J657" s="1002"/>
      <c r="K657" s="1002"/>
      <c r="L657" s="1002"/>
      <c r="M657" s="1002"/>
      <c r="N657" s="1002"/>
      <c r="O657" s="476"/>
      <c r="P657" s="1002"/>
      <c r="Q657" s="476"/>
      <c r="R657" s="1002"/>
      <c r="S657" s="1002"/>
      <c r="T657" s="476"/>
      <c r="U657" s="476"/>
      <c r="V657" s="1002"/>
      <c r="W657" s="476"/>
      <c r="X657" s="476"/>
      <c r="Y657" s="476"/>
      <c r="Z657" s="476"/>
      <c r="AA657" s="476"/>
    </row>
    <row r="658" spans="1:27" ht="15" customHeight="1">
      <c r="A658" s="476"/>
      <c r="B658" s="476"/>
      <c r="C658" s="1001"/>
      <c r="D658" s="1002"/>
      <c r="E658" s="476"/>
      <c r="F658" s="1002"/>
      <c r="G658" s="1003"/>
      <c r="H658" s="1002"/>
      <c r="I658" s="1002"/>
      <c r="J658" s="1002"/>
      <c r="K658" s="1002"/>
      <c r="L658" s="1002"/>
      <c r="M658" s="1002"/>
      <c r="N658" s="1002"/>
      <c r="O658" s="476"/>
      <c r="P658" s="1002"/>
      <c r="Q658" s="476"/>
      <c r="R658" s="1002"/>
      <c r="S658" s="1002"/>
      <c r="T658" s="476"/>
      <c r="U658" s="476"/>
      <c r="V658" s="1002"/>
      <c r="W658" s="476"/>
      <c r="X658" s="476"/>
      <c r="Y658" s="476"/>
      <c r="Z658" s="476"/>
      <c r="AA658" s="476"/>
    </row>
    <row r="659" spans="1:27" ht="15" customHeight="1">
      <c r="A659" s="476"/>
      <c r="B659" s="476"/>
      <c r="C659" s="1001"/>
      <c r="D659" s="1002"/>
      <c r="E659" s="476"/>
      <c r="F659" s="1002"/>
      <c r="G659" s="1003"/>
      <c r="H659" s="1002"/>
      <c r="I659" s="1002"/>
      <c r="J659" s="1002"/>
      <c r="K659" s="1002"/>
      <c r="L659" s="1002"/>
      <c r="M659" s="1002"/>
      <c r="N659" s="1002"/>
      <c r="O659" s="476"/>
      <c r="P659" s="1002"/>
      <c r="Q659" s="476"/>
      <c r="R659" s="1002"/>
      <c r="S659" s="1002"/>
      <c r="T659" s="476"/>
      <c r="U659" s="476"/>
      <c r="V659" s="1002"/>
      <c r="W659" s="476"/>
      <c r="X659" s="476"/>
      <c r="Y659" s="476"/>
      <c r="Z659" s="476"/>
      <c r="AA659" s="476"/>
    </row>
    <row r="660" spans="1:27" ht="15" customHeight="1">
      <c r="A660" s="476"/>
      <c r="B660" s="476"/>
      <c r="C660" s="1001"/>
      <c r="D660" s="1002"/>
      <c r="E660" s="476"/>
      <c r="F660" s="1002"/>
      <c r="G660" s="1003"/>
      <c r="H660" s="1002"/>
      <c r="I660" s="1002"/>
      <c r="J660" s="1002"/>
      <c r="K660" s="1002"/>
      <c r="L660" s="1002"/>
      <c r="M660" s="1002"/>
      <c r="N660" s="1002"/>
      <c r="O660" s="476"/>
      <c r="P660" s="1002"/>
      <c r="Q660" s="476"/>
      <c r="R660" s="1002"/>
      <c r="S660" s="1002"/>
      <c r="T660" s="476"/>
      <c r="U660" s="476"/>
      <c r="V660" s="1002"/>
      <c r="W660" s="476"/>
      <c r="X660" s="476"/>
      <c r="Y660" s="476"/>
      <c r="Z660" s="476"/>
      <c r="AA660" s="476"/>
    </row>
    <row r="661" spans="1:27" ht="15" customHeight="1">
      <c r="A661" s="476"/>
      <c r="B661" s="476"/>
      <c r="C661" s="1001"/>
      <c r="D661" s="1002"/>
      <c r="E661" s="476"/>
      <c r="F661" s="1002"/>
      <c r="G661" s="1003"/>
      <c r="H661" s="1002"/>
      <c r="I661" s="1002"/>
      <c r="J661" s="1002"/>
      <c r="K661" s="1002"/>
      <c r="L661" s="1002"/>
      <c r="M661" s="1002"/>
      <c r="N661" s="1002"/>
      <c r="O661" s="476"/>
      <c r="P661" s="1002"/>
      <c r="Q661" s="476"/>
      <c r="R661" s="1002"/>
      <c r="S661" s="1002"/>
      <c r="T661" s="476"/>
      <c r="U661" s="476"/>
      <c r="V661" s="1002"/>
      <c r="W661" s="476"/>
      <c r="X661" s="476"/>
      <c r="Y661" s="476"/>
      <c r="Z661" s="476"/>
      <c r="AA661" s="476"/>
    </row>
    <row r="662" spans="1:27" ht="15" customHeight="1">
      <c r="A662" s="476"/>
      <c r="B662" s="476"/>
      <c r="C662" s="1001"/>
      <c r="D662" s="1002"/>
      <c r="E662" s="476"/>
      <c r="F662" s="1002"/>
      <c r="G662" s="1003"/>
      <c r="H662" s="1002"/>
      <c r="I662" s="1002"/>
      <c r="J662" s="1002"/>
      <c r="K662" s="1002"/>
      <c r="L662" s="1002"/>
      <c r="M662" s="1002"/>
      <c r="N662" s="1002"/>
      <c r="O662" s="476"/>
      <c r="P662" s="1002"/>
      <c r="Q662" s="476"/>
      <c r="R662" s="1002"/>
      <c r="S662" s="1002"/>
      <c r="T662" s="476"/>
      <c r="U662" s="476"/>
      <c r="V662" s="1002"/>
      <c r="W662" s="476"/>
      <c r="X662" s="476"/>
      <c r="Y662" s="476"/>
      <c r="Z662" s="476"/>
      <c r="AA662" s="476"/>
    </row>
    <row r="663" spans="1:27" ht="15" customHeight="1">
      <c r="A663" s="476"/>
      <c r="B663" s="476"/>
      <c r="C663" s="1001"/>
      <c r="D663" s="1002"/>
      <c r="E663" s="476"/>
      <c r="F663" s="1002"/>
      <c r="G663" s="1003"/>
      <c r="H663" s="1002"/>
      <c r="I663" s="1002"/>
      <c r="J663" s="1002"/>
      <c r="K663" s="1002"/>
      <c r="L663" s="1002"/>
      <c r="M663" s="1002"/>
      <c r="N663" s="1002"/>
      <c r="O663" s="476"/>
      <c r="P663" s="1002"/>
      <c r="Q663" s="476"/>
      <c r="R663" s="1002"/>
      <c r="S663" s="1002"/>
      <c r="T663" s="476"/>
      <c r="U663" s="476"/>
      <c r="V663" s="1002"/>
      <c r="W663" s="476"/>
      <c r="X663" s="476"/>
      <c r="Y663" s="476"/>
      <c r="Z663" s="476"/>
      <c r="AA663" s="476"/>
    </row>
    <row r="664" spans="1:27" ht="15" customHeight="1">
      <c r="A664" s="476"/>
      <c r="B664" s="476"/>
      <c r="C664" s="1001"/>
      <c r="D664" s="1002"/>
      <c r="E664" s="476"/>
      <c r="F664" s="1002"/>
      <c r="G664" s="1003"/>
      <c r="H664" s="1002"/>
      <c r="I664" s="1002"/>
      <c r="J664" s="1002"/>
      <c r="K664" s="1002"/>
      <c r="L664" s="1002"/>
      <c r="M664" s="1002"/>
      <c r="N664" s="1002"/>
      <c r="O664" s="476"/>
      <c r="P664" s="1002"/>
      <c r="Q664" s="476"/>
      <c r="R664" s="1002"/>
      <c r="S664" s="1002"/>
      <c r="T664" s="476"/>
      <c r="U664" s="476"/>
      <c r="V664" s="1002"/>
      <c r="W664" s="476"/>
      <c r="X664" s="476"/>
      <c r="Y664" s="476"/>
      <c r="Z664" s="476"/>
      <c r="AA664" s="476"/>
    </row>
    <row r="665" spans="1:27" ht="15" customHeight="1">
      <c r="A665" s="476"/>
      <c r="B665" s="476"/>
      <c r="C665" s="1001"/>
      <c r="D665" s="1002"/>
      <c r="E665" s="476"/>
      <c r="F665" s="1002"/>
      <c r="G665" s="1003"/>
      <c r="H665" s="1002"/>
      <c r="I665" s="1002"/>
      <c r="J665" s="1002"/>
      <c r="K665" s="1002"/>
      <c r="L665" s="1002"/>
      <c r="M665" s="1002"/>
      <c r="N665" s="1002"/>
      <c r="O665" s="476"/>
      <c r="P665" s="1002"/>
      <c r="Q665" s="476"/>
      <c r="R665" s="1002"/>
      <c r="S665" s="1002"/>
      <c r="T665" s="476"/>
      <c r="U665" s="476"/>
      <c r="V665" s="1002"/>
      <c r="W665" s="476"/>
      <c r="X665" s="476"/>
      <c r="Y665" s="476"/>
      <c r="Z665" s="476"/>
      <c r="AA665" s="476"/>
    </row>
    <row r="666" spans="1:27" ht="15" customHeight="1">
      <c r="A666" s="476"/>
      <c r="B666" s="476"/>
      <c r="C666" s="1001"/>
      <c r="D666" s="1002"/>
      <c r="E666" s="476"/>
      <c r="F666" s="1002"/>
      <c r="G666" s="1003"/>
      <c r="H666" s="1002"/>
      <c r="I666" s="1002"/>
      <c r="J666" s="1002"/>
      <c r="K666" s="1002"/>
      <c r="L666" s="1002"/>
      <c r="M666" s="1002"/>
      <c r="N666" s="1002"/>
      <c r="O666" s="476"/>
      <c r="P666" s="1002"/>
      <c r="Q666" s="476"/>
      <c r="R666" s="1002"/>
      <c r="S666" s="1002"/>
      <c r="T666" s="476"/>
      <c r="U666" s="476"/>
      <c r="V666" s="1002"/>
      <c r="W666" s="476"/>
      <c r="X666" s="476"/>
      <c r="Y666" s="476"/>
      <c r="Z666" s="476"/>
      <c r="AA666" s="476"/>
    </row>
    <row r="667" spans="1:27" ht="15" customHeight="1">
      <c r="A667" s="476"/>
      <c r="B667" s="476"/>
      <c r="C667" s="1001"/>
      <c r="D667" s="1002"/>
      <c r="E667" s="476"/>
      <c r="F667" s="1002"/>
      <c r="G667" s="1003"/>
      <c r="H667" s="1002"/>
      <c r="I667" s="1002"/>
      <c r="J667" s="1002"/>
      <c r="K667" s="1002"/>
      <c r="L667" s="1002"/>
      <c r="M667" s="1002"/>
      <c r="N667" s="1002"/>
      <c r="O667" s="476"/>
      <c r="P667" s="1002"/>
      <c r="Q667" s="476"/>
      <c r="R667" s="1002"/>
      <c r="S667" s="1002"/>
      <c r="T667" s="476"/>
      <c r="U667" s="476"/>
      <c r="V667" s="1002"/>
      <c r="W667" s="476"/>
      <c r="X667" s="476"/>
      <c r="Y667" s="476"/>
      <c r="Z667" s="476"/>
      <c r="AA667" s="476"/>
    </row>
    <row r="668" spans="1:27" ht="15" customHeight="1">
      <c r="A668" s="476"/>
      <c r="B668" s="476"/>
      <c r="C668" s="1001"/>
      <c r="D668" s="1002"/>
      <c r="E668" s="476"/>
      <c r="F668" s="1002"/>
      <c r="G668" s="1003"/>
      <c r="H668" s="1002"/>
      <c r="I668" s="1002"/>
      <c r="J668" s="1002"/>
      <c r="K668" s="1002"/>
      <c r="L668" s="1002"/>
      <c r="M668" s="1002"/>
      <c r="N668" s="1002"/>
      <c r="O668" s="476"/>
      <c r="P668" s="1002"/>
      <c r="Q668" s="476"/>
      <c r="R668" s="1002"/>
      <c r="S668" s="1002"/>
      <c r="T668" s="476"/>
      <c r="U668" s="476"/>
      <c r="V668" s="1002"/>
      <c r="W668" s="476"/>
      <c r="X668" s="476"/>
      <c r="Y668" s="476"/>
      <c r="Z668" s="476"/>
      <c r="AA668" s="476"/>
    </row>
    <row r="669" spans="1:27" ht="15" customHeight="1">
      <c r="A669" s="476"/>
      <c r="B669" s="476"/>
      <c r="C669" s="1001"/>
      <c r="D669" s="1002"/>
      <c r="E669" s="476"/>
      <c r="F669" s="1002"/>
      <c r="G669" s="1003"/>
      <c r="H669" s="1002"/>
      <c r="I669" s="1002"/>
      <c r="J669" s="1002"/>
      <c r="K669" s="1002"/>
      <c r="L669" s="1002"/>
      <c r="M669" s="1002"/>
      <c r="N669" s="1002"/>
      <c r="O669" s="476"/>
      <c r="P669" s="1002"/>
      <c r="Q669" s="476"/>
      <c r="R669" s="1002"/>
      <c r="S669" s="1002"/>
      <c r="T669" s="476"/>
      <c r="U669" s="476"/>
      <c r="V669" s="1002"/>
      <c r="W669" s="476"/>
      <c r="X669" s="476"/>
      <c r="Y669" s="476"/>
      <c r="Z669" s="476"/>
      <c r="AA669" s="476"/>
    </row>
    <row r="670" spans="1:27" ht="15" customHeight="1">
      <c r="A670" s="476"/>
      <c r="B670" s="476"/>
      <c r="C670" s="1001"/>
      <c r="D670" s="1002"/>
      <c r="E670" s="476"/>
      <c r="F670" s="1002"/>
      <c r="G670" s="1003"/>
      <c r="H670" s="1002"/>
      <c r="I670" s="1002"/>
      <c r="J670" s="1002"/>
      <c r="K670" s="1002"/>
      <c r="L670" s="1002"/>
      <c r="M670" s="1002"/>
      <c r="N670" s="1002"/>
      <c r="O670" s="476"/>
      <c r="P670" s="1002"/>
      <c r="Q670" s="476"/>
      <c r="R670" s="1002"/>
      <c r="S670" s="1002"/>
      <c r="T670" s="476"/>
      <c r="U670" s="476"/>
      <c r="V670" s="1002"/>
      <c r="W670" s="476"/>
      <c r="X670" s="476"/>
      <c r="Y670" s="476"/>
      <c r="Z670" s="476"/>
      <c r="AA670" s="476"/>
    </row>
    <row r="671" spans="1:27" ht="15" customHeight="1">
      <c r="A671" s="476"/>
      <c r="B671" s="476"/>
      <c r="C671" s="1001"/>
      <c r="D671" s="1002"/>
      <c r="E671" s="476"/>
      <c r="F671" s="1002"/>
      <c r="G671" s="1003"/>
      <c r="H671" s="1002"/>
      <c r="I671" s="1002"/>
      <c r="J671" s="1002"/>
      <c r="K671" s="1002"/>
      <c r="L671" s="1002"/>
      <c r="M671" s="1002"/>
      <c r="N671" s="1002"/>
      <c r="O671" s="476"/>
      <c r="P671" s="1002"/>
      <c r="Q671" s="476"/>
      <c r="R671" s="1002"/>
      <c r="S671" s="1002"/>
      <c r="T671" s="476"/>
      <c r="U671" s="476"/>
      <c r="V671" s="1002"/>
      <c r="W671" s="476"/>
      <c r="X671" s="476"/>
      <c r="Y671" s="476"/>
      <c r="Z671" s="476"/>
      <c r="AA671" s="476"/>
    </row>
    <row r="672" spans="1:27" ht="15" customHeight="1">
      <c r="A672" s="476"/>
      <c r="B672" s="476"/>
      <c r="C672" s="1001"/>
      <c r="D672" s="1002"/>
      <c r="E672" s="476"/>
      <c r="F672" s="1002"/>
      <c r="G672" s="1003"/>
      <c r="H672" s="1002"/>
      <c r="I672" s="1002"/>
      <c r="J672" s="1002"/>
      <c r="K672" s="1002"/>
      <c r="L672" s="1002"/>
      <c r="M672" s="1002"/>
      <c r="N672" s="1002"/>
      <c r="O672" s="476"/>
      <c r="P672" s="1002"/>
      <c r="Q672" s="476"/>
      <c r="R672" s="1002"/>
      <c r="S672" s="1002"/>
      <c r="T672" s="476"/>
      <c r="U672" s="476"/>
      <c r="V672" s="1002"/>
      <c r="W672" s="476"/>
      <c r="X672" s="476"/>
      <c r="Y672" s="476"/>
      <c r="Z672" s="476"/>
      <c r="AA672" s="476"/>
    </row>
    <row r="673" spans="1:27" ht="15" customHeight="1">
      <c r="A673" s="476"/>
      <c r="B673" s="476"/>
      <c r="C673" s="1001"/>
      <c r="D673" s="1002"/>
      <c r="E673" s="476"/>
      <c r="F673" s="1002"/>
      <c r="G673" s="1003"/>
      <c r="H673" s="1002"/>
      <c r="I673" s="1002"/>
      <c r="J673" s="1002"/>
      <c r="K673" s="1002"/>
      <c r="L673" s="1002"/>
      <c r="M673" s="1002"/>
      <c r="N673" s="1002"/>
      <c r="O673" s="476"/>
      <c r="P673" s="1002"/>
      <c r="Q673" s="476"/>
      <c r="R673" s="1002"/>
      <c r="S673" s="1002"/>
      <c r="T673" s="476"/>
      <c r="U673" s="476"/>
      <c r="V673" s="1002"/>
      <c r="W673" s="476"/>
      <c r="X673" s="476"/>
      <c r="Y673" s="476"/>
      <c r="Z673" s="476"/>
      <c r="AA673" s="476"/>
    </row>
    <row r="674" spans="1:27" ht="15" customHeight="1">
      <c r="A674" s="476"/>
      <c r="B674" s="476"/>
      <c r="C674" s="1001"/>
      <c r="D674" s="1002"/>
      <c r="E674" s="476"/>
      <c r="F674" s="1002"/>
      <c r="G674" s="1003"/>
      <c r="H674" s="1002"/>
      <c r="I674" s="1002"/>
      <c r="J674" s="1002"/>
      <c r="K674" s="1002"/>
      <c r="L674" s="1002"/>
      <c r="M674" s="1002"/>
      <c r="N674" s="1002"/>
      <c r="O674" s="476"/>
      <c r="P674" s="1002"/>
      <c r="Q674" s="476"/>
      <c r="R674" s="1002"/>
      <c r="S674" s="1002"/>
      <c r="T674" s="476"/>
      <c r="U674" s="476"/>
      <c r="V674" s="1002"/>
      <c r="W674" s="476"/>
      <c r="X674" s="476"/>
      <c r="Y674" s="476"/>
      <c r="Z674" s="476"/>
      <c r="AA674" s="476"/>
    </row>
    <row r="675" spans="1:27" ht="15" customHeight="1">
      <c r="A675" s="476"/>
      <c r="B675" s="476"/>
      <c r="C675" s="1001"/>
      <c r="D675" s="1002"/>
      <c r="E675" s="476"/>
      <c r="F675" s="1002"/>
      <c r="G675" s="1003"/>
      <c r="H675" s="1002"/>
      <c r="I675" s="1002"/>
      <c r="J675" s="1002"/>
      <c r="K675" s="1002"/>
      <c r="L675" s="1002"/>
      <c r="M675" s="1002"/>
      <c r="N675" s="1002"/>
      <c r="O675" s="476"/>
      <c r="P675" s="1002"/>
      <c r="Q675" s="476"/>
      <c r="R675" s="1002"/>
      <c r="S675" s="1002"/>
      <c r="T675" s="476"/>
      <c r="U675" s="476"/>
      <c r="V675" s="1002"/>
      <c r="W675" s="476"/>
      <c r="X675" s="476"/>
      <c r="Y675" s="476"/>
      <c r="Z675" s="476"/>
      <c r="AA675" s="476"/>
    </row>
    <row r="676" spans="1:27" ht="15" customHeight="1">
      <c r="A676" s="476"/>
      <c r="B676" s="476"/>
      <c r="C676" s="1001"/>
      <c r="D676" s="1002"/>
      <c r="E676" s="476"/>
      <c r="F676" s="1002"/>
      <c r="G676" s="1003"/>
      <c r="H676" s="1002"/>
      <c r="I676" s="1002"/>
      <c r="J676" s="1002"/>
      <c r="K676" s="1002"/>
      <c r="L676" s="1002"/>
      <c r="M676" s="1002"/>
      <c r="N676" s="1002"/>
      <c r="O676" s="476"/>
      <c r="P676" s="1002"/>
      <c r="Q676" s="476"/>
      <c r="R676" s="1002"/>
      <c r="S676" s="1002"/>
      <c r="T676" s="476"/>
      <c r="U676" s="476"/>
      <c r="V676" s="1002"/>
      <c r="W676" s="476"/>
      <c r="X676" s="476"/>
      <c r="Y676" s="476"/>
      <c r="Z676" s="476"/>
      <c r="AA676" s="476"/>
    </row>
    <row r="677" spans="1:27" ht="15" customHeight="1">
      <c r="A677" s="476"/>
      <c r="B677" s="476"/>
      <c r="C677" s="1001"/>
      <c r="D677" s="1002"/>
      <c r="E677" s="476"/>
      <c r="F677" s="1002"/>
      <c r="G677" s="1003"/>
      <c r="H677" s="1002"/>
      <c r="I677" s="1002"/>
      <c r="J677" s="1002"/>
      <c r="K677" s="1002"/>
      <c r="L677" s="1002"/>
      <c r="M677" s="1002"/>
      <c r="N677" s="1002"/>
      <c r="O677" s="476"/>
      <c r="P677" s="1002"/>
      <c r="Q677" s="476"/>
      <c r="R677" s="1002"/>
      <c r="S677" s="1002"/>
      <c r="T677" s="476"/>
      <c r="U677" s="476"/>
      <c r="V677" s="1002"/>
      <c r="W677" s="476"/>
      <c r="X677" s="476"/>
      <c r="Y677" s="476"/>
      <c r="Z677" s="476"/>
      <c r="AA677" s="476"/>
    </row>
    <row r="678" spans="1:27" ht="15" customHeight="1">
      <c r="A678" s="476"/>
      <c r="B678" s="476"/>
      <c r="C678" s="1001"/>
      <c r="D678" s="1002"/>
      <c r="E678" s="476"/>
      <c r="F678" s="1002"/>
      <c r="G678" s="1003"/>
      <c r="H678" s="1002"/>
      <c r="I678" s="1002"/>
      <c r="J678" s="1002"/>
      <c r="K678" s="1002"/>
      <c r="L678" s="1002"/>
      <c r="M678" s="1002"/>
      <c r="N678" s="1002"/>
      <c r="O678" s="476"/>
      <c r="P678" s="1002"/>
      <c r="Q678" s="476"/>
      <c r="R678" s="1002"/>
      <c r="S678" s="1002"/>
      <c r="T678" s="476"/>
      <c r="U678" s="476"/>
      <c r="V678" s="1002"/>
      <c r="W678" s="476"/>
      <c r="X678" s="476"/>
      <c r="Y678" s="476"/>
      <c r="Z678" s="476"/>
      <c r="AA678" s="476"/>
    </row>
    <row r="679" spans="1:27" ht="15" customHeight="1">
      <c r="A679" s="476"/>
      <c r="B679" s="476"/>
      <c r="C679" s="1001"/>
      <c r="D679" s="1002"/>
      <c r="E679" s="476"/>
      <c r="F679" s="1002"/>
      <c r="G679" s="1003"/>
      <c r="H679" s="1002"/>
      <c r="I679" s="1002"/>
      <c r="J679" s="1002"/>
      <c r="K679" s="1002"/>
      <c r="L679" s="1002"/>
      <c r="M679" s="1002"/>
      <c r="N679" s="1002"/>
      <c r="O679" s="476"/>
      <c r="P679" s="1002"/>
      <c r="Q679" s="476"/>
      <c r="R679" s="1002"/>
      <c r="S679" s="1002"/>
      <c r="T679" s="476"/>
      <c r="U679" s="476"/>
      <c r="V679" s="1002"/>
      <c r="W679" s="476"/>
      <c r="X679" s="476"/>
      <c r="Y679" s="476"/>
      <c r="Z679" s="476"/>
      <c r="AA679" s="476"/>
    </row>
    <row r="680" spans="1:27" ht="15" customHeight="1">
      <c r="A680" s="476"/>
      <c r="B680" s="476"/>
      <c r="C680" s="1001"/>
      <c r="D680" s="1002"/>
      <c r="E680" s="476"/>
      <c r="F680" s="1002"/>
      <c r="G680" s="1003"/>
      <c r="H680" s="1002"/>
      <c r="I680" s="1002"/>
      <c r="J680" s="1002"/>
      <c r="K680" s="1002"/>
      <c r="L680" s="1002"/>
      <c r="M680" s="1002"/>
      <c r="N680" s="1002"/>
      <c r="O680" s="476"/>
      <c r="P680" s="1002"/>
      <c r="Q680" s="476"/>
      <c r="R680" s="1002"/>
      <c r="S680" s="1002"/>
      <c r="T680" s="476"/>
      <c r="U680" s="476"/>
      <c r="V680" s="1002"/>
      <c r="W680" s="476"/>
      <c r="X680" s="476"/>
      <c r="Y680" s="476"/>
      <c r="Z680" s="476"/>
      <c r="AA680" s="476"/>
    </row>
    <row r="681" spans="1:27" ht="15" customHeight="1">
      <c r="A681" s="476"/>
      <c r="B681" s="476"/>
      <c r="C681" s="1001"/>
      <c r="D681" s="1002"/>
      <c r="E681" s="476"/>
      <c r="F681" s="1002"/>
      <c r="G681" s="1003"/>
      <c r="H681" s="1002"/>
      <c r="I681" s="1002"/>
      <c r="J681" s="1002"/>
      <c r="K681" s="1002"/>
      <c r="L681" s="1002"/>
      <c r="M681" s="1002"/>
      <c r="N681" s="1002"/>
      <c r="O681" s="476"/>
      <c r="P681" s="1002"/>
      <c r="Q681" s="476"/>
      <c r="R681" s="1002"/>
      <c r="S681" s="1002"/>
      <c r="T681" s="476"/>
      <c r="U681" s="476"/>
      <c r="V681" s="1002"/>
      <c r="W681" s="476"/>
      <c r="X681" s="476"/>
      <c r="Y681" s="476"/>
      <c r="Z681" s="476"/>
      <c r="AA681" s="476"/>
    </row>
    <row r="682" spans="1:27" ht="15" customHeight="1">
      <c r="A682" s="476"/>
      <c r="B682" s="476"/>
      <c r="C682" s="1001"/>
      <c r="D682" s="1002"/>
      <c r="E682" s="476"/>
      <c r="F682" s="1002"/>
      <c r="G682" s="1003"/>
      <c r="H682" s="1002"/>
      <c r="I682" s="1002"/>
      <c r="J682" s="1002"/>
      <c r="K682" s="1002"/>
      <c r="L682" s="1002"/>
      <c r="M682" s="1002"/>
      <c r="N682" s="1002"/>
      <c r="O682" s="476"/>
      <c r="P682" s="1002"/>
      <c r="Q682" s="476"/>
      <c r="R682" s="1002"/>
      <c r="S682" s="1002"/>
      <c r="T682" s="476"/>
      <c r="U682" s="476"/>
      <c r="V682" s="1002"/>
      <c r="W682" s="476"/>
      <c r="X682" s="476"/>
      <c r="Y682" s="476"/>
      <c r="Z682" s="476"/>
      <c r="AA682" s="476"/>
    </row>
    <row r="683" spans="1:27" ht="15" customHeight="1">
      <c r="A683" s="476"/>
      <c r="B683" s="476"/>
      <c r="C683" s="1001"/>
      <c r="D683" s="1002"/>
      <c r="E683" s="476"/>
      <c r="F683" s="1002"/>
      <c r="G683" s="1003"/>
      <c r="H683" s="1002"/>
      <c r="I683" s="1002"/>
      <c r="J683" s="1002"/>
      <c r="K683" s="1002"/>
      <c r="L683" s="1002"/>
      <c r="M683" s="1002"/>
      <c r="N683" s="1002"/>
      <c r="O683" s="476"/>
      <c r="P683" s="1002"/>
      <c r="Q683" s="476"/>
      <c r="R683" s="1002"/>
      <c r="S683" s="1002"/>
      <c r="T683" s="476"/>
      <c r="U683" s="476"/>
      <c r="V683" s="1002"/>
      <c r="W683" s="476"/>
      <c r="X683" s="476"/>
      <c r="Y683" s="476"/>
      <c r="Z683" s="476"/>
      <c r="AA683" s="476"/>
    </row>
    <row r="684" spans="1:27" ht="15" customHeight="1">
      <c r="A684" s="476"/>
      <c r="B684" s="476"/>
      <c r="C684" s="1001"/>
      <c r="D684" s="1002"/>
      <c r="E684" s="476"/>
      <c r="F684" s="1002"/>
      <c r="G684" s="1003"/>
      <c r="H684" s="1002"/>
      <c r="I684" s="1002"/>
      <c r="J684" s="1002"/>
      <c r="K684" s="1002"/>
      <c r="L684" s="1002"/>
      <c r="M684" s="1002"/>
      <c r="N684" s="1002"/>
      <c r="O684" s="476"/>
      <c r="P684" s="1002"/>
      <c r="Q684" s="476"/>
      <c r="R684" s="1002"/>
      <c r="S684" s="1002"/>
      <c r="T684" s="476"/>
      <c r="U684" s="476"/>
      <c r="V684" s="1002"/>
      <c r="W684" s="476"/>
      <c r="X684" s="476"/>
      <c r="Y684" s="476"/>
      <c r="Z684" s="476"/>
      <c r="AA684" s="476"/>
    </row>
    <row r="685" spans="1:27" ht="15" customHeight="1">
      <c r="A685" s="476"/>
      <c r="B685" s="476"/>
      <c r="C685" s="1001"/>
      <c r="D685" s="1002"/>
      <c r="E685" s="476"/>
      <c r="F685" s="1002"/>
      <c r="G685" s="1003"/>
      <c r="H685" s="1002"/>
      <c r="I685" s="1002"/>
      <c r="J685" s="1002"/>
      <c r="K685" s="1002"/>
      <c r="L685" s="1002"/>
      <c r="M685" s="1002"/>
      <c r="N685" s="1002"/>
      <c r="O685" s="476"/>
      <c r="P685" s="1002"/>
      <c r="Q685" s="476"/>
      <c r="R685" s="1002"/>
      <c r="S685" s="1002"/>
      <c r="T685" s="476"/>
      <c r="U685" s="476"/>
      <c r="V685" s="1002"/>
      <c r="W685" s="476"/>
      <c r="X685" s="476"/>
      <c r="Y685" s="476"/>
      <c r="Z685" s="476"/>
      <c r="AA685" s="476"/>
    </row>
    <row r="686" spans="1:27" ht="15" customHeight="1">
      <c r="A686" s="476"/>
      <c r="B686" s="476"/>
      <c r="C686" s="1001"/>
      <c r="D686" s="1002"/>
      <c r="E686" s="476"/>
      <c r="F686" s="1002"/>
      <c r="G686" s="1003"/>
      <c r="H686" s="1002"/>
      <c r="I686" s="1002"/>
      <c r="J686" s="1002"/>
      <c r="K686" s="1002"/>
      <c r="L686" s="1002"/>
      <c r="M686" s="1002"/>
      <c r="N686" s="1002"/>
      <c r="O686" s="476"/>
      <c r="P686" s="1002"/>
      <c r="Q686" s="476"/>
      <c r="R686" s="1002"/>
      <c r="S686" s="1002"/>
      <c r="T686" s="476"/>
      <c r="U686" s="476"/>
      <c r="V686" s="1002"/>
      <c r="W686" s="476"/>
      <c r="X686" s="476"/>
      <c r="Y686" s="476"/>
      <c r="Z686" s="476"/>
      <c r="AA686" s="476"/>
    </row>
    <row r="687" spans="1:27" ht="15" customHeight="1">
      <c r="A687" s="476"/>
      <c r="B687" s="476"/>
      <c r="C687" s="1001"/>
      <c r="D687" s="1002"/>
      <c r="E687" s="476"/>
      <c r="F687" s="1002"/>
      <c r="G687" s="1003"/>
      <c r="H687" s="1002"/>
      <c r="I687" s="1002"/>
      <c r="J687" s="1002"/>
      <c r="K687" s="1002"/>
      <c r="L687" s="1002"/>
      <c r="M687" s="1002"/>
      <c r="N687" s="1002"/>
      <c r="O687" s="476"/>
      <c r="P687" s="1002"/>
      <c r="Q687" s="476"/>
      <c r="R687" s="1002"/>
      <c r="S687" s="1002"/>
      <c r="T687" s="476"/>
      <c r="U687" s="476"/>
      <c r="V687" s="1002"/>
      <c r="W687" s="476"/>
      <c r="X687" s="476"/>
      <c r="Y687" s="476"/>
      <c r="Z687" s="476"/>
      <c r="AA687" s="476"/>
    </row>
    <row r="688" spans="1:27" ht="15" customHeight="1">
      <c r="A688" s="476"/>
      <c r="B688" s="476"/>
      <c r="C688" s="1001"/>
      <c r="D688" s="1002"/>
      <c r="E688" s="476"/>
      <c r="F688" s="1002"/>
      <c r="G688" s="1003"/>
      <c r="H688" s="1002"/>
      <c r="I688" s="1002"/>
      <c r="J688" s="1002"/>
      <c r="K688" s="1002"/>
      <c r="L688" s="1002"/>
      <c r="M688" s="1002"/>
      <c r="N688" s="1002"/>
      <c r="O688" s="476"/>
      <c r="P688" s="1002"/>
      <c r="Q688" s="476"/>
      <c r="R688" s="1002"/>
      <c r="S688" s="1002"/>
      <c r="T688" s="476"/>
      <c r="U688" s="476"/>
      <c r="V688" s="1002"/>
      <c r="W688" s="476"/>
      <c r="X688" s="476"/>
      <c r="Y688" s="476"/>
      <c r="Z688" s="476"/>
      <c r="AA688" s="476"/>
    </row>
    <row r="689" spans="1:27" ht="15" customHeight="1">
      <c r="A689" s="476"/>
      <c r="B689" s="476"/>
      <c r="C689" s="1001"/>
      <c r="D689" s="1002"/>
      <c r="E689" s="476"/>
      <c r="F689" s="1002"/>
      <c r="G689" s="1003"/>
      <c r="H689" s="1002"/>
      <c r="I689" s="1002"/>
      <c r="J689" s="1002"/>
      <c r="K689" s="1002"/>
      <c r="L689" s="1002"/>
      <c r="M689" s="1002"/>
      <c r="N689" s="1002"/>
      <c r="O689" s="476"/>
      <c r="P689" s="1002"/>
      <c r="Q689" s="476"/>
      <c r="R689" s="1002"/>
      <c r="S689" s="1002"/>
      <c r="T689" s="476"/>
      <c r="U689" s="476"/>
      <c r="V689" s="1002"/>
      <c r="W689" s="476"/>
      <c r="X689" s="476"/>
      <c r="Y689" s="476"/>
      <c r="Z689" s="476"/>
      <c r="AA689" s="476"/>
    </row>
    <row r="690" spans="1:27" ht="15" customHeight="1">
      <c r="A690" s="476"/>
      <c r="B690" s="476"/>
      <c r="C690" s="1001"/>
      <c r="D690" s="1002"/>
      <c r="E690" s="476"/>
      <c r="F690" s="1002"/>
      <c r="G690" s="1003"/>
      <c r="H690" s="1002"/>
      <c r="I690" s="1002"/>
      <c r="J690" s="1002"/>
      <c r="K690" s="1002"/>
      <c r="L690" s="1002"/>
      <c r="M690" s="1002"/>
      <c r="N690" s="1002"/>
      <c r="O690" s="476"/>
      <c r="P690" s="1002"/>
      <c r="Q690" s="476"/>
      <c r="R690" s="1002"/>
      <c r="S690" s="1002"/>
      <c r="T690" s="476"/>
      <c r="U690" s="476"/>
      <c r="V690" s="1002"/>
      <c r="W690" s="476"/>
      <c r="X690" s="476"/>
      <c r="Y690" s="476"/>
      <c r="Z690" s="476"/>
      <c r="AA690" s="476"/>
    </row>
    <row r="691" spans="1:27" ht="15" customHeight="1">
      <c r="A691" s="476"/>
      <c r="B691" s="476"/>
      <c r="C691" s="1001"/>
      <c r="D691" s="1002"/>
      <c r="E691" s="476"/>
      <c r="F691" s="1002"/>
      <c r="G691" s="1003"/>
      <c r="H691" s="1002"/>
      <c r="I691" s="1002"/>
      <c r="J691" s="1002"/>
      <c r="K691" s="1002"/>
      <c r="L691" s="1002"/>
      <c r="M691" s="1002"/>
      <c r="N691" s="1002"/>
      <c r="O691" s="476"/>
      <c r="P691" s="1002"/>
      <c r="Q691" s="476"/>
      <c r="R691" s="1002"/>
      <c r="S691" s="1002"/>
      <c r="T691" s="476"/>
      <c r="U691" s="476"/>
      <c r="V691" s="1002"/>
      <c r="W691" s="476"/>
      <c r="X691" s="476"/>
      <c r="Y691" s="476"/>
      <c r="Z691" s="476"/>
      <c r="AA691" s="476"/>
    </row>
    <row r="692" spans="1:27" ht="15" customHeight="1">
      <c r="A692" s="476"/>
      <c r="B692" s="476"/>
      <c r="C692" s="1001"/>
      <c r="D692" s="1002"/>
      <c r="E692" s="476"/>
      <c r="F692" s="1002"/>
      <c r="G692" s="1003"/>
      <c r="H692" s="1002"/>
      <c r="I692" s="1002"/>
      <c r="J692" s="1002"/>
      <c r="K692" s="1002"/>
      <c r="L692" s="1002"/>
      <c r="M692" s="1002"/>
      <c r="N692" s="1002"/>
      <c r="O692" s="476"/>
      <c r="P692" s="1002"/>
      <c r="Q692" s="476"/>
      <c r="R692" s="1002"/>
      <c r="S692" s="1002"/>
      <c r="T692" s="476"/>
      <c r="U692" s="476"/>
      <c r="V692" s="1002"/>
      <c r="W692" s="476"/>
      <c r="X692" s="476"/>
      <c r="Y692" s="476"/>
      <c r="Z692" s="476"/>
      <c r="AA692" s="476"/>
    </row>
    <row r="693" spans="1:27" ht="15" customHeight="1">
      <c r="A693" s="476"/>
      <c r="B693" s="476"/>
      <c r="C693" s="1001"/>
      <c r="D693" s="1002"/>
      <c r="E693" s="476"/>
      <c r="F693" s="1002"/>
      <c r="G693" s="1003"/>
      <c r="H693" s="1002"/>
      <c r="I693" s="1002"/>
      <c r="J693" s="1002"/>
      <c r="K693" s="1002"/>
      <c r="L693" s="1002"/>
      <c r="M693" s="1002"/>
      <c r="N693" s="1002"/>
      <c r="O693" s="476"/>
      <c r="P693" s="1002"/>
      <c r="Q693" s="476"/>
      <c r="R693" s="1002"/>
      <c r="S693" s="1002"/>
      <c r="T693" s="476"/>
      <c r="U693" s="476"/>
      <c r="V693" s="1002"/>
      <c r="W693" s="476"/>
      <c r="X693" s="476"/>
      <c r="Y693" s="476"/>
      <c r="Z693" s="476"/>
      <c r="AA693" s="476"/>
    </row>
    <row r="694" spans="1:27" ht="15" customHeight="1">
      <c r="A694" s="476"/>
      <c r="B694" s="476"/>
      <c r="C694" s="1001"/>
      <c r="D694" s="1002"/>
      <c r="E694" s="476"/>
      <c r="F694" s="1002"/>
      <c r="G694" s="1003"/>
      <c r="H694" s="1002"/>
      <c r="I694" s="1002"/>
      <c r="J694" s="1002"/>
      <c r="K694" s="1002"/>
      <c r="L694" s="1002"/>
      <c r="M694" s="1002"/>
      <c r="N694" s="1002"/>
      <c r="O694" s="476"/>
      <c r="P694" s="1002"/>
      <c r="Q694" s="476"/>
      <c r="R694" s="1002"/>
      <c r="S694" s="1002"/>
      <c r="T694" s="476"/>
      <c r="U694" s="476"/>
      <c r="V694" s="1002"/>
      <c r="W694" s="476"/>
      <c r="X694" s="476"/>
      <c r="Y694" s="476"/>
      <c r="Z694" s="476"/>
      <c r="AA694" s="476"/>
    </row>
    <row r="695" spans="1:27" ht="15" customHeight="1">
      <c r="A695" s="476"/>
      <c r="B695" s="476"/>
      <c r="C695" s="1001"/>
      <c r="D695" s="1002"/>
      <c r="E695" s="476"/>
      <c r="F695" s="1002"/>
      <c r="G695" s="1003"/>
      <c r="H695" s="1002"/>
      <c r="I695" s="1002"/>
      <c r="J695" s="1002"/>
      <c r="K695" s="1002"/>
      <c r="L695" s="1002"/>
      <c r="M695" s="1002"/>
      <c r="N695" s="1002"/>
      <c r="O695" s="476"/>
      <c r="P695" s="1002"/>
      <c r="Q695" s="476"/>
      <c r="R695" s="1002"/>
      <c r="S695" s="1002"/>
      <c r="T695" s="476"/>
      <c r="U695" s="476"/>
      <c r="V695" s="1002"/>
      <c r="W695" s="476"/>
      <c r="X695" s="476"/>
      <c r="Y695" s="476"/>
      <c r="Z695" s="476"/>
      <c r="AA695" s="476"/>
    </row>
    <row r="696" spans="1:27" ht="15" customHeight="1">
      <c r="A696" s="476"/>
      <c r="B696" s="476"/>
      <c r="C696" s="1001"/>
      <c r="D696" s="1002"/>
      <c r="E696" s="476"/>
      <c r="F696" s="1002"/>
      <c r="G696" s="1003"/>
      <c r="H696" s="1002"/>
      <c r="I696" s="1002"/>
      <c r="J696" s="1002"/>
      <c r="K696" s="1002"/>
      <c r="L696" s="1002"/>
      <c r="M696" s="1002"/>
      <c r="N696" s="1002"/>
      <c r="O696" s="476"/>
      <c r="P696" s="1002"/>
      <c r="Q696" s="476"/>
      <c r="R696" s="1002"/>
      <c r="S696" s="1002"/>
      <c r="T696" s="476"/>
      <c r="U696" s="476"/>
      <c r="V696" s="1002"/>
      <c r="W696" s="476"/>
      <c r="X696" s="476"/>
      <c r="Y696" s="476"/>
      <c r="Z696" s="476"/>
      <c r="AA696" s="476"/>
    </row>
    <row r="697" spans="1:27" ht="15" customHeight="1">
      <c r="A697" s="476"/>
      <c r="B697" s="476"/>
      <c r="C697" s="1001"/>
      <c r="D697" s="1002"/>
      <c r="E697" s="476"/>
      <c r="F697" s="1002"/>
      <c r="G697" s="1003"/>
      <c r="H697" s="1002"/>
      <c r="I697" s="1002"/>
      <c r="J697" s="1002"/>
      <c r="K697" s="1002"/>
      <c r="L697" s="1002"/>
      <c r="M697" s="1002"/>
      <c r="N697" s="1002"/>
      <c r="O697" s="476"/>
      <c r="P697" s="1002"/>
      <c r="Q697" s="476"/>
      <c r="R697" s="1002"/>
      <c r="S697" s="1002"/>
      <c r="T697" s="476"/>
      <c r="U697" s="476"/>
      <c r="V697" s="1002"/>
      <c r="W697" s="476"/>
      <c r="X697" s="476"/>
      <c r="Y697" s="476"/>
      <c r="Z697" s="476"/>
      <c r="AA697" s="476"/>
    </row>
    <row r="698" spans="1:27" ht="15" customHeight="1">
      <c r="A698" s="476"/>
      <c r="B698" s="476"/>
      <c r="C698" s="1001"/>
      <c r="D698" s="1002"/>
      <c r="E698" s="476"/>
      <c r="F698" s="1002"/>
      <c r="G698" s="1003"/>
      <c r="H698" s="1002"/>
      <c r="I698" s="1002"/>
      <c r="J698" s="1002"/>
      <c r="K698" s="1002"/>
      <c r="L698" s="1002"/>
      <c r="M698" s="1002"/>
      <c r="N698" s="1002"/>
      <c r="O698" s="476"/>
      <c r="P698" s="1002"/>
      <c r="Q698" s="476"/>
      <c r="R698" s="1002"/>
      <c r="S698" s="1002"/>
      <c r="T698" s="476"/>
      <c r="U698" s="476"/>
      <c r="V698" s="1002"/>
      <c r="W698" s="476"/>
      <c r="X698" s="476"/>
      <c r="Y698" s="476"/>
      <c r="Z698" s="476"/>
      <c r="AA698" s="476"/>
    </row>
    <row r="699" spans="1:27" ht="15" customHeight="1">
      <c r="A699" s="476"/>
      <c r="B699" s="476"/>
      <c r="C699" s="1001"/>
      <c r="D699" s="1002"/>
      <c r="E699" s="476"/>
      <c r="F699" s="1002"/>
      <c r="G699" s="1003"/>
      <c r="H699" s="1002"/>
      <c r="I699" s="1002"/>
      <c r="J699" s="1002"/>
      <c r="K699" s="1002"/>
      <c r="L699" s="1002"/>
      <c r="M699" s="1002"/>
      <c r="N699" s="1002"/>
      <c r="O699" s="476"/>
      <c r="P699" s="1002"/>
      <c r="Q699" s="476"/>
      <c r="R699" s="1002"/>
      <c r="S699" s="1002"/>
      <c r="T699" s="476"/>
      <c r="U699" s="476"/>
      <c r="V699" s="1002"/>
      <c r="W699" s="476"/>
      <c r="X699" s="476"/>
      <c r="Y699" s="476"/>
      <c r="Z699" s="476"/>
      <c r="AA699" s="476"/>
    </row>
    <row r="700" spans="1:27" ht="15" customHeight="1">
      <c r="A700" s="476"/>
      <c r="B700" s="476"/>
      <c r="C700" s="1001"/>
      <c r="D700" s="1002"/>
      <c r="E700" s="476"/>
      <c r="F700" s="1002"/>
      <c r="G700" s="1003"/>
      <c r="H700" s="1002"/>
      <c r="I700" s="1002"/>
      <c r="J700" s="1002"/>
      <c r="K700" s="1002"/>
      <c r="L700" s="1002"/>
      <c r="M700" s="1002"/>
      <c r="N700" s="1002"/>
      <c r="O700" s="476"/>
      <c r="P700" s="1002"/>
      <c r="Q700" s="476"/>
      <c r="R700" s="1002"/>
      <c r="S700" s="1002"/>
      <c r="T700" s="476"/>
      <c r="U700" s="476"/>
      <c r="V700" s="1002"/>
      <c r="W700" s="476"/>
      <c r="X700" s="476"/>
      <c r="Y700" s="476"/>
      <c r="Z700" s="476"/>
      <c r="AA700" s="476"/>
    </row>
    <row r="701" spans="1:27" ht="15" customHeight="1">
      <c r="A701" s="476"/>
      <c r="B701" s="476"/>
      <c r="C701" s="1001"/>
      <c r="D701" s="1002"/>
      <c r="E701" s="476"/>
      <c r="F701" s="1002"/>
      <c r="G701" s="1003"/>
      <c r="H701" s="1002"/>
      <c r="I701" s="1002"/>
      <c r="J701" s="1002"/>
      <c r="K701" s="1002"/>
      <c r="L701" s="1002"/>
      <c r="M701" s="1002"/>
      <c r="N701" s="1002"/>
      <c r="O701" s="476"/>
      <c r="P701" s="1002"/>
      <c r="Q701" s="476"/>
      <c r="R701" s="1002"/>
      <c r="S701" s="1002"/>
      <c r="T701" s="476"/>
      <c r="U701" s="476"/>
      <c r="V701" s="1002"/>
      <c r="W701" s="476"/>
      <c r="X701" s="476"/>
      <c r="Y701" s="476"/>
      <c r="Z701" s="476"/>
      <c r="AA701" s="476"/>
    </row>
    <row r="702" spans="1:27" ht="15" customHeight="1">
      <c r="A702" s="476"/>
      <c r="B702" s="476"/>
      <c r="C702" s="1001"/>
      <c r="D702" s="1002"/>
      <c r="E702" s="476"/>
      <c r="F702" s="1002"/>
      <c r="G702" s="1003"/>
      <c r="H702" s="1002"/>
      <c r="I702" s="1002"/>
      <c r="J702" s="1002"/>
      <c r="K702" s="1002"/>
      <c r="L702" s="1002"/>
      <c r="M702" s="1002"/>
      <c r="N702" s="1002"/>
      <c r="O702" s="476"/>
      <c r="P702" s="1002"/>
      <c r="Q702" s="476"/>
      <c r="R702" s="1002"/>
      <c r="S702" s="1002"/>
      <c r="T702" s="476"/>
      <c r="U702" s="476"/>
      <c r="V702" s="1002"/>
      <c r="W702" s="476"/>
      <c r="X702" s="476"/>
      <c r="Y702" s="476"/>
      <c r="Z702" s="476"/>
      <c r="AA702" s="476"/>
    </row>
    <row r="703" spans="1:27" ht="15" customHeight="1">
      <c r="A703" s="476"/>
      <c r="B703" s="476"/>
      <c r="C703" s="1001"/>
      <c r="D703" s="1002"/>
      <c r="E703" s="476"/>
      <c r="F703" s="1002"/>
      <c r="G703" s="1003"/>
      <c r="H703" s="1002"/>
      <c r="I703" s="1002"/>
      <c r="J703" s="1002"/>
      <c r="K703" s="1002"/>
      <c r="L703" s="1002"/>
      <c r="M703" s="1002"/>
      <c r="N703" s="1002"/>
      <c r="O703" s="476"/>
      <c r="P703" s="1002"/>
      <c r="Q703" s="476"/>
      <c r="R703" s="1002"/>
      <c r="S703" s="1002"/>
      <c r="T703" s="476"/>
      <c r="U703" s="476"/>
      <c r="V703" s="1002"/>
      <c r="W703" s="476"/>
      <c r="X703" s="476"/>
      <c r="Y703" s="476"/>
      <c r="Z703" s="476"/>
      <c r="AA703" s="476"/>
    </row>
    <row r="704" spans="1:27" ht="15" customHeight="1">
      <c r="A704" s="476"/>
      <c r="B704" s="476"/>
      <c r="C704" s="1001"/>
      <c r="D704" s="1002"/>
      <c r="E704" s="476"/>
      <c r="F704" s="1002"/>
      <c r="G704" s="1003"/>
      <c r="H704" s="1002"/>
      <c r="I704" s="1002"/>
      <c r="J704" s="1002"/>
      <c r="K704" s="1002"/>
      <c r="L704" s="1002"/>
      <c r="M704" s="1002"/>
      <c r="N704" s="1002"/>
      <c r="O704" s="476"/>
      <c r="P704" s="1002"/>
      <c r="Q704" s="476"/>
      <c r="R704" s="1002"/>
      <c r="S704" s="1002"/>
      <c r="T704" s="476"/>
      <c r="U704" s="476"/>
      <c r="V704" s="1002"/>
      <c r="W704" s="476"/>
      <c r="X704" s="476"/>
      <c r="Y704" s="476"/>
      <c r="Z704" s="476"/>
      <c r="AA704" s="476"/>
    </row>
    <row r="705" spans="1:27" ht="15" customHeight="1">
      <c r="A705" s="476"/>
      <c r="B705" s="476"/>
      <c r="C705" s="1001"/>
      <c r="D705" s="1002"/>
      <c r="E705" s="476"/>
      <c r="F705" s="1002"/>
      <c r="G705" s="1003"/>
      <c r="H705" s="1002"/>
      <c r="I705" s="1002"/>
      <c r="J705" s="1002"/>
      <c r="K705" s="1002"/>
      <c r="L705" s="1002"/>
      <c r="M705" s="1002"/>
      <c r="N705" s="1002"/>
      <c r="O705" s="476"/>
      <c r="P705" s="1002"/>
      <c r="Q705" s="476"/>
      <c r="R705" s="1002"/>
      <c r="S705" s="1002"/>
      <c r="T705" s="476"/>
      <c r="U705" s="476"/>
      <c r="V705" s="1002"/>
      <c r="W705" s="476"/>
      <c r="X705" s="476"/>
      <c r="Y705" s="476"/>
      <c r="Z705" s="476"/>
      <c r="AA705" s="476"/>
    </row>
    <row r="706" spans="1:27" ht="15" customHeight="1">
      <c r="A706" s="476"/>
      <c r="B706" s="476"/>
      <c r="C706" s="1001"/>
      <c r="D706" s="1002"/>
      <c r="E706" s="476"/>
      <c r="F706" s="1002"/>
      <c r="G706" s="1003"/>
      <c r="H706" s="1002"/>
      <c r="I706" s="1002"/>
      <c r="J706" s="1002"/>
      <c r="K706" s="1002"/>
      <c r="L706" s="1002"/>
      <c r="M706" s="1002"/>
      <c r="N706" s="1002"/>
      <c r="O706" s="476"/>
      <c r="P706" s="1002"/>
      <c r="Q706" s="476"/>
      <c r="R706" s="1002"/>
      <c r="S706" s="1002"/>
      <c r="T706" s="476"/>
      <c r="U706" s="476"/>
      <c r="V706" s="1002"/>
      <c r="W706" s="476"/>
      <c r="X706" s="476"/>
      <c r="Y706" s="476"/>
      <c r="Z706" s="476"/>
      <c r="AA706" s="476"/>
    </row>
    <row r="707" spans="1:27" ht="15" customHeight="1">
      <c r="A707" s="476"/>
      <c r="B707" s="476"/>
      <c r="C707" s="1001"/>
      <c r="D707" s="1002"/>
      <c r="E707" s="476"/>
      <c r="F707" s="1002"/>
      <c r="G707" s="1003"/>
      <c r="H707" s="1002"/>
      <c r="I707" s="1002"/>
      <c r="J707" s="1002"/>
      <c r="K707" s="1002"/>
      <c r="L707" s="1002"/>
      <c r="M707" s="1002"/>
      <c r="N707" s="1002"/>
      <c r="O707" s="476"/>
      <c r="P707" s="1002"/>
      <c r="Q707" s="476"/>
      <c r="R707" s="1002"/>
      <c r="S707" s="1002"/>
      <c r="T707" s="476"/>
      <c r="U707" s="476"/>
      <c r="V707" s="1002"/>
      <c r="W707" s="476"/>
      <c r="X707" s="476"/>
      <c r="Y707" s="476"/>
      <c r="Z707" s="476"/>
      <c r="AA707" s="476"/>
    </row>
    <row r="708" spans="1:27" ht="15" customHeight="1">
      <c r="A708" s="476"/>
      <c r="B708" s="476"/>
      <c r="C708" s="1001"/>
      <c r="D708" s="1002"/>
      <c r="E708" s="476"/>
      <c r="F708" s="1002"/>
      <c r="G708" s="1003"/>
      <c r="H708" s="1002"/>
      <c r="I708" s="1002"/>
      <c r="J708" s="1002"/>
      <c r="K708" s="1002"/>
      <c r="L708" s="1002"/>
      <c r="M708" s="1002"/>
      <c r="N708" s="1002"/>
      <c r="O708" s="476"/>
      <c r="P708" s="1002"/>
      <c r="Q708" s="476"/>
      <c r="R708" s="1002"/>
      <c r="S708" s="1002"/>
      <c r="T708" s="476"/>
      <c r="U708" s="476"/>
      <c r="V708" s="1002"/>
      <c r="W708" s="476"/>
      <c r="X708" s="476"/>
      <c r="Y708" s="476"/>
      <c r="Z708" s="476"/>
      <c r="AA708" s="476"/>
    </row>
    <row r="709" spans="1:27" ht="15" customHeight="1">
      <c r="A709" s="476"/>
      <c r="B709" s="476"/>
      <c r="C709" s="1001"/>
      <c r="D709" s="1002"/>
      <c r="E709" s="476"/>
      <c r="F709" s="1002"/>
      <c r="G709" s="1003"/>
      <c r="H709" s="1002"/>
      <c r="I709" s="1002"/>
      <c r="J709" s="1002"/>
      <c r="K709" s="1002"/>
      <c r="L709" s="1002"/>
      <c r="M709" s="1002"/>
      <c r="N709" s="1002"/>
      <c r="O709" s="476"/>
      <c r="P709" s="1002"/>
      <c r="Q709" s="476"/>
      <c r="R709" s="1002"/>
      <c r="S709" s="1002"/>
      <c r="T709" s="476"/>
      <c r="U709" s="476"/>
      <c r="V709" s="1002"/>
      <c r="W709" s="476"/>
      <c r="X709" s="476"/>
      <c r="Y709" s="476"/>
      <c r="Z709" s="476"/>
      <c r="AA709" s="476"/>
    </row>
    <row r="710" spans="1:27" ht="15" customHeight="1">
      <c r="A710" s="476"/>
      <c r="B710" s="476"/>
      <c r="C710" s="1001"/>
      <c r="D710" s="1002"/>
      <c r="E710" s="476"/>
      <c r="F710" s="1002"/>
      <c r="G710" s="1003"/>
      <c r="H710" s="1002"/>
      <c r="I710" s="1002"/>
      <c r="J710" s="1002"/>
      <c r="K710" s="1002"/>
      <c r="L710" s="1002"/>
      <c r="M710" s="1002"/>
      <c r="N710" s="1002"/>
      <c r="O710" s="476"/>
      <c r="P710" s="1002"/>
      <c r="Q710" s="476"/>
      <c r="R710" s="1002"/>
      <c r="S710" s="1002"/>
      <c r="T710" s="476"/>
      <c r="U710" s="476"/>
      <c r="V710" s="1002"/>
      <c r="W710" s="476"/>
      <c r="X710" s="476"/>
      <c r="Y710" s="476"/>
      <c r="Z710" s="476"/>
      <c r="AA710" s="476"/>
    </row>
    <row r="711" spans="1:27" ht="15" customHeight="1">
      <c r="A711" s="476"/>
      <c r="B711" s="476"/>
      <c r="C711" s="1001"/>
      <c r="D711" s="1002"/>
      <c r="E711" s="476"/>
      <c r="F711" s="1002"/>
      <c r="G711" s="1003"/>
      <c r="H711" s="1002"/>
      <c r="I711" s="1002"/>
      <c r="J711" s="1002"/>
      <c r="K711" s="1002"/>
      <c r="L711" s="1002"/>
      <c r="M711" s="1002"/>
      <c r="N711" s="1002"/>
      <c r="O711" s="476"/>
      <c r="P711" s="1002"/>
      <c r="Q711" s="476"/>
      <c r="R711" s="1002"/>
      <c r="S711" s="1002"/>
      <c r="T711" s="476"/>
      <c r="U711" s="476"/>
      <c r="V711" s="1002"/>
      <c r="W711" s="476"/>
      <c r="X711" s="476"/>
      <c r="Y711" s="476"/>
      <c r="Z711" s="476"/>
      <c r="AA711" s="476"/>
    </row>
    <row r="712" spans="1:27" ht="15" customHeight="1">
      <c r="A712" s="476"/>
      <c r="B712" s="476"/>
      <c r="C712" s="1001"/>
      <c r="D712" s="1002"/>
      <c r="E712" s="476"/>
      <c r="F712" s="1002"/>
      <c r="G712" s="1003"/>
      <c r="H712" s="1002"/>
      <c r="I712" s="1002"/>
      <c r="J712" s="1002"/>
      <c r="K712" s="1002"/>
      <c r="L712" s="1002"/>
      <c r="M712" s="1002"/>
      <c r="N712" s="1002"/>
      <c r="O712" s="476"/>
      <c r="P712" s="1002"/>
      <c r="Q712" s="476"/>
      <c r="R712" s="1002"/>
      <c r="S712" s="1002"/>
      <c r="T712" s="476"/>
      <c r="U712" s="476"/>
      <c r="V712" s="1002"/>
      <c r="W712" s="476"/>
      <c r="X712" s="476"/>
      <c r="Y712" s="476"/>
      <c r="Z712" s="476"/>
      <c r="AA712" s="476"/>
    </row>
    <row r="713" spans="1:27" ht="15" customHeight="1">
      <c r="A713" s="476"/>
      <c r="B713" s="476"/>
      <c r="C713" s="1001"/>
      <c r="D713" s="1002"/>
      <c r="E713" s="476"/>
      <c r="F713" s="1002"/>
      <c r="G713" s="1003"/>
      <c r="H713" s="1002"/>
      <c r="I713" s="1002"/>
      <c r="J713" s="1002"/>
      <c r="K713" s="1002"/>
      <c r="L713" s="1002"/>
      <c r="M713" s="1002"/>
      <c r="N713" s="1002"/>
      <c r="O713" s="476"/>
      <c r="P713" s="1002"/>
      <c r="Q713" s="476"/>
      <c r="R713" s="1002"/>
      <c r="S713" s="1002"/>
      <c r="T713" s="476"/>
      <c r="U713" s="476"/>
      <c r="V713" s="1002"/>
      <c r="W713" s="476"/>
      <c r="X713" s="476"/>
      <c r="Y713" s="476"/>
      <c r="Z713" s="476"/>
      <c r="AA713" s="476"/>
    </row>
    <row r="714" spans="1:27" ht="15" customHeight="1">
      <c r="A714" s="476"/>
      <c r="B714" s="476"/>
      <c r="C714" s="1001"/>
      <c r="D714" s="1002"/>
      <c r="E714" s="476"/>
      <c r="F714" s="1002"/>
      <c r="G714" s="1003"/>
      <c r="H714" s="1002"/>
      <c r="I714" s="1002"/>
      <c r="J714" s="1002"/>
      <c r="K714" s="1002"/>
      <c r="L714" s="1002"/>
      <c r="M714" s="1002"/>
      <c r="N714" s="1002"/>
      <c r="O714" s="476"/>
      <c r="P714" s="1002"/>
      <c r="Q714" s="476"/>
      <c r="R714" s="1002"/>
      <c r="S714" s="1002"/>
      <c r="T714" s="476"/>
      <c r="U714" s="476"/>
      <c r="V714" s="1002"/>
      <c r="W714" s="476"/>
      <c r="X714" s="476"/>
      <c r="Y714" s="476"/>
      <c r="Z714" s="476"/>
      <c r="AA714" s="476"/>
    </row>
    <row r="715" spans="1:27" ht="15" customHeight="1">
      <c r="A715" s="476"/>
      <c r="B715" s="476"/>
      <c r="C715" s="1001"/>
      <c r="D715" s="1002"/>
      <c r="E715" s="476"/>
      <c r="F715" s="1002"/>
      <c r="G715" s="1003"/>
      <c r="H715" s="1002"/>
      <c r="I715" s="1002"/>
      <c r="J715" s="1002"/>
      <c r="K715" s="1002"/>
      <c r="L715" s="1002"/>
      <c r="M715" s="1002"/>
      <c r="N715" s="1002"/>
      <c r="O715" s="476"/>
      <c r="P715" s="1002"/>
      <c r="Q715" s="476"/>
      <c r="R715" s="1002"/>
      <c r="S715" s="1002"/>
      <c r="T715" s="476"/>
      <c r="U715" s="476"/>
      <c r="V715" s="1002"/>
      <c r="W715" s="476"/>
      <c r="X715" s="476"/>
      <c r="Y715" s="476"/>
      <c r="Z715" s="476"/>
      <c r="AA715" s="476"/>
    </row>
    <row r="716" spans="1:27" ht="15" customHeight="1">
      <c r="A716" s="476"/>
      <c r="B716" s="476"/>
      <c r="C716" s="1001"/>
      <c r="D716" s="1002"/>
      <c r="E716" s="476"/>
      <c r="F716" s="1002"/>
      <c r="G716" s="1003"/>
      <c r="H716" s="1002"/>
      <c r="I716" s="1002"/>
      <c r="J716" s="1002"/>
      <c r="K716" s="1002"/>
      <c r="L716" s="1002"/>
      <c r="M716" s="1002"/>
      <c r="N716" s="1002"/>
      <c r="O716" s="476"/>
      <c r="P716" s="1002"/>
      <c r="Q716" s="476"/>
      <c r="R716" s="1002"/>
      <c r="S716" s="1002"/>
      <c r="T716" s="476"/>
      <c r="U716" s="476"/>
      <c r="V716" s="1002"/>
      <c r="W716" s="476"/>
      <c r="X716" s="476"/>
      <c r="Y716" s="476"/>
      <c r="Z716" s="476"/>
      <c r="AA716" s="476"/>
    </row>
    <row r="717" spans="1:27" ht="15" customHeight="1">
      <c r="A717" s="476"/>
      <c r="B717" s="476"/>
      <c r="C717" s="1001"/>
      <c r="D717" s="1002"/>
      <c r="E717" s="476"/>
      <c r="F717" s="1002"/>
      <c r="G717" s="1003"/>
      <c r="H717" s="1002"/>
      <c r="I717" s="1002"/>
      <c r="J717" s="1002"/>
      <c r="K717" s="1002"/>
      <c r="L717" s="1002"/>
      <c r="M717" s="1002"/>
      <c r="N717" s="1002"/>
      <c r="O717" s="476"/>
      <c r="P717" s="1002"/>
      <c r="Q717" s="476"/>
      <c r="R717" s="1002"/>
      <c r="S717" s="1002"/>
      <c r="T717" s="476"/>
      <c r="U717" s="476"/>
      <c r="V717" s="1002"/>
      <c r="W717" s="476"/>
      <c r="X717" s="476"/>
      <c r="Y717" s="476"/>
      <c r="Z717" s="476"/>
      <c r="AA717" s="476"/>
    </row>
    <row r="718" spans="1:27" ht="15" customHeight="1">
      <c r="A718" s="476"/>
      <c r="B718" s="476"/>
      <c r="C718" s="1001"/>
      <c r="D718" s="1002"/>
      <c r="E718" s="476"/>
      <c r="F718" s="1002"/>
      <c r="G718" s="1003"/>
      <c r="H718" s="1002"/>
      <c r="I718" s="1002"/>
      <c r="J718" s="1002"/>
      <c r="K718" s="1002"/>
      <c r="L718" s="1002"/>
      <c r="M718" s="1002"/>
      <c r="N718" s="1002"/>
      <c r="O718" s="476"/>
      <c r="P718" s="1002"/>
      <c r="Q718" s="476"/>
      <c r="R718" s="1002"/>
      <c r="S718" s="1002"/>
      <c r="T718" s="476"/>
      <c r="U718" s="476"/>
      <c r="V718" s="1002"/>
      <c r="W718" s="476"/>
      <c r="X718" s="476"/>
      <c r="Y718" s="476"/>
      <c r="Z718" s="476"/>
      <c r="AA718" s="476"/>
    </row>
    <row r="719" spans="1:27" ht="15" customHeight="1">
      <c r="A719" s="476"/>
      <c r="B719" s="476"/>
      <c r="C719" s="1001"/>
      <c r="D719" s="1002"/>
      <c r="E719" s="476"/>
      <c r="F719" s="1002"/>
      <c r="G719" s="1003"/>
      <c r="H719" s="1002"/>
      <c r="I719" s="1002"/>
      <c r="J719" s="1002"/>
      <c r="K719" s="1002"/>
      <c r="L719" s="1002"/>
      <c r="M719" s="1002"/>
      <c r="N719" s="1002"/>
      <c r="O719" s="476"/>
      <c r="P719" s="1002"/>
      <c r="Q719" s="476"/>
      <c r="R719" s="1002"/>
      <c r="S719" s="1002"/>
      <c r="T719" s="476"/>
      <c r="U719" s="476"/>
      <c r="V719" s="1002"/>
      <c r="W719" s="476"/>
      <c r="X719" s="476"/>
      <c r="Y719" s="476"/>
      <c r="Z719" s="476"/>
      <c r="AA719" s="476"/>
    </row>
    <row r="720" spans="1:27" ht="15" customHeight="1">
      <c r="A720" s="476"/>
      <c r="B720" s="476"/>
      <c r="C720" s="1001"/>
      <c r="D720" s="1002"/>
      <c r="E720" s="476"/>
      <c r="F720" s="1002"/>
      <c r="G720" s="1003"/>
      <c r="H720" s="1002"/>
      <c r="I720" s="1002"/>
      <c r="J720" s="1002"/>
      <c r="K720" s="1002"/>
      <c r="L720" s="1002"/>
      <c r="M720" s="1002"/>
      <c r="N720" s="1002"/>
      <c r="O720" s="476"/>
      <c r="P720" s="1002"/>
      <c r="Q720" s="476"/>
      <c r="R720" s="1002"/>
      <c r="S720" s="1002"/>
      <c r="T720" s="476"/>
      <c r="U720" s="476"/>
      <c r="V720" s="1002"/>
      <c r="W720" s="476"/>
      <c r="X720" s="476"/>
      <c r="Y720" s="476"/>
      <c r="Z720" s="476"/>
      <c r="AA720" s="476"/>
    </row>
    <row r="721" spans="1:27" ht="15" customHeight="1">
      <c r="A721" s="476"/>
      <c r="B721" s="476"/>
      <c r="C721" s="1001"/>
      <c r="D721" s="1002"/>
      <c r="E721" s="476"/>
      <c r="F721" s="1002"/>
      <c r="G721" s="1003"/>
      <c r="H721" s="1002"/>
      <c r="I721" s="1002"/>
      <c r="J721" s="1002"/>
      <c r="K721" s="1002"/>
      <c r="L721" s="1002"/>
      <c r="M721" s="1002"/>
      <c r="N721" s="1002"/>
      <c r="O721" s="476"/>
      <c r="P721" s="1002"/>
      <c r="Q721" s="476"/>
      <c r="R721" s="1002"/>
      <c r="S721" s="1002"/>
      <c r="T721" s="476"/>
      <c r="U721" s="476"/>
      <c r="V721" s="1002"/>
      <c r="W721" s="476"/>
      <c r="X721" s="476"/>
      <c r="Y721" s="476"/>
      <c r="Z721" s="476"/>
      <c r="AA721" s="476"/>
    </row>
    <row r="722" spans="1:27" ht="15" customHeight="1">
      <c r="A722" s="476"/>
      <c r="B722" s="476"/>
      <c r="C722" s="1001"/>
      <c r="D722" s="1002"/>
      <c r="E722" s="476"/>
      <c r="F722" s="1002"/>
      <c r="G722" s="1003"/>
      <c r="H722" s="1002"/>
      <c r="I722" s="1002"/>
      <c r="J722" s="1002"/>
      <c r="K722" s="1002"/>
      <c r="L722" s="1002"/>
      <c r="M722" s="1002"/>
      <c r="N722" s="1002"/>
      <c r="O722" s="476"/>
      <c r="P722" s="1002"/>
      <c r="Q722" s="476"/>
      <c r="R722" s="1002"/>
      <c r="S722" s="1002"/>
      <c r="T722" s="476"/>
      <c r="U722" s="476"/>
      <c r="V722" s="1002"/>
      <c r="W722" s="476"/>
      <c r="X722" s="476"/>
      <c r="Y722" s="476"/>
      <c r="Z722" s="476"/>
      <c r="AA722" s="476"/>
    </row>
    <row r="723" spans="1:27" ht="15" customHeight="1">
      <c r="A723" s="476"/>
      <c r="B723" s="476"/>
      <c r="C723" s="1001"/>
      <c r="D723" s="1002"/>
      <c r="E723" s="476"/>
      <c r="F723" s="1002"/>
      <c r="G723" s="1003"/>
      <c r="H723" s="1002"/>
      <c r="I723" s="1002"/>
      <c r="J723" s="1002"/>
      <c r="K723" s="1002"/>
      <c r="L723" s="1002"/>
      <c r="M723" s="1002"/>
      <c r="N723" s="1002"/>
      <c r="O723" s="476"/>
      <c r="P723" s="1002"/>
      <c r="Q723" s="476"/>
      <c r="R723" s="1002"/>
      <c r="S723" s="1002"/>
      <c r="T723" s="476"/>
      <c r="U723" s="476"/>
      <c r="V723" s="1002"/>
      <c r="W723" s="476"/>
      <c r="X723" s="476"/>
      <c r="Y723" s="476"/>
      <c r="Z723" s="476"/>
      <c r="AA723" s="476"/>
    </row>
    <row r="724" spans="1:27" ht="15" customHeight="1">
      <c r="A724" s="476"/>
      <c r="B724" s="476"/>
      <c r="C724" s="1001"/>
      <c r="D724" s="1002"/>
      <c r="E724" s="476"/>
      <c r="F724" s="1002"/>
      <c r="G724" s="1003"/>
      <c r="H724" s="1002"/>
      <c r="I724" s="1002"/>
      <c r="J724" s="1002"/>
      <c r="K724" s="1002"/>
      <c r="L724" s="1002"/>
      <c r="M724" s="1002"/>
      <c r="N724" s="1002"/>
      <c r="O724" s="476"/>
      <c r="P724" s="1002"/>
      <c r="Q724" s="476"/>
      <c r="R724" s="1002"/>
      <c r="S724" s="1002"/>
      <c r="T724" s="476"/>
      <c r="U724" s="476"/>
      <c r="V724" s="1002"/>
      <c r="W724" s="476"/>
      <c r="X724" s="476"/>
      <c r="Y724" s="476"/>
      <c r="Z724" s="476"/>
      <c r="AA724" s="476"/>
    </row>
    <row r="725" spans="1:27" ht="15" customHeight="1">
      <c r="A725" s="476"/>
      <c r="B725" s="476"/>
      <c r="C725" s="1001"/>
      <c r="D725" s="1002"/>
      <c r="E725" s="476"/>
      <c r="F725" s="1002"/>
      <c r="G725" s="1003"/>
      <c r="H725" s="1002"/>
      <c r="I725" s="1002"/>
      <c r="J725" s="1002"/>
      <c r="K725" s="1002"/>
      <c r="L725" s="1002"/>
      <c r="M725" s="1002"/>
      <c r="N725" s="1002"/>
      <c r="O725" s="476"/>
      <c r="P725" s="1002"/>
      <c r="Q725" s="476"/>
      <c r="R725" s="1002"/>
      <c r="S725" s="1002"/>
      <c r="T725" s="476"/>
      <c r="U725" s="476"/>
      <c r="V725" s="1002"/>
      <c r="W725" s="476"/>
      <c r="X725" s="476"/>
      <c r="Y725" s="476"/>
      <c r="Z725" s="476"/>
      <c r="AA725" s="476"/>
    </row>
    <row r="726" spans="1:27" ht="15" customHeight="1">
      <c r="A726" s="476"/>
      <c r="B726" s="476"/>
      <c r="C726" s="1001"/>
      <c r="D726" s="1002"/>
      <c r="E726" s="476"/>
      <c r="F726" s="1002"/>
      <c r="G726" s="1003"/>
      <c r="H726" s="1002"/>
      <c r="I726" s="1002"/>
      <c r="J726" s="1002"/>
      <c r="K726" s="1002"/>
      <c r="L726" s="1002"/>
      <c r="M726" s="1002"/>
      <c r="N726" s="1002"/>
      <c r="O726" s="476"/>
      <c r="P726" s="1002"/>
      <c r="Q726" s="476"/>
      <c r="R726" s="1002"/>
      <c r="S726" s="1002"/>
      <c r="T726" s="476"/>
      <c r="U726" s="476"/>
      <c r="V726" s="1002"/>
      <c r="W726" s="476"/>
      <c r="X726" s="476"/>
      <c r="Y726" s="476"/>
      <c r="Z726" s="476"/>
      <c r="AA726" s="476"/>
    </row>
    <row r="727" spans="1:27" ht="15" customHeight="1">
      <c r="A727" s="476"/>
      <c r="B727" s="476"/>
      <c r="C727" s="1001"/>
      <c r="D727" s="1002"/>
      <c r="E727" s="476"/>
      <c r="F727" s="1002"/>
      <c r="G727" s="1003"/>
      <c r="H727" s="1002"/>
      <c r="I727" s="1002"/>
      <c r="J727" s="1002"/>
      <c r="K727" s="1002"/>
      <c r="L727" s="1002"/>
      <c r="M727" s="1002"/>
      <c r="N727" s="1002"/>
      <c r="O727" s="476"/>
      <c r="P727" s="1002"/>
      <c r="Q727" s="476"/>
      <c r="R727" s="1002"/>
      <c r="S727" s="1002"/>
      <c r="T727" s="476"/>
      <c r="U727" s="476"/>
      <c r="V727" s="1002"/>
      <c r="W727" s="476"/>
      <c r="X727" s="476"/>
      <c r="Y727" s="476"/>
      <c r="Z727" s="476"/>
      <c r="AA727" s="476"/>
    </row>
    <row r="728" spans="1:27" ht="15" customHeight="1">
      <c r="A728" s="476"/>
      <c r="B728" s="476"/>
      <c r="C728" s="1001"/>
      <c r="D728" s="1002"/>
      <c r="E728" s="476"/>
      <c r="F728" s="1002"/>
      <c r="G728" s="1003"/>
      <c r="H728" s="1002"/>
      <c r="I728" s="1002"/>
      <c r="J728" s="1002"/>
      <c r="K728" s="1002"/>
      <c r="L728" s="1002"/>
      <c r="M728" s="1002"/>
      <c r="N728" s="1002"/>
      <c r="O728" s="476"/>
      <c r="P728" s="1002"/>
      <c r="Q728" s="476"/>
      <c r="R728" s="1002"/>
      <c r="S728" s="1002"/>
      <c r="T728" s="476"/>
      <c r="U728" s="476"/>
      <c r="V728" s="1002"/>
      <c r="W728" s="476"/>
      <c r="X728" s="476"/>
      <c r="Y728" s="476"/>
      <c r="Z728" s="476"/>
      <c r="AA728" s="476"/>
    </row>
    <row r="729" spans="1:27" ht="15" customHeight="1">
      <c r="A729" s="476"/>
      <c r="B729" s="476"/>
      <c r="C729" s="1001"/>
      <c r="D729" s="1002"/>
      <c r="E729" s="476"/>
      <c r="F729" s="1002"/>
      <c r="G729" s="1003"/>
      <c r="H729" s="1002"/>
      <c r="I729" s="1002"/>
      <c r="J729" s="1002"/>
      <c r="K729" s="1002"/>
      <c r="L729" s="1002"/>
      <c r="M729" s="1002"/>
      <c r="N729" s="1002"/>
      <c r="O729" s="476"/>
      <c r="P729" s="1002"/>
      <c r="Q729" s="476"/>
      <c r="R729" s="1002"/>
      <c r="S729" s="1002"/>
      <c r="T729" s="476"/>
      <c r="U729" s="476"/>
      <c r="V729" s="1002"/>
      <c r="W729" s="476"/>
      <c r="X729" s="476"/>
      <c r="Y729" s="476"/>
      <c r="Z729" s="476"/>
      <c r="AA729" s="476"/>
    </row>
    <row r="730" spans="1:27" ht="15" customHeight="1">
      <c r="A730" s="476"/>
      <c r="B730" s="476"/>
      <c r="C730" s="1001"/>
      <c r="D730" s="1002"/>
      <c r="E730" s="476"/>
      <c r="F730" s="1002"/>
      <c r="G730" s="1003"/>
      <c r="H730" s="1002"/>
      <c r="I730" s="1002"/>
      <c r="J730" s="1002"/>
      <c r="K730" s="1002"/>
      <c r="L730" s="1002"/>
      <c r="M730" s="1002"/>
      <c r="N730" s="1002"/>
      <c r="O730" s="476"/>
      <c r="P730" s="1002"/>
      <c r="Q730" s="476"/>
      <c r="R730" s="1002"/>
      <c r="S730" s="1002"/>
      <c r="T730" s="476"/>
      <c r="U730" s="476"/>
      <c r="V730" s="1002"/>
      <c r="W730" s="476"/>
      <c r="X730" s="476"/>
      <c r="Y730" s="476"/>
      <c r="Z730" s="476"/>
      <c r="AA730" s="476"/>
    </row>
    <row r="731" spans="1:27" ht="15" customHeight="1">
      <c r="A731" s="476"/>
      <c r="B731" s="476"/>
      <c r="C731" s="1001"/>
      <c r="D731" s="1002"/>
      <c r="E731" s="476"/>
      <c r="F731" s="1002"/>
      <c r="G731" s="1003"/>
      <c r="H731" s="1002"/>
      <c r="I731" s="1002"/>
      <c r="J731" s="1002"/>
      <c r="K731" s="1002"/>
      <c r="L731" s="1002"/>
      <c r="M731" s="1002"/>
      <c r="N731" s="1002"/>
      <c r="O731" s="476"/>
      <c r="P731" s="1002"/>
      <c r="Q731" s="476"/>
      <c r="R731" s="1002"/>
      <c r="S731" s="1002"/>
      <c r="T731" s="476"/>
      <c r="U731" s="476"/>
      <c r="V731" s="1002"/>
      <c r="W731" s="476"/>
      <c r="X731" s="476"/>
      <c r="Y731" s="476"/>
      <c r="Z731" s="476"/>
      <c r="AA731" s="476"/>
    </row>
    <row r="732" spans="1:27" ht="15" customHeight="1">
      <c r="A732" s="476"/>
      <c r="B732" s="476"/>
      <c r="C732" s="1001"/>
      <c r="D732" s="1002"/>
      <c r="E732" s="476"/>
      <c r="F732" s="1002"/>
      <c r="G732" s="1003"/>
      <c r="H732" s="1002"/>
      <c r="I732" s="1002"/>
      <c r="J732" s="1002"/>
      <c r="K732" s="1002"/>
      <c r="L732" s="1002"/>
      <c r="M732" s="1002"/>
      <c r="N732" s="1002"/>
      <c r="O732" s="476"/>
      <c r="P732" s="1002"/>
      <c r="Q732" s="476"/>
      <c r="R732" s="1002"/>
      <c r="S732" s="1002"/>
      <c r="T732" s="476"/>
      <c r="U732" s="476"/>
      <c r="V732" s="1002"/>
      <c r="W732" s="476"/>
      <c r="X732" s="476"/>
      <c r="Y732" s="476"/>
      <c r="Z732" s="476"/>
      <c r="AA732" s="476"/>
    </row>
    <row r="733" spans="1:27" ht="15" customHeight="1">
      <c r="A733" s="476"/>
      <c r="B733" s="476"/>
      <c r="C733" s="1001"/>
      <c r="D733" s="1002"/>
      <c r="E733" s="476"/>
      <c r="F733" s="1002"/>
      <c r="G733" s="1003"/>
      <c r="H733" s="1002"/>
      <c r="I733" s="1002"/>
      <c r="J733" s="1002"/>
      <c r="K733" s="1002"/>
      <c r="L733" s="1002"/>
      <c r="M733" s="1002"/>
      <c r="N733" s="1002"/>
      <c r="O733" s="476"/>
      <c r="P733" s="1002"/>
      <c r="Q733" s="476"/>
      <c r="R733" s="1002"/>
      <c r="S733" s="1002"/>
      <c r="T733" s="476"/>
      <c r="U733" s="476"/>
      <c r="V733" s="1002"/>
      <c r="W733" s="476"/>
      <c r="X733" s="476"/>
      <c r="Y733" s="476"/>
      <c r="Z733" s="476"/>
      <c r="AA733" s="476"/>
    </row>
    <row r="734" spans="1:27" ht="15" customHeight="1">
      <c r="A734" s="476"/>
      <c r="B734" s="476"/>
      <c r="C734" s="1001"/>
      <c r="D734" s="1002"/>
      <c r="E734" s="476"/>
      <c r="F734" s="1002"/>
      <c r="G734" s="1003"/>
      <c r="H734" s="1002"/>
      <c r="I734" s="1002"/>
      <c r="J734" s="1002"/>
      <c r="K734" s="1002"/>
      <c r="L734" s="1002"/>
      <c r="M734" s="1002"/>
      <c r="N734" s="1002"/>
      <c r="O734" s="476"/>
      <c r="P734" s="1002"/>
      <c r="Q734" s="476"/>
      <c r="R734" s="1002"/>
      <c r="S734" s="1002"/>
      <c r="T734" s="476"/>
      <c r="U734" s="476"/>
      <c r="V734" s="1002"/>
      <c r="W734" s="476"/>
      <c r="X734" s="476"/>
      <c r="Y734" s="476"/>
      <c r="Z734" s="476"/>
      <c r="AA734" s="476"/>
    </row>
    <row r="735" spans="1:27" ht="15" customHeight="1">
      <c r="A735" s="476"/>
      <c r="B735" s="476"/>
      <c r="C735" s="1001"/>
      <c r="D735" s="1002"/>
      <c r="E735" s="476"/>
      <c r="F735" s="1002"/>
      <c r="G735" s="1003"/>
      <c r="H735" s="1002"/>
      <c r="I735" s="1002"/>
      <c r="J735" s="1002"/>
      <c r="K735" s="1002"/>
      <c r="L735" s="1002"/>
      <c r="M735" s="1002"/>
      <c r="N735" s="1002"/>
      <c r="O735" s="476"/>
      <c r="P735" s="1002"/>
      <c r="Q735" s="476"/>
      <c r="R735" s="1002"/>
      <c r="S735" s="1002"/>
      <c r="T735" s="476"/>
      <c r="U735" s="476"/>
      <c r="V735" s="1002"/>
      <c r="W735" s="476"/>
      <c r="X735" s="476"/>
      <c r="Y735" s="476"/>
      <c r="Z735" s="476"/>
      <c r="AA735" s="476"/>
    </row>
    <row r="736" spans="1:27" ht="15" customHeight="1">
      <c r="A736" s="476"/>
      <c r="B736" s="476"/>
      <c r="C736" s="1001"/>
      <c r="D736" s="1002"/>
      <c r="E736" s="476"/>
      <c r="F736" s="1002"/>
      <c r="G736" s="1003"/>
      <c r="H736" s="1002"/>
      <c r="I736" s="1002"/>
      <c r="J736" s="1002"/>
      <c r="K736" s="1002"/>
      <c r="L736" s="1002"/>
      <c r="M736" s="1002"/>
      <c r="N736" s="1002"/>
      <c r="O736" s="476"/>
      <c r="P736" s="1002"/>
      <c r="Q736" s="476"/>
      <c r="R736" s="1002"/>
      <c r="S736" s="1002"/>
      <c r="T736" s="476"/>
      <c r="U736" s="476"/>
      <c r="V736" s="1002"/>
      <c r="W736" s="476"/>
      <c r="X736" s="476"/>
      <c r="Y736" s="476"/>
      <c r="Z736" s="476"/>
      <c r="AA736" s="476"/>
    </row>
    <row r="737" spans="1:27" ht="15" customHeight="1">
      <c r="A737" s="476"/>
      <c r="B737" s="476"/>
      <c r="C737" s="1001"/>
      <c r="D737" s="1002"/>
      <c r="E737" s="476"/>
      <c r="F737" s="1002"/>
      <c r="G737" s="1003"/>
      <c r="H737" s="1002"/>
      <c r="I737" s="1002"/>
      <c r="J737" s="1002"/>
      <c r="K737" s="1002"/>
      <c r="L737" s="1002"/>
      <c r="M737" s="1002"/>
      <c r="N737" s="1002"/>
      <c r="O737" s="476"/>
      <c r="P737" s="1002"/>
      <c r="Q737" s="476"/>
      <c r="R737" s="1002"/>
      <c r="S737" s="1002"/>
      <c r="T737" s="476"/>
      <c r="U737" s="476"/>
      <c r="V737" s="1002"/>
      <c r="W737" s="476"/>
      <c r="X737" s="476"/>
      <c r="Y737" s="476"/>
      <c r="Z737" s="476"/>
      <c r="AA737" s="476"/>
    </row>
    <row r="738" spans="1:27" ht="15" customHeight="1">
      <c r="A738" s="476"/>
      <c r="B738" s="476"/>
      <c r="C738" s="1001"/>
      <c r="D738" s="1002"/>
      <c r="E738" s="476"/>
      <c r="F738" s="1002"/>
      <c r="G738" s="1003"/>
      <c r="H738" s="1002"/>
      <c r="I738" s="1002"/>
      <c r="J738" s="1002"/>
      <c r="K738" s="1002"/>
      <c r="L738" s="1002"/>
      <c r="M738" s="1002"/>
      <c r="N738" s="1002"/>
      <c r="O738" s="476"/>
      <c r="P738" s="1002"/>
      <c r="Q738" s="476"/>
      <c r="R738" s="1002"/>
      <c r="S738" s="1002"/>
      <c r="T738" s="476"/>
      <c r="U738" s="476"/>
      <c r="V738" s="1002"/>
      <c r="W738" s="476"/>
      <c r="X738" s="476"/>
      <c r="Y738" s="476"/>
      <c r="Z738" s="476"/>
      <c r="AA738" s="476"/>
    </row>
    <row r="739" spans="1:27" ht="15" customHeight="1">
      <c r="A739" s="476"/>
      <c r="B739" s="476"/>
      <c r="C739" s="1001"/>
      <c r="D739" s="1002"/>
      <c r="E739" s="476"/>
      <c r="F739" s="1002"/>
      <c r="G739" s="1003"/>
      <c r="H739" s="1002"/>
      <c r="I739" s="1002"/>
      <c r="J739" s="1002"/>
      <c r="K739" s="1002"/>
      <c r="L739" s="1002"/>
      <c r="M739" s="1002"/>
      <c r="N739" s="1002"/>
      <c r="O739" s="476"/>
      <c r="P739" s="1002"/>
      <c r="Q739" s="476"/>
      <c r="R739" s="1002"/>
      <c r="S739" s="1002"/>
      <c r="T739" s="476"/>
      <c r="U739" s="476"/>
      <c r="V739" s="1002"/>
      <c r="W739" s="476"/>
      <c r="X739" s="476"/>
      <c r="Y739" s="476"/>
      <c r="Z739" s="476"/>
      <c r="AA739" s="476"/>
    </row>
    <row r="740" spans="1:27" ht="15" customHeight="1">
      <c r="A740" s="476"/>
      <c r="B740" s="476"/>
      <c r="C740" s="1001"/>
      <c r="D740" s="1002"/>
      <c r="E740" s="476"/>
      <c r="F740" s="1002"/>
      <c r="G740" s="1003"/>
      <c r="H740" s="1002"/>
      <c r="I740" s="1002"/>
      <c r="J740" s="1002"/>
      <c r="K740" s="1002"/>
      <c r="L740" s="1002"/>
      <c r="M740" s="1002"/>
      <c r="N740" s="1002"/>
      <c r="O740" s="476"/>
      <c r="P740" s="1002"/>
      <c r="Q740" s="476"/>
      <c r="R740" s="1002"/>
      <c r="S740" s="1002"/>
      <c r="T740" s="476"/>
      <c r="U740" s="476"/>
      <c r="V740" s="1002"/>
      <c r="W740" s="476"/>
      <c r="X740" s="476"/>
      <c r="Y740" s="476"/>
      <c r="Z740" s="476"/>
      <c r="AA740" s="476"/>
    </row>
    <row r="741" spans="1:27" ht="15" customHeight="1">
      <c r="A741" s="476"/>
      <c r="B741" s="476"/>
      <c r="C741" s="1001"/>
      <c r="D741" s="1002"/>
      <c r="E741" s="476"/>
      <c r="F741" s="1002"/>
      <c r="G741" s="1003"/>
      <c r="H741" s="1002"/>
      <c r="I741" s="1002"/>
      <c r="J741" s="1002"/>
      <c r="K741" s="1002"/>
      <c r="L741" s="1002"/>
      <c r="M741" s="1002"/>
      <c r="N741" s="1002"/>
      <c r="O741" s="476"/>
      <c r="P741" s="1002"/>
      <c r="Q741" s="476"/>
      <c r="R741" s="1002"/>
      <c r="S741" s="1002"/>
      <c r="T741" s="476"/>
      <c r="U741" s="476"/>
      <c r="V741" s="1002"/>
      <c r="W741" s="476"/>
      <c r="X741" s="476"/>
      <c r="Y741" s="476"/>
      <c r="Z741" s="476"/>
      <c r="AA741" s="476"/>
    </row>
    <row r="742" spans="1:27" ht="15" customHeight="1">
      <c r="A742" s="476"/>
      <c r="B742" s="476"/>
      <c r="C742" s="1001"/>
      <c r="D742" s="1002"/>
      <c r="E742" s="476"/>
      <c r="F742" s="1002"/>
      <c r="G742" s="1003"/>
      <c r="H742" s="1002"/>
      <c r="I742" s="1002"/>
      <c r="J742" s="1002"/>
      <c r="K742" s="1002"/>
      <c r="L742" s="1002"/>
      <c r="M742" s="1002"/>
      <c r="N742" s="1002"/>
      <c r="O742" s="476"/>
      <c r="P742" s="1002"/>
      <c r="Q742" s="476"/>
      <c r="R742" s="1002"/>
      <c r="S742" s="1002"/>
      <c r="T742" s="476"/>
      <c r="U742" s="476"/>
      <c r="V742" s="1002"/>
      <c r="W742" s="476"/>
      <c r="X742" s="476"/>
      <c r="Y742" s="476"/>
      <c r="Z742" s="476"/>
      <c r="AA742" s="476"/>
    </row>
    <row r="743" spans="1:27" ht="15" customHeight="1">
      <c r="A743" s="476"/>
      <c r="B743" s="476"/>
      <c r="C743" s="1001"/>
      <c r="D743" s="1002"/>
      <c r="E743" s="476"/>
      <c r="F743" s="1002"/>
      <c r="G743" s="1003"/>
      <c r="H743" s="1002"/>
      <c r="I743" s="1002"/>
      <c r="J743" s="1002"/>
      <c r="K743" s="1002"/>
      <c r="L743" s="1002"/>
      <c r="M743" s="1002"/>
      <c r="N743" s="1002"/>
      <c r="O743" s="476"/>
      <c r="P743" s="1002"/>
      <c r="Q743" s="476"/>
      <c r="R743" s="1002"/>
      <c r="S743" s="1002"/>
      <c r="T743" s="476"/>
      <c r="U743" s="476"/>
      <c r="V743" s="1002"/>
      <c r="W743" s="476"/>
      <c r="X743" s="476"/>
      <c r="Y743" s="476"/>
      <c r="Z743" s="476"/>
      <c r="AA743" s="476"/>
    </row>
    <row r="744" spans="1:27" ht="15" customHeight="1">
      <c r="A744" s="476"/>
      <c r="B744" s="476"/>
      <c r="C744" s="1001"/>
      <c r="D744" s="1002"/>
      <c r="E744" s="476"/>
      <c r="F744" s="1002"/>
      <c r="G744" s="1003"/>
      <c r="H744" s="1002"/>
      <c r="I744" s="1002"/>
      <c r="J744" s="1002"/>
      <c r="K744" s="1002"/>
      <c r="L744" s="1002"/>
      <c r="M744" s="1002"/>
      <c r="N744" s="1002"/>
      <c r="O744" s="476"/>
      <c r="P744" s="1002"/>
      <c r="Q744" s="476"/>
      <c r="R744" s="1002"/>
      <c r="S744" s="1002"/>
      <c r="T744" s="476"/>
      <c r="U744" s="476"/>
      <c r="V744" s="1002"/>
      <c r="W744" s="476"/>
      <c r="X744" s="476"/>
      <c r="Y744" s="476"/>
      <c r="Z744" s="476"/>
      <c r="AA744" s="476"/>
    </row>
    <row r="745" spans="1:27" ht="15" customHeight="1">
      <c r="A745" s="476"/>
      <c r="B745" s="476"/>
      <c r="C745" s="1001"/>
      <c r="D745" s="1002"/>
      <c r="E745" s="476"/>
      <c r="F745" s="1002"/>
      <c r="G745" s="1003"/>
      <c r="H745" s="1002"/>
      <c r="I745" s="1002"/>
      <c r="J745" s="1002"/>
      <c r="K745" s="1002"/>
      <c r="L745" s="1002"/>
      <c r="M745" s="1002"/>
      <c r="N745" s="1002"/>
      <c r="O745" s="476"/>
      <c r="P745" s="1002"/>
      <c r="Q745" s="476"/>
      <c r="R745" s="1002"/>
      <c r="S745" s="1002"/>
      <c r="T745" s="476"/>
      <c r="U745" s="476"/>
      <c r="V745" s="1002"/>
      <c r="W745" s="476"/>
      <c r="X745" s="476"/>
      <c r="Y745" s="476"/>
      <c r="Z745" s="476"/>
      <c r="AA745" s="476"/>
    </row>
    <row r="746" spans="1:27" ht="15" customHeight="1">
      <c r="A746" s="476"/>
      <c r="B746" s="476"/>
      <c r="C746" s="1001"/>
      <c r="D746" s="1002"/>
      <c r="E746" s="476"/>
      <c r="F746" s="1002"/>
      <c r="G746" s="1003"/>
      <c r="H746" s="1002"/>
      <c r="I746" s="1002"/>
      <c r="J746" s="1002"/>
      <c r="K746" s="1002"/>
      <c r="L746" s="1002"/>
      <c r="M746" s="1002"/>
      <c r="N746" s="1002"/>
      <c r="O746" s="476"/>
      <c r="P746" s="1002"/>
      <c r="Q746" s="476"/>
      <c r="R746" s="1002"/>
      <c r="S746" s="1002"/>
      <c r="T746" s="476"/>
      <c r="U746" s="476"/>
      <c r="V746" s="1002"/>
      <c r="W746" s="476"/>
      <c r="X746" s="476"/>
      <c r="Y746" s="476"/>
      <c r="Z746" s="476"/>
      <c r="AA746" s="476"/>
    </row>
    <row r="747" spans="1:27" ht="15" customHeight="1">
      <c r="A747" s="476"/>
      <c r="B747" s="476"/>
      <c r="C747" s="1001"/>
      <c r="D747" s="1002"/>
      <c r="E747" s="476"/>
      <c r="F747" s="1002"/>
      <c r="G747" s="1003"/>
      <c r="H747" s="1002"/>
      <c r="I747" s="1002"/>
      <c r="J747" s="1002"/>
      <c r="K747" s="1002"/>
      <c r="L747" s="1002"/>
      <c r="M747" s="1002"/>
      <c r="N747" s="1002"/>
      <c r="O747" s="476"/>
      <c r="P747" s="1002"/>
      <c r="Q747" s="476"/>
      <c r="R747" s="1002"/>
      <c r="S747" s="1002"/>
      <c r="T747" s="476"/>
      <c r="U747" s="476"/>
      <c r="V747" s="1002"/>
      <c r="W747" s="476"/>
      <c r="X747" s="476"/>
      <c r="Y747" s="476"/>
      <c r="Z747" s="476"/>
      <c r="AA747" s="476"/>
    </row>
    <row r="748" spans="1:27" ht="15" customHeight="1">
      <c r="A748" s="476"/>
      <c r="B748" s="476"/>
      <c r="C748" s="1001"/>
      <c r="D748" s="1002"/>
      <c r="E748" s="476"/>
      <c r="F748" s="1002"/>
      <c r="G748" s="1003"/>
      <c r="H748" s="1002"/>
      <c r="I748" s="1002"/>
      <c r="J748" s="1002"/>
      <c r="K748" s="1002"/>
      <c r="L748" s="1002"/>
      <c r="M748" s="1002"/>
      <c r="N748" s="1002"/>
      <c r="O748" s="476"/>
      <c r="P748" s="1002"/>
      <c r="Q748" s="476"/>
      <c r="R748" s="1002"/>
      <c r="S748" s="1002"/>
      <c r="T748" s="476"/>
      <c r="U748" s="476"/>
      <c r="V748" s="1002"/>
      <c r="W748" s="476"/>
      <c r="X748" s="476"/>
      <c r="Y748" s="476"/>
      <c r="Z748" s="476"/>
      <c r="AA748" s="476"/>
    </row>
    <row r="749" spans="1:27" ht="15" customHeight="1">
      <c r="A749" s="476"/>
      <c r="B749" s="476"/>
      <c r="C749" s="1001"/>
      <c r="D749" s="1002"/>
      <c r="E749" s="476"/>
      <c r="F749" s="1002"/>
      <c r="G749" s="1003"/>
      <c r="H749" s="1002"/>
      <c r="I749" s="1002"/>
      <c r="J749" s="1002"/>
      <c r="K749" s="1002"/>
      <c r="L749" s="1002"/>
      <c r="M749" s="1002"/>
      <c r="N749" s="1002"/>
      <c r="O749" s="476"/>
      <c r="P749" s="1002"/>
      <c r="Q749" s="476"/>
      <c r="R749" s="1002"/>
      <c r="S749" s="1002"/>
      <c r="T749" s="476"/>
      <c r="U749" s="476"/>
      <c r="V749" s="1002"/>
      <c r="W749" s="476"/>
      <c r="X749" s="476"/>
      <c r="Y749" s="476"/>
      <c r="Z749" s="476"/>
      <c r="AA749" s="476"/>
    </row>
    <row r="750" spans="1:27" ht="15" customHeight="1">
      <c r="A750" s="476"/>
      <c r="B750" s="476"/>
      <c r="C750" s="1001"/>
      <c r="D750" s="1002"/>
      <c r="E750" s="476"/>
      <c r="F750" s="1002"/>
      <c r="G750" s="1003"/>
      <c r="H750" s="1002"/>
      <c r="I750" s="1002"/>
      <c r="J750" s="1002"/>
      <c r="K750" s="1002"/>
      <c r="L750" s="1002"/>
      <c r="M750" s="1002"/>
      <c r="N750" s="1002"/>
      <c r="O750" s="476"/>
      <c r="P750" s="1002"/>
      <c r="Q750" s="476"/>
      <c r="R750" s="1002"/>
      <c r="S750" s="1002"/>
      <c r="T750" s="476"/>
      <c r="U750" s="476"/>
      <c r="V750" s="1002"/>
      <c r="W750" s="476"/>
      <c r="X750" s="476"/>
      <c r="Y750" s="476"/>
      <c r="Z750" s="476"/>
      <c r="AA750" s="476"/>
    </row>
    <row r="751" spans="1:27" ht="15" customHeight="1">
      <c r="A751" s="476"/>
      <c r="B751" s="476"/>
      <c r="C751" s="1001"/>
      <c r="D751" s="1002"/>
      <c r="E751" s="476"/>
      <c r="F751" s="1002"/>
      <c r="G751" s="1003"/>
      <c r="H751" s="1002"/>
      <c r="I751" s="1002"/>
      <c r="J751" s="1002"/>
      <c r="K751" s="1002"/>
      <c r="L751" s="1002"/>
      <c r="M751" s="1002"/>
      <c r="N751" s="1002"/>
      <c r="O751" s="476"/>
      <c r="P751" s="1002"/>
      <c r="Q751" s="476"/>
      <c r="R751" s="1002"/>
      <c r="S751" s="1002"/>
      <c r="T751" s="476"/>
      <c r="U751" s="476"/>
      <c r="V751" s="1002"/>
      <c r="W751" s="476"/>
      <c r="X751" s="476"/>
      <c r="Y751" s="476"/>
      <c r="Z751" s="476"/>
      <c r="AA751" s="476"/>
    </row>
    <row r="752" spans="1:27" ht="15" customHeight="1">
      <c r="A752" s="476"/>
      <c r="B752" s="476"/>
      <c r="C752" s="1001"/>
      <c r="D752" s="1002"/>
      <c r="E752" s="476"/>
      <c r="F752" s="1002"/>
      <c r="G752" s="1003"/>
      <c r="H752" s="1002"/>
      <c r="I752" s="1002"/>
      <c r="J752" s="1002"/>
      <c r="K752" s="1002"/>
      <c r="L752" s="1002"/>
      <c r="M752" s="1002"/>
      <c r="N752" s="1002"/>
      <c r="O752" s="476"/>
      <c r="P752" s="1002"/>
      <c r="Q752" s="476"/>
      <c r="R752" s="1002"/>
      <c r="S752" s="1002"/>
      <c r="T752" s="476"/>
      <c r="U752" s="476"/>
      <c r="V752" s="1002"/>
      <c r="W752" s="476"/>
      <c r="X752" s="476"/>
      <c r="Y752" s="476"/>
      <c r="Z752" s="476"/>
      <c r="AA752" s="476"/>
    </row>
    <row r="753" spans="1:27" ht="15" customHeight="1">
      <c r="A753" s="476"/>
      <c r="B753" s="476"/>
      <c r="C753" s="1001"/>
      <c r="D753" s="1002"/>
      <c r="E753" s="476"/>
      <c r="F753" s="1002"/>
      <c r="G753" s="1003"/>
      <c r="H753" s="1002"/>
      <c r="I753" s="1002"/>
      <c r="J753" s="1002"/>
      <c r="K753" s="1002"/>
      <c r="L753" s="1002"/>
      <c r="M753" s="1002"/>
      <c r="N753" s="1002"/>
      <c r="O753" s="476"/>
      <c r="P753" s="1002"/>
      <c r="Q753" s="476"/>
      <c r="R753" s="1002"/>
      <c r="S753" s="1002"/>
      <c r="T753" s="476"/>
      <c r="U753" s="476"/>
      <c r="V753" s="1002"/>
      <c r="W753" s="476"/>
      <c r="X753" s="476"/>
      <c r="Y753" s="476"/>
      <c r="Z753" s="476"/>
      <c r="AA753" s="476"/>
    </row>
    <row r="754" spans="1:27" ht="15" customHeight="1">
      <c r="A754" s="476"/>
      <c r="B754" s="476"/>
      <c r="C754" s="1001"/>
      <c r="D754" s="1002"/>
      <c r="E754" s="476"/>
      <c r="F754" s="1002"/>
      <c r="G754" s="1003"/>
      <c r="H754" s="1002"/>
      <c r="I754" s="1002"/>
      <c r="J754" s="1002"/>
      <c r="K754" s="1002"/>
      <c r="L754" s="1002"/>
      <c r="M754" s="1002"/>
      <c r="N754" s="1002"/>
      <c r="O754" s="476"/>
      <c r="P754" s="1002"/>
      <c r="Q754" s="476"/>
      <c r="R754" s="1002"/>
      <c r="S754" s="1002"/>
      <c r="T754" s="476"/>
      <c r="U754" s="476"/>
      <c r="V754" s="1002"/>
      <c r="W754" s="476"/>
      <c r="X754" s="476"/>
      <c r="Y754" s="476"/>
      <c r="Z754" s="476"/>
      <c r="AA754" s="476"/>
    </row>
    <row r="755" spans="1:27" ht="15" customHeight="1">
      <c r="A755" s="476"/>
      <c r="B755" s="476"/>
      <c r="C755" s="1001"/>
      <c r="D755" s="1002"/>
      <c r="E755" s="476"/>
      <c r="F755" s="1002"/>
      <c r="G755" s="1003"/>
      <c r="H755" s="1002"/>
      <c r="I755" s="1002"/>
      <c r="J755" s="1002"/>
      <c r="K755" s="1002"/>
      <c r="L755" s="1002"/>
      <c r="M755" s="1002"/>
      <c r="N755" s="1002"/>
      <c r="O755" s="476"/>
      <c r="P755" s="1002"/>
      <c r="Q755" s="476"/>
      <c r="R755" s="1002"/>
      <c r="S755" s="1002"/>
      <c r="T755" s="476"/>
      <c r="U755" s="476"/>
      <c r="V755" s="1002"/>
      <c r="W755" s="476"/>
      <c r="X755" s="476"/>
      <c r="Y755" s="476"/>
      <c r="Z755" s="476"/>
      <c r="AA755" s="476"/>
    </row>
    <row r="756" spans="1:27" ht="15" customHeight="1">
      <c r="A756" s="476"/>
      <c r="B756" s="476"/>
      <c r="C756" s="1001"/>
      <c r="D756" s="1002"/>
      <c r="E756" s="476"/>
      <c r="F756" s="1002"/>
      <c r="G756" s="1003"/>
      <c r="H756" s="1002"/>
      <c r="I756" s="1002"/>
      <c r="J756" s="1002"/>
      <c r="K756" s="1002"/>
      <c r="L756" s="1002"/>
      <c r="M756" s="1002"/>
      <c r="N756" s="1002"/>
      <c r="O756" s="476"/>
      <c r="P756" s="1002"/>
      <c r="Q756" s="476"/>
      <c r="R756" s="1002"/>
      <c r="S756" s="1002"/>
      <c r="T756" s="476"/>
      <c r="U756" s="476"/>
      <c r="V756" s="1002"/>
      <c r="W756" s="476"/>
      <c r="X756" s="476"/>
      <c r="Y756" s="476"/>
      <c r="Z756" s="476"/>
      <c r="AA756" s="476"/>
    </row>
    <row r="757" spans="1:27" ht="15" customHeight="1">
      <c r="A757" s="476"/>
      <c r="B757" s="476"/>
      <c r="C757" s="1001"/>
      <c r="D757" s="1002"/>
      <c r="E757" s="476"/>
      <c r="F757" s="1002"/>
      <c r="G757" s="1003"/>
      <c r="H757" s="1002"/>
      <c r="I757" s="1002"/>
      <c r="J757" s="1002"/>
      <c r="K757" s="1002"/>
      <c r="L757" s="1002"/>
      <c r="M757" s="1002"/>
      <c r="N757" s="1002"/>
      <c r="O757" s="476"/>
      <c r="P757" s="1002"/>
      <c r="Q757" s="476"/>
      <c r="R757" s="1002"/>
      <c r="S757" s="1002"/>
      <c r="T757" s="476"/>
      <c r="U757" s="476"/>
      <c r="V757" s="1002"/>
      <c r="W757" s="476"/>
      <c r="X757" s="476"/>
      <c r="Y757" s="476"/>
      <c r="Z757" s="476"/>
      <c r="AA757" s="476"/>
    </row>
    <row r="758" spans="1:27" ht="15" customHeight="1">
      <c r="A758" s="476"/>
      <c r="B758" s="476"/>
      <c r="C758" s="1001"/>
      <c r="D758" s="1002"/>
      <c r="E758" s="476"/>
      <c r="F758" s="1002"/>
      <c r="G758" s="1003"/>
      <c r="H758" s="1002"/>
      <c r="I758" s="1002"/>
      <c r="J758" s="1002"/>
      <c r="K758" s="1002"/>
      <c r="L758" s="1002"/>
      <c r="M758" s="1002"/>
      <c r="N758" s="1002"/>
      <c r="O758" s="476"/>
      <c r="P758" s="1002"/>
      <c r="Q758" s="476"/>
      <c r="R758" s="1002"/>
      <c r="S758" s="1002"/>
      <c r="T758" s="476"/>
      <c r="U758" s="476"/>
      <c r="V758" s="1002"/>
      <c r="W758" s="476"/>
      <c r="X758" s="476"/>
      <c r="Y758" s="476"/>
      <c r="Z758" s="476"/>
      <c r="AA758" s="476"/>
    </row>
    <row r="759" spans="1:27" ht="15" customHeight="1">
      <c r="A759" s="476"/>
      <c r="B759" s="476"/>
      <c r="C759" s="1001"/>
      <c r="D759" s="1002"/>
      <c r="E759" s="476"/>
      <c r="F759" s="1002"/>
      <c r="G759" s="1003"/>
      <c r="H759" s="1002"/>
      <c r="I759" s="1002"/>
      <c r="J759" s="1002"/>
      <c r="K759" s="1002"/>
      <c r="L759" s="1002"/>
      <c r="M759" s="1002"/>
      <c r="N759" s="1002"/>
      <c r="O759" s="476"/>
      <c r="P759" s="1002"/>
      <c r="Q759" s="476"/>
      <c r="R759" s="1002"/>
      <c r="S759" s="1002"/>
      <c r="T759" s="476"/>
      <c r="U759" s="476"/>
      <c r="V759" s="1002"/>
      <c r="W759" s="476"/>
      <c r="X759" s="476"/>
      <c r="Y759" s="476"/>
      <c r="Z759" s="476"/>
      <c r="AA759" s="476"/>
    </row>
    <row r="760" spans="1:27" ht="15" customHeight="1">
      <c r="A760" s="476"/>
      <c r="B760" s="476"/>
      <c r="C760" s="1001"/>
      <c r="D760" s="1002"/>
      <c r="E760" s="476"/>
      <c r="F760" s="1002"/>
      <c r="G760" s="1003"/>
      <c r="H760" s="1002"/>
      <c r="I760" s="1002"/>
      <c r="J760" s="1002"/>
      <c r="K760" s="1002"/>
      <c r="L760" s="1002"/>
      <c r="M760" s="1002"/>
      <c r="N760" s="1002"/>
      <c r="O760" s="476"/>
      <c r="P760" s="1002"/>
      <c r="Q760" s="476"/>
      <c r="R760" s="1002"/>
      <c r="S760" s="1002"/>
      <c r="T760" s="476"/>
      <c r="U760" s="476"/>
      <c r="V760" s="1002"/>
      <c r="W760" s="476"/>
      <c r="X760" s="476"/>
      <c r="Y760" s="476"/>
      <c r="Z760" s="476"/>
      <c r="AA760" s="476"/>
    </row>
    <row r="761" spans="1:27" ht="15" customHeight="1">
      <c r="A761" s="476"/>
      <c r="B761" s="476"/>
      <c r="C761" s="1001"/>
      <c r="D761" s="1002"/>
      <c r="E761" s="476"/>
      <c r="F761" s="1002"/>
      <c r="G761" s="1003"/>
      <c r="H761" s="1002"/>
      <c r="I761" s="1002"/>
      <c r="J761" s="1002"/>
      <c r="K761" s="1002"/>
      <c r="L761" s="1002"/>
      <c r="M761" s="1002"/>
      <c r="N761" s="1002"/>
      <c r="O761" s="476"/>
      <c r="P761" s="1002"/>
      <c r="Q761" s="476"/>
      <c r="R761" s="1002"/>
      <c r="S761" s="1002"/>
      <c r="T761" s="476"/>
      <c r="U761" s="476"/>
      <c r="V761" s="1002"/>
      <c r="W761" s="476"/>
      <c r="X761" s="476"/>
      <c r="Y761" s="476"/>
      <c r="Z761" s="476"/>
      <c r="AA761" s="476"/>
    </row>
    <row r="762" spans="1:27" ht="15" customHeight="1">
      <c r="A762" s="476"/>
      <c r="B762" s="476"/>
      <c r="C762" s="1001"/>
      <c r="D762" s="1002"/>
      <c r="E762" s="476"/>
      <c r="F762" s="1002"/>
      <c r="G762" s="1003"/>
      <c r="H762" s="1002"/>
      <c r="I762" s="1002"/>
      <c r="J762" s="1002"/>
      <c r="K762" s="1002"/>
      <c r="L762" s="1002"/>
      <c r="M762" s="1002"/>
      <c r="N762" s="1002"/>
      <c r="O762" s="476"/>
      <c r="P762" s="1002"/>
      <c r="Q762" s="476"/>
      <c r="R762" s="1002"/>
      <c r="S762" s="1002"/>
      <c r="T762" s="476"/>
      <c r="U762" s="476"/>
      <c r="V762" s="1002"/>
      <c r="W762" s="476"/>
      <c r="X762" s="476"/>
      <c r="Y762" s="476"/>
      <c r="Z762" s="476"/>
      <c r="AA762" s="476"/>
    </row>
    <row r="763" spans="1:27" ht="15" customHeight="1">
      <c r="A763" s="476"/>
      <c r="B763" s="476"/>
      <c r="C763" s="1001"/>
      <c r="D763" s="1002"/>
      <c r="E763" s="476"/>
      <c r="F763" s="1002"/>
      <c r="G763" s="1003"/>
      <c r="H763" s="1002"/>
      <c r="I763" s="1002"/>
      <c r="J763" s="1002"/>
      <c r="K763" s="1002"/>
      <c r="L763" s="1002"/>
      <c r="M763" s="1002"/>
      <c r="N763" s="1002"/>
      <c r="O763" s="476"/>
      <c r="P763" s="1002"/>
      <c r="Q763" s="476"/>
      <c r="R763" s="1002"/>
      <c r="S763" s="1002"/>
      <c r="T763" s="476"/>
      <c r="U763" s="476"/>
      <c r="V763" s="1002"/>
      <c r="W763" s="476"/>
      <c r="X763" s="476"/>
      <c r="Y763" s="476"/>
      <c r="Z763" s="476"/>
      <c r="AA763" s="476"/>
    </row>
    <row r="764" spans="1:27" ht="15" customHeight="1">
      <c r="A764" s="476"/>
      <c r="B764" s="476"/>
      <c r="C764" s="1001"/>
      <c r="D764" s="1002"/>
      <c r="E764" s="476"/>
      <c r="F764" s="1002"/>
      <c r="G764" s="1003"/>
      <c r="H764" s="1002"/>
      <c r="I764" s="1002"/>
      <c r="J764" s="1002"/>
      <c r="K764" s="1002"/>
      <c r="L764" s="1002"/>
      <c r="M764" s="1002"/>
      <c r="N764" s="1002"/>
      <c r="O764" s="476"/>
      <c r="P764" s="1002"/>
      <c r="Q764" s="476"/>
      <c r="R764" s="1002"/>
      <c r="S764" s="1002"/>
      <c r="T764" s="476"/>
      <c r="U764" s="476"/>
      <c r="V764" s="1002"/>
      <c r="W764" s="476"/>
      <c r="X764" s="476"/>
      <c r="Y764" s="476"/>
      <c r="Z764" s="476"/>
      <c r="AA764" s="476"/>
    </row>
    <row r="765" spans="1:27" ht="15" customHeight="1">
      <c r="A765" s="476"/>
      <c r="B765" s="476"/>
      <c r="C765" s="1001"/>
      <c r="D765" s="1002"/>
      <c r="E765" s="476"/>
      <c r="F765" s="1002"/>
      <c r="G765" s="1003"/>
      <c r="H765" s="1002"/>
      <c r="I765" s="1002"/>
      <c r="J765" s="1002"/>
      <c r="K765" s="1002"/>
      <c r="L765" s="1002"/>
      <c r="M765" s="1002"/>
      <c r="N765" s="1002"/>
      <c r="O765" s="476"/>
      <c r="P765" s="1002"/>
      <c r="Q765" s="476"/>
      <c r="R765" s="1002"/>
      <c r="S765" s="1002"/>
      <c r="T765" s="476"/>
      <c r="U765" s="476"/>
      <c r="V765" s="1002"/>
      <c r="W765" s="476"/>
      <c r="X765" s="476"/>
      <c r="Y765" s="476"/>
      <c r="Z765" s="476"/>
      <c r="AA765" s="476"/>
    </row>
    <row r="766" spans="1:27" ht="15" customHeight="1">
      <c r="A766" s="476"/>
      <c r="B766" s="476"/>
      <c r="C766" s="1001"/>
      <c r="D766" s="1002"/>
      <c r="E766" s="476"/>
      <c r="F766" s="1002"/>
      <c r="G766" s="1003"/>
      <c r="H766" s="1002"/>
      <c r="I766" s="1002"/>
      <c r="J766" s="1002"/>
      <c r="K766" s="1002"/>
      <c r="L766" s="1002"/>
      <c r="M766" s="1002"/>
      <c r="N766" s="1002"/>
      <c r="O766" s="476"/>
      <c r="P766" s="1002"/>
      <c r="Q766" s="476"/>
      <c r="R766" s="1002"/>
      <c r="S766" s="1002"/>
      <c r="T766" s="476"/>
      <c r="U766" s="476"/>
      <c r="V766" s="1002"/>
      <c r="W766" s="476"/>
      <c r="X766" s="476"/>
      <c r="Y766" s="476"/>
      <c r="Z766" s="476"/>
      <c r="AA766" s="476"/>
    </row>
    <row r="767" spans="1:27" ht="15" customHeight="1">
      <c r="A767" s="476"/>
      <c r="B767" s="476"/>
      <c r="C767" s="1001"/>
      <c r="D767" s="1002"/>
      <c r="E767" s="476"/>
      <c r="F767" s="1002"/>
      <c r="G767" s="1003"/>
      <c r="H767" s="1002"/>
      <c r="I767" s="1002"/>
      <c r="J767" s="1002"/>
      <c r="K767" s="1002"/>
      <c r="L767" s="1002"/>
      <c r="M767" s="1002"/>
      <c r="N767" s="1002"/>
      <c r="O767" s="476"/>
      <c r="P767" s="1002"/>
      <c r="Q767" s="476"/>
      <c r="R767" s="1002"/>
      <c r="S767" s="1002"/>
      <c r="T767" s="476"/>
      <c r="U767" s="476"/>
      <c r="V767" s="1002"/>
      <c r="W767" s="476"/>
      <c r="X767" s="476"/>
      <c r="Y767" s="476"/>
      <c r="Z767" s="476"/>
      <c r="AA767" s="476"/>
    </row>
    <row r="768" spans="1:27" ht="15" customHeight="1">
      <c r="A768" s="476"/>
      <c r="B768" s="476"/>
      <c r="C768" s="1001"/>
      <c r="D768" s="1002"/>
      <c r="E768" s="476"/>
      <c r="F768" s="1002"/>
      <c r="G768" s="1003"/>
      <c r="H768" s="1002"/>
      <c r="I768" s="1002"/>
      <c r="J768" s="1002"/>
      <c r="K768" s="1002"/>
      <c r="L768" s="1002"/>
      <c r="M768" s="1002"/>
      <c r="N768" s="1002"/>
      <c r="O768" s="476"/>
      <c r="P768" s="1002"/>
      <c r="Q768" s="476"/>
      <c r="R768" s="1002"/>
      <c r="S768" s="1002"/>
      <c r="T768" s="476"/>
      <c r="U768" s="476"/>
      <c r="V768" s="1002"/>
      <c r="W768" s="476"/>
      <c r="X768" s="476"/>
      <c r="Y768" s="476"/>
      <c r="Z768" s="476"/>
      <c r="AA768" s="476"/>
    </row>
    <row r="769" spans="1:27" ht="15" customHeight="1">
      <c r="A769" s="476"/>
      <c r="B769" s="476"/>
      <c r="C769" s="1001"/>
      <c r="D769" s="1002"/>
      <c r="E769" s="476"/>
      <c r="F769" s="1002"/>
      <c r="G769" s="1003"/>
      <c r="H769" s="1002"/>
      <c r="I769" s="1002"/>
      <c r="J769" s="1002"/>
      <c r="K769" s="1002"/>
      <c r="L769" s="1002"/>
      <c r="M769" s="1002"/>
      <c r="N769" s="1002"/>
      <c r="O769" s="476"/>
      <c r="P769" s="1002"/>
      <c r="Q769" s="476"/>
      <c r="R769" s="1002"/>
      <c r="S769" s="1002"/>
      <c r="T769" s="476"/>
      <c r="U769" s="476"/>
      <c r="V769" s="1002"/>
      <c r="W769" s="476"/>
      <c r="X769" s="476"/>
      <c r="Y769" s="476"/>
      <c r="Z769" s="476"/>
      <c r="AA769" s="476"/>
    </row>
    <row r="770" spans="1:27" ht="15" customHeight="1">
      <c r="A770" s="476"/>
      <c r="B770" s="476"/>
      <c r="C770" s="1001"/>
      <c r="D770" s="1002"/>
      <c r="E770" s="476"/>
      <c r="F770" s="1002"/>
      <c r="G770" s="1003"/>
      <c r="H770" s="1002"/>
      <c r="I770" s="1002"/>
      <c r="J770" s="1002"/>
      <c r="K770" s="1002"/>
      <c r="L770" s="1002"/>
      <c r="M770" s="1002"/>
      <c r="N770" s="1002"/>
      <c r="O770" s="476"/>
      <c r="P770" s="1002"/>
      <c r="Q770" s="476"/>
      <c r="R770" s="1002"/>
      <c r="S770" s="1002"/>
      <c r="T770" s="476"/>
      <c r="U770" s="476"/>
      <c r="V770" s="1002"/>
      <c r="W770" s="476"/>
      <c r="X770" s="476"/>
      <c r="Y770" s="476"/>
      <c r="Z770" s="476"/>
      <c r="AA770" s="476"/>
    </row>
    <row r="771" spans="1:27" ht="15" customHeight="1">
      <c r="A771" s="476"/>
      <c r="B771" s="476"/>
      <c r="C771" s="1001"/>
      <c r="D771" s="1002"/>
      <c r="E771" s="476"/>
      <c r="F771" s="1002"/>
      <c r="G771" s="1003"/>
      <c r="H771" s="1002"/>
      <c r="I771" s="1002"/>
      <c r="J771" s="1002"/>
      <c r="K771" s="1002"/>
      <c r="L771" s="1002"/>
      <c r="M771" s="1002"/>
      <c r="N771" s="1002"/>
      <c r="O771" s="476"/>
      <c r="P771" s="1002"/>
      <c r="Q771" s="476"/>
      <c r="R771" s="1002"/>
      <c r="S771" s="1002"/>
      <c r="T771" s="476"/>
      <c r="U771" s="476"/>
      <c r="V771" s="1002"/>
      <c r="W771" s="476"/>
      <c r="X771" s="476"/>
      <c r="Y771" s="476"/>
      <c r="Z771" s="476"/>
      <c r="AA771" s="476"/>
    </row>
    <row r="772" spans="1:27" ht="15" customHeight="1">
      <c r="A772" s="476"/>
      <c r="B772" s="476"/>
      <c r="C772" s="1001"/>
      <c r="D772" s="1002"/>
      <c r="E772" s="476"/>
      <c r="F772" s="1002"/>
      <c r="G772" s="1003"/>
      <c r="H772" s="1002"/>
      <c r="I772" s="1002"/>
      <c r="J772" s="1002"/>
      <c r="K772" s="1002"/>
      <c r="L772" s="1002"/>
      <c r="M772" s="1002"/>
      <c r="N772" s="1002"/>
      <c r="O772" s="476"/>
      <c r="P772" s="1002"/>
      <c r="Q772" s="476"/>
      <c r="R772" s="1002"/>
      <c r="S772" s="1002"/>
      <c r="T772" s="476"/>
      <c r="U772" s="476"/>
      <c r="V772" s="1002"/>
      <c r="W772" s="476"/>
      <c r="X772" s="476"/>
      <c r="Y772" s="476"/>
      <c r="Z772" s="476"/>
      <c r="AA772" s="476"/>
    </row>
    <row r="773" spans="1:27" ht="15" customHeight="1">
      <c r="A773" s="476"/>
      <c r="B773" s="476"/>
      <c r="C773" s="1001"/>
      <c r="D773" s="1002"/>
      <c r="E773" s="476"/>
      <c r="F773" s="1002"/>
      <c r="G773" s="1003"/>
      <c r="H773" s="1002"/>
      <c r="I773" s="1002"/>
      <c r="J773" s="1002"/>
      <c r="K773" s="1002"/>
      <c r="L773" s="1002"/>
      <c r="M773" s="1002"/>
      <c r="N773" s="1002"/>
      <c r="O773" s="476"/>
      <c r="P773" s="1002"/>
      <c r="Q773" s="476"/>
      <c r="R773" s="1002"/>
      <c r="S773" s="1002"/>
      <c r="T773" s="476"/>
      <c r="U773" s="476"/>
      <c r="V773" s="1002"/>
      <c r="W773" s="476"/>
      <c r="X773" s="476"/>
      <c r="Y773" s="476"/>
      <c r="Z773" s="476"/>
      <c r="AA773" s="476"/>
    </row>
    <row r="774" spans="1:27" ht="15" customHeight="1">
      <c r="A774" s="476"/>
      <c r="B774" s="476"/>
      <c r="C774" s="1001"/>
      <c r="D774" s="1002"/>
      <c r="E774" s="476"/>
      <c r="F774" s="1002"/>
      <c r="G774" s="1003"/>
      <c r="H774" s="1002"/>
      <c r="I774" s="1002"/>
      <c r="J774" s="1002"/>
      <c r="K774" s="1002"/>
      <c r="L774" s="1002"/>
      <c r="M774" s="1002"/>
      <c r="N774" s="1002"/>
      <c r="O774" s="476"/>
      <c r="P774" s="1002"/>
      <c r="Q774" s="476"/>
      <c r="R774" s="1002"/>
      <c r="S774" s="1002"/>
      <c r="T774" s="476"/>
      <c r="U774" s="476"/>
      <c r="V774" s="1002"/>
      <c r="W774" s="476"/>
      <c r="X774" s="476"/>
      <c r="Y774" s="476"/>
      <c r="Z774" s="476"/>
      <c r="AA774" s="476"/>
    </row>
    <row r="775" spans="1:27" ht="15" customHeight="1">
      <c r="A775" s="476"/>
      <c r="B775" s="476"/>
      <c r="C775" s="1001"/>
      <c r="D775" s="1002"/>
      <c r="E775" s="476"/>
      <c r="F775" s="1002"/>
      <c r="G775" s="1003"/>
      <c r="H775" s="1002"/>
      <c r="I775" s="1002"/>
      <c r="J775" s="1002"/>
      <c r="K775" s="1002"/>
      <c r="L775" s="1002"/>
      <c r="M775" s="1002"/>
      <c r="N775" s="1002"/>
      <c r="O775" s="476"/>
      <c r="P775" s="1002"/>
      <c r="Q775" s="476"/>
      <c r="R775" s="1002"/>
      <c r="S775" s="1002"/>
      <c r="T775" s="476"/>
      <c r="U775" s="476"/>
      <c r="V775" s="1002"/>
      <c r="W775" s="476"/>
      <c r="X775" s="476"/>
      <c r="Y775" s="476"/>
      <c r="Z775" s="476"/>
      <c r="AA775" s="476"/>
    </row>
    <row r="776" spans="1:27" ht="15" customHeight="1">
      <c r="A776" s="476"/>
      <c r="B776" s="476"/>
      <c r="C776" s="1001"/>
      <c r="D776" s="1002"/>
      <c r="E776" s="476"/>
      <c r="F776" s="1002"/>
      <c r="G776" s="1003"/>
      <c r="H776" s="1002"/>
      <c r="I776" s="1002"/>
      <c r="J776" s="1002"/>
      <c r="K776" s="1002"/>
      <c r="L776" s="1002"/>
      <c r="M776" s="1002"/>
      <c r="N776" s="1002"/>
      <c r="O776" s="476"/>
      <c r="P776" s="1002"/>
      <c r="Q776" s="476"/>
      <c r="R776" s="1002"/>
      <c r="S776" s="1002"/>
      <c r="T776" s="476"/>
      <c r="U776" s="476"/>
      <c r="V776" s="1002"/>
      <c r="W776" s="476"/>
      <c r="X776" s="476"/>
      <c r="Y776" s="476"/>
      <c r="Z776" s="476"/>
      <c r="AA776" s="476"/>
    </row>
    <row r="777" spans="1:27" ht="15" customHeight="1">
      <c r="A777" s="476"/>
      <c r="B777" s="476"/>
      <c r="C777" s="1001"/>
      <c r="D777" s="1002"/>
      <c r="E777" s="476"/>
      <c r="F777" s="1002"/>
      <c r="G777" s="1003"/>
      <c r="H777" s="1002"/>
      <c r="I777" s="1002"/>
      <c r="J777" s="1002"/>
      <c r="K777" s="1002"/>
      <c r="L777" s="1002"/>
      <c r="M777" s="1002"/>
      <c r="N777" s="1002"/>
      <c r="O777" s="476"/>
      <c r="P777" s="1002"/>
      <c r="Q777" s="476"/>
      <c r="R777" s="1002"/>
      <c r="S777" s="1002"/>
      <c r="T777" s="476"/>
      <c r="U777" s="476"/>
      <c r="V777" s="1002"/>
      <c r="W777" s="476"/>
      <c r="X777" s="476"/>
      <c r="Y777" s="476"/>
      <c r="Z777" s="476"/>
      <c r="AA777" s="476"/>
    </row>
    <row r="778" spans="1:27" ht="15" customHeight="1">
      <c r="A778" s="476"/>
      <c r="B778" s="476"/>
      <c r="C778" s="1001"/>
      <c r="D778" s="1002"/>
      <c r="E778" s="476"/>
      <c r="F778" s="1002"/>
      <c r="G778" s="1003"/>
      <c r="H778" s="1002"/>
      <c r="I778" s="1002"/>
      <c r="J778" s="1002"/>
      <c r="K778" s="1002"/>
      <c r="L778" s="1002"/>
      <c r="M778" s="1002"/>
      <c r="N778" s="1002"/>
      <c r="O778" s="476"/>
      <c r="P778" s="1002"/>
      <c r="Q778" s="476"/>
      <c r="R778" s="1002"/>
      <c r="S778" s="1002"/>
      <c r="T778" s="476"/>
      <c r="U778" s="476"/>
      <c r="V778" s="1002"/>
      <c r="W778" s="476"/>
      <c r="X778" s="476"/>
      <c r="Y778" s="476"/>
      <c r="Z778" s="476"/>
      <c r="AA778" s="476"/>
    </row>
    <row r="779" spans="1:27" ht="15" customHeight="1">
      <c r="A779" s="476"/>
      <c r="B779" s="476"/>
      <c r="C779" s="1001"/>
      <c r="D779" s="1002"/>
      <c r="E779" s="476"/>
      <c r="F779" s="1002"/>
      <c r="G779" s="1003"/>
      <c r="H779" s="1002"/>
      <c r="I779" s="1002"/>
      <c r="J779" s="1002"/>
      <c r="K779" s="1002"/>
      <c r="L779" s="1002"/>
      <c r="M779" s="1002"/>
      <c r="N779" s="1002"/>
      <c r="O779" s="476"/>
      <c r="P779" s="1002"/>
      <c r="Q779" s="476"/>
      <c r="R779" s="1002"/>
      <c r="S779" s="1002"/>
      <c r="T779" s="476"/>
      <c r="U779" s="476"/>
      <c r="V779" s="1002"/>
      <c r="W779" s="476"/>
      <c r="X779" s="476"/>
      <c r="Y779" s="476"/>
      <c r="Z779" s="476"/>
      <c r="AA779" s="476"/>
    </row>
    <row r="780" spans="1:27" ht="15" customHeight="1">
      <c r="A780" s="476"/>
      <c r="B780" s="476"/>
      <c r="C780" s="1001"/>
      <c r="D780" s="1002"/>
      <c r="E780" s="476"/>
      <c r="F780" s="1002"/>
      <c r="G780" s="1003"/>
      <c r="H780" s="1002"/>
      <c r="I780" s="1002"/>
      <c r="J780" s="1002"/>
      <c r="K780" s="1002"/>
      <c r="L780" s="1002"/>
      <c r="M780" s="1002"/>
      <c r="N780" s="1002"/>
      <c r="O780" s="476"/>
      <c r="P780" s="1002"/>
      <c r="Q780" s="476"/>
      <c r="R780" s="1002"/>
      <c r="S780" s="1002"/>
      <c r="T780" s="476"/>
      <c r="U780" s="476"/>
      <c r="V780" s="1002"/>
      <c r="W780" s="476"/>
      <c r="X780" s="476"/>
      <c r="Y780" s="476"/>
      <c r="Z780" s="476"/>
      <c r="AA780" s="476"/>
    </row>
    <row r="781" spans="1:27" ht="15" customHeight="1">
      <c r="A781" s="476"/>
      <c r="B781" s="476"/>
      <c r="C781" s="1001"/>
      <c r="D781" s="1002"/>
      <c r="E781" s="476"/>
      <c r="F781" s="1002"/>
      <c r="G781" s="1003"/>
      <c r="H781" s="1002"/>
      <c r="I781" s="1002"/>
      <c r="J781" s="1002"/>
      <c r="K781" s="1002"/>
      <c r="L781" s="1002"/>
      <c r="M781" s="1002"/>
      <c r="N781" s="1002"/>
      <c r="O781" s="476"/>
      <c r="P781" s="1002"/>
      <c r="Q781" s="476"/>
      <c r="R781" s="1002"/>
      <c r="S781" s="1002"/>
      <c r="T781" s="476"/>
      <c r="U781" s="476"/>
      <c r="V781" s="1002"/>
      <c r="W781" s="476"/>
      <c r="X781" s="476"/>
      <c r="Y781" s="476"/>
      <c r="Z781" s="476"/>
      <c r="AA781" s="476"/>
    </row>
    <row r="782" spans="1:27" ht="15" customHeight="1">
      <c r="A782" s="476"/>
      <c r="B782" s="476"/>
      <c r="C782" s="1001"/>
      <c r="D782" s="1002"/>
      <c r="E782" s="476"/>
      <c r="F782" s="1002"/>
      <c r="G782" s="1003"/>
      <c r="H782" s="1002"/>
      <c r="I782" s="1002"/>
      <c r="J782" s="1002"/>
      <c r="K782" s="1002"/>
      <c r="L782" s="1002"/>
      <c r="M782" s="1002"/>
      <c r="N782" s="1002"/>
      <c r="O782" s="476"/>
      <c r="P782" s="1002"/>
      <c r="Q782" s="476"/>
      <c r="R782" s="1002"/>
      <c r="S782" s="1002"/>
      <c r="T782" s="476"/>
      <c r="U782" s="476"/>
      <c r="V782" s="1002"/>
      <c r="W782" s="476"/>
      <c r="X782" s="476"/>
      <c r="Y782" s="476"/>
      <c r="Z782" s="476"/>
      <c r="AA782" s="476"/>
    </row>
    <row r="783" spans="1:27" ht="15" customHeight="1">
      <c r="A783" s="476"/>
      <c r="B783" s="476"/>
      <c r="C783" s="1001"/>
      <c r="D783" s="1002"/>
      <c r="E783" s="476"/>
      <c r="F783" s="1002"/>
      <c r="G783" s="1003"/>
      <c r="H783" s="1002"/>
      <c r="I783" s="1002"/>
      <c r="J783" s="1002"/>
      <c r="K783" s="1002"/>
      <c r="L783" s="1002"/>
      <c r="M783" s="1002"/>
      <c r="N783" s="1002"/>
      <c r="O783" s="476"/>
      <c r="P783" s="1002"/>
      <c r="Q783" s="476"/>
      <c r="R783" s="1002"/>
      <c r="S783" s="1002"/>
      <c r="T783" s="476"/>
      <c r="U783" s="476"/>
      <c r="V783" s="1002"/>
      <c r="W783" s="476"/>
      <c r="X783" s="476"/>
      <c r="Y783" s="476"/>
      <c r="Z783" s="476"/>
      <c r="AA783" s="476"/>
    </row>
    <row r="784" spans="1:27" ht="15" customHeight="1">
      <c r="A784" s="476"/>
      <c r="B784" s="476"/>
      <c r="C784" s="1001"/>
      <c r="D784" s="1002"/>
      <c r="E784" s="476"/>
      <c r="F784" s="1002"/>
      <c r="G784" s="1003"/>
      <c r="H784" s="1002"/>
      <c r="I784" s="1002"/>
      <c r="J784" s="1002"/>
      <c r="K784" s="1002"/>
      <c r="L784" s="1002"/>
      <c r="M784" s="1002"/>
      <c r="N784" s="1002"/>
      <c r="O784" s="476"/>
      <c r="P784" s="1002"/>
      <c r="Q784" s="476"/>
      <c r="R784" s="1002"/>
      <c r="S784" s="1002"/>
      <c r="T784" s="476"/>
      <c r="U784" s="476"/>
      <c r="V784" s="1002"/>
      <c r="W784" s="476"/>
      <c r="X784" s="476"/>
      <c r="Y784" s="476"/>
      <c r="Z784" s="476"/>
      <c r="AA784" s="476"/>
    </row>
    <row r="785" spans="1:27" ht="15" customHeight="1">
      <c r="A785" s="476"/>
      <c r="B785" s="476"/>
      <c r="C785" s="1001"/>
      <c r="D785" s="1002"/>
      <c r="E785" s="476"/>
      <c r="F785" s="1002"/>
      <c r="G785" s="1003"/>
      <c r="H785" s="1002"/>
      <c r="I785" s="1002"/>
      <c r="J785" s="1002"/>
      <c r="K785" s="1002"/>
      <c r="L785" s="1002"/>
      <c r="M785" s="1002"/>
      <c r="N785" s="1002"/>
      <c r="O785" s="476"/>
      <c r="P785" s="1002"/>
      <c r="Q785" s="476"/>
      <c r="R785" s="1002"/>
      <c r="S785" s="1002"/>
      <c r="T785" s="476"/>
      <c r="U785" s="476"/>
      <c r="V785" s="1002"/>
      <c r="W785" s="476"/>
      <c r="X785" s="476"/>
      <c r="Y785" s="476"/>
      <c r="Z785" s="476"/>
      <c r="AA785" s="476"/>
    </row>
    <row r="786" spans="1:27" ht="15" customHeight="1">
      <c r="A786" s="476"/>
      <c r="B786" s="476"/>
      <c r="C786" s="1001"/>
      <c r="D786" s="1002"/>
      <c r="E786" s="476"/>
      <c r="F786" s="1002"/>
      <c r="G786" s="1003"/>
      <c r="H786" s="1002"/>
      <c r="I786" s="1002"/>
      <c r="J786" s="1002"/>
      <c r="K786" s="1002"/>
      <c r="L786" s="1002"/>
      <c r="M786" s="1002"/>
      <c r="N786" s="1002"/>
      <c r="O786" s="476"/>
      <c r="P786" s="1002"/>
      <c r="Q786" s="476"/>
      <c r="R786" s="1002"/>
      <c r="S786" s="1002"/>
      <c r="T786" s="476"/>
      <c r="U786" s="476"/>
      <c r="V786" s="1002"/>
      <c r="W786" s="476"/>
      <c r="X786" s="476"/>
      <c r="Y786" s="476"/>
      <c r="Z786" s="476"/>
      <c r="AA786" s="476"/>
    </row>
    <row r="787" spans="1:27" ht="15" customHeight="1">
      <c r="A787" s="476"/>
      <c r="B787" s="476"/>
      <c r="C787" s="1001"/>
      <c r="D787" s="1002"/>
      <c r="E787" s="476"/>
      <c r="F787" s="1002"/>
      <c r="G787" s="1003"/>
      <c r="H787" s="1002"/>
      <c r="I787" s="1002"/>
      <c r="J787" s="1002"/>
      <c r="K787" s="1002"/>
      <c r="L787" s="1002"/>
      <c r="M787" s="1002"/>
      <c r="N787" s="1002"/>
      <c r="O787" s="476"/>
      <c r="P787" s="1002"/>
      <c r="Q787" s="476"/>
      <c r="R787" s="1002"/>
      <c r="S787" s="1002"/>
      <c r="T787" s="476"/>
      <c r="U787" s="476"/>
      <c r="V787" s="1002"/>
      <c r="W787" s="476"/>
      <c r="X787" s="476"/>
      <c r="Y787" s="476"/>
      <c r="Z787" s="476"/>
      <c r="AA787" s="476"/>
    </row>
    <row r="788" spans="1:27" ht="15" customHeight="1">
      <c r="A788" s="476"/>
      <c r="B788" s="476"/>
      <c r="C788" s="1001"/>
      <c r="D788" s="1002"/>
      <c r="E788" s="476"/>
      <c r="F788" s="1002"/>
      <c r="G788" s="1003"/>
      <c r="H788" s="1002"/>
      <c r="I788" s="1002"/>
      <c r="J788" s="1002"/>
      <c r="K788" s="1002"/>
      <c r="L788" s="1002"/>
      <c r="M788" s="1002"/>
      <c r="N788" s="1002"/>
      <c r="O788" s="476"/>
      <c r="P788" s="1002"/>
      <c r="Q788" s="476"/>
      <c r="R788" s="1002"/>
      <c r="S788" s="1002"/>
      <c r="T788" s="476"/>
      <c r="U788" s="476"/>
      <c r="V788" s="1002"/>
      <c r="W788" s="476"/>
      <c r="X788" s="476"/>
      <c r="Y788" s="476"/>
      <c r="Z788" s="476"/>
      <c r="AA788" s="476"/>
    </row>
    <row r="789" spans="1:27" ht="15" customHeight="1">
      <c r="A789" s="476"/>
      <c r="B789" s="476"/>
      <c r="C789" s="1001"/>
      <c r="D789" s="1002"/>
      <c r="E789" s="476"/>
      <c r="F789" s="1002"/>
      <c r="G789" s="1003"/>
      <c r="H789" s="1002"/>
      <c r="I789" s="1002"/>
      <c r="J789" s="1002"/>
      <c r="K789" s="1002"/>
      <c r="L789" s="1002"/>
      <c r="M789" s="1002"/>
      <c r="N789" s="1002"/>
      <c r="O789" s="476"/>
      <c r="P789" s="1002"/>
      <c r="Q789" s="476"/>
      <c r="R789" s="1002"/>
      <c r="S789" s="1002"/>
      <c r="T789" s="476"/>
      <c r="U789" s="476"/>
      <c r="V789" s="1002"/>
      <c r="W789" s="476"/>
      <c r="X789" s="476"/>
      <c r="Y789" s="476"/>
      <c r="Z789" s="476"/>
      <c r="AA789" s="476"/>
    </row>
    <row r="790" spans="1:27" ht="15" customHeight="1">
      <c r="A790" s="476"/>
      <c r="B790" s="476"/>
      <c r="C790" s="1001"/>
      <c r="D790" s="1002"/>
      <c r="E790" s="476"/>
      <c r="F790" s="1002"/>
      <c r="G790" s="1003"/>
      <c r="H790" s="1002"/>
      <c r="I790" s="1002"/>
      <c r="J790" s="1002"/>
      <c r="K790" s="1002"/>
      <c r="L790" s="1002"/>
      <c r="M790" s="1002"/>
      <c r="N790" s="1002"/>
      <c r="O790" s="476"/>
      <c r="P790" s="1002"/>
      <c r="Q790" s="476"/>
      <c r="R790" s="1002"/>
      <c r="S790" s="1002"/>
      <c r="T790" s="476"/>
      <c r="U790" s="476"/>
      <c r="V790" s="1002"/>
      <c r="W790" s="476"/>
      <c r="X790" s="476"/>
      <c r="Y790" s="476"/>
      <c r="Z790" s="476"/>
      <c r="AA790" s="476"/>
    </row>
    <row r="791" spans="1:27" ht="15" customHeight="1">
      <c r="A791" s="476"/>
      <c r="B791" s="476"/>
      <c r="C791" s="1001"/>
      <c r="D791" s="1002"/>
      <c r="E791" s="476"/>
      <c r="F791" s="1002"/>
      <c r="G791" s="1003"/>
      <c r="H791" s="1002"/>
      <c r="I791" s="1002"/>
      <c r="J791" s="1002"/>
      <c r="K791" s="1002"/>
      <c r="L791" s="1002"/>
      <c r="M791" s="1002"/>
      <c r="N791" s="1002"/>
      <c r="O791" s="476"/>
      <c r="P791" s="1002"/>
      <c r="Q791" s="476"/>
      <c r="R791" s="1002"/>
      <c r="S791" s="1002"/>
      <c r="T791" s="476"/>
      <c r="U791" s="476"/>
      <c r="V791" s="1002"/>
      <c r="W791" s="476"/>
      <c r="X791" s="476"/>
      <c r="Y791" s="476"/>
      <c r="Z791" s="476"/>
      <c r="AA791" s="476"/>
    </row>
    <row r="792" spans="1:27" ht="15" customHeight="1">
      <c r="A792" s="476"/>
      <c r="B792" s="476"/>
      <c r="C792" s="1001"/>
      <c r="D792" s="1002"/>
      <c r="E792" s="476"/>
      <c r="F792" s="1002"/>
      <c r="G792" s="1003"/>
      <c r="H792" s="1002"/>
      <c r="I792" s="1002"/>
      <c r="J792" s="1002"/>
      <c r="K792" s="1002"/>
      <c r="L792" s="1002"/>
      <c r="M792" s="1002"/>
      <c r="N792" s="1002"/>
      <c r="O792" s="476"/>
      <c r="P792" s="1002"/>
      <c r="Q792" s="476"/>
      <c r="R792" s="1002"/>
      <c r="S792" s="1002"/>
      <c r="T792" s="476"/>
      <c r="U792" s="476"/>
      <c r="V792" s="1002"/>
      <c r="W792" s="476"/>
      <c r="X792" s="476"/>
      <c r="Y792" s="476"/>
      <c r="Z792" s="476"/>
      <c r="AA792" s="476"/>
    </row>
    <row r="793" spans="1:27" ht="15" customHeight="1">
      <c r="A793" s="476"/>
      <c r="B793" s="476"/>
      <c r="C793" s="1001"/>
      <c r="D793" s="1002"/>
      <c r="E793" s="476"/>
      <c r="F793" s="1002"/>
      <c r="G793" s="1003"/>
      <c r="H793" s="1002"/>
      <c r="I793" s="1002"/>
      <c r="J793" s="1002"/>
      <c r="K793" s="1002"/>
      <c r="L793" s="1002"/>
      <c r="M793" s="1002"/>
      <c r="N793" s="1002"/>
      <c r="O793" s="476"/>
      <c r="P793" s="1002"/>
      <c r="Q793" s="476"/>
      <c r="R793" s="1002"/>
      <c r="S793" s="1002"/>
      <c r="T793" s="476"/>
      <c r="U793" s="476"/>
      <c r="V793" s="1002"/>
      <c r="W793" s="476"/>
      <c r="X793" s="476"/>
      <c r="Y793" s="476"/>
      <c r="Z793" s="476"/>
      <c r="AA793" s="476"/>
    </row>
    <row r="794" spans="1:27" ht="15" customHeight="1">
      <c r="A794" s="476"/>
      <c r="B794" s="476"/>
      <c r="C794" s="1001"/>
      <c r="D794" s="1002"/>
      <c r="E794" s="476"/>
      <c r="F794" s="1002"/>
      <c r="G794" s="1003"/>
      <c r="H794" s="1002"/>
      <c r="I794" s="1002"/>
      <c r="J794" s="1002"/>
      <c r="K794" s="1002"/>
      <c r="L794" s="1002"/>
      <c r="M794" s="1002"/>
      <c r="N794" s="1002"/>
      <c r="O794" s="476"/>
      <c r="P794" s="1002"/>
      <c r="Q794" s="476"/>
      <c r="R794" s="1002"/>
      <c r="S794" s="1002"/>
      <c r="T794" s="476"/>
      <c r="U794" s="476"/>
      <c r="V794" s="1002"/>
      <c r="W794" s="476"/>
      <c r="X794" s="476"/>
      <c r="Y794" s="476"/>
      <c r="Z794" s="476"/>
      <c r="AA794" s="476"/>
    </row>
    <row r="795" spans="1:27" ht="15" customHeight="1">
      <c r="A795" s="476"/>
      <c r="B795" s="476"/>
      <c r="C795" s="1001"/>
      <c r="D795" s="1002"/>
      <c r="E795" s="476"/>
      <c r="F795" s="1002"/>
      <c r="G795" s="1003"/>
      <c r="H795" s="1002"/>
      <c r="I795" s="1002"/>
      <c r="J795" s="1002"/>
      <c r="K795" s="1002"/>
      <c r="L795" s="1002"/>
      <c r="M795" s="1002"/>
      <c r="N795" s="1002"/>
      <c r="O795" s="476"/>
      <c r="P795" s="1002"/>
      <c r="Q795" s="476"/>
      <c r="R795" s="1002"/>
      <c r="S795" s="1002"/>
      <c r="T795" s="476"/>
      <c r="U795" s="476"/>
      <c r="V795" s="1002"/>
      <c r="W795" s="476"/>
      <c r="X795" s="476"/>
      <c r="Y795" s="476"/>
      <c r="Z795" s="476"/>
      <c r="AA795" s="476"/>
    </row>
    <row r="796" spans="1:27" ht="15" customHeight="1">
      <c r="A796" s="476"/>
      <c r="B796" s="476"/>
      <c r="C796" s="1001"/>
      <c r="D796" s="1002"/>
      <c r="E796" s="476"/>
      <c r="F796" s="1002"/>
      <c r="G796" s="1003"/>
      <c r="H796" s="1002"/>
      <c r="I796" s="1002"/>
      <c r="J796" s="1002"/>
      <c r="K796" s="1002"/>
      <c r="L796" s="1002"/>
      <c r="M796" s="1002"/>
      <c r="N796" s="1002"/>
      <c r="O796" s="476"/>
      <c r="P796" s="1002"/>
      <c r="Q796" s="476"/>
      <c r="R796" s="1002"/>
      <c r="S796" s="1002"/>
      <c r="T796" s="476"/>
      <c r="U796" s="476"/>
      <c r="V796" s="1002"/>
      <c r="W796" s="476"/>
      <c r="X796" s="476"/>
      <c r="Y796" s="476"/>
      <c r="Z796" s="476"/>
      <c r="AA796" s="476"/>
    </row>
    <row r="797" spans="1:27" ht="15" customHeight="1">
      <c r="A797" s="476"/>
      <c r="B797" s="476"/>
      <c r="C797" s="1001"/>
      <c r="D797" s="1002"/>
      <c r="E797" s="476"/>
      <c r="F797" s="1002"/>
      <c r="G797" s="1003"/>
      <c r="H797" s="1002"/>
      <c r="I797" s="1002"/>
      <c r="J797" s="1002"/>
      <c r="K797" s="1002"/>
      <c r="L797" s="1002"/>
      <c r="M797" s="1002"/>
      <c r="N797" s="1002"/>
      <c r="O797" s="476"/>
      <c r="P797" s="1002"/>
      <c r="Q797" s="476"/>
      <c r="R797" s="1002"/>
      <c r="S797" s="1002"/>
      <c r="T797" s="476"/>
      <c r="U797" s="476"/>
      <c r="V797" s="1002"/>
      <c r="W797" s="476"/>
      <c r="X797" s="476"/>
      <c r="Y797" s="476"/>
      <c r="Z797" s="476"/>
      <c r="AA797" s="476"/>
    </row>
    <row r="798" spans="1:27" ht="15" customHeight="1">
      <c r="A798" s="476"/>
      <c r="B798" s="476"/>
      <c r="C798" s="1001"/>
      <c r="D798" s="1002"/>
      <c r="E798" s="476"/>
      <c r="F798" s="1002"/>
      <c r="G798" s="1003"/>
      <c r="H798" s="1002"/>
      <c r="I798" s="1002"/>
      <c r="J798" s="1002"/>
      <c r="K798" s="1002"/>
      <c r="L798" s="1002"/>
      <c r="M798" s="1002"/>
      <c r="N798" s="1002"/>
      <c r="O798" s="476"/>
      <c r="P798" s="1002"/>
      <c r="Q798" s="476"/>
      <c r="R798" s="1002"/>
      <c r="S798" s="1002"/>
      <c r="T798" s="476"/>
      <c r="U798" s="476"/>
      <c r="V798" s="1002"/>
      <c r="W798" s="476"/>
      <c r="X798" s="476"/>
      <c r="Y798" s="476"/>
      <c r="Z798" s="476"/>
      <c r="AA798" s="476"/>
    </row>
    <row r="799" spans="1:27" ht="15" customHeight="1">
      <c r="A799" s="476"/>
      <c r="B799" s="476"/>
      <c r="C799" s="1001"/>
      <c r="D799" s="1002"/>
      <c r="E799" s="476"/>
      <c r="F799" s="1002"/>
      <c r="G799" s="1003"/>
      <c r="H799" s="1002"/>
      <c r="I799" s="1002"/>
      <c r="J799" s="1002"/>
      <c r="K799" s="1002"/>
      <c r="L799" s="1002"/>
      <c r="M799" s="1002"/>
      <c r="N799" s="1002"/>
      <c r="O799" s="476"/>
      <c r="P799" s="1002"/>
      <c r="Q799" s="476"/>
      <c r="R799" s="1002"/>
      <c r="S799" s="1002"/>
      <c r="T799" s="476"/>
      <c r="U799" s="476"/>
      <c r="V799" s="1002"/>
      <c r="W799" s="476"/>
      <c r="X799" s="476"/>
      <c r="Y799" s="476"/>
      <c r="Z799" s="476"/>
      <c r="AA799" s="476"/>
    </row>
    <row r="800" spans="1:27" ht="15" customHeight="1">
      <c r="A800" s="476"/>
      <c r="B800" s="476"/>
      <c r="C800" s="1001"/>
      <c r="D800" s="1002"/>
      <c r="E800" s="476"/>
      <c r="F800" s="1002"/>
      <c r="G800" s="1003"/>
      <c r="H800" s="1002"/>
      <c r="I800" s="1002"/>
      <c r="J800" s="1002"/>
      <c r="K800" s="1002"/>
      <c r="L800" s="1002"/>
      <c r="M800" s="1002"/>
      <c r="N800" s="1002"/>
      <c r="O800" s="476"/>
      <c r="P800" s="1002"/>
      <c r="Q800" s="476"/>
      <c r="R800" s="1002"/>
      <c r="S800" s="1002"/>
      <c r="T800" s="476"/>
      <c r="U800" s="476"/>
      <c r="V800" s="1002"/>
      <c r="W800" s="476"/>
      <c r="X800" s="476"/>
      <c r="Y800" s="476"/>
      <c r="Z800" s="476"/>
      <c r="AA800" s="476"/>
    </row>
    <row r="801" spans="1:27" ht="15" customHeight="1">
      <c r="A801" s="476"/>
      <c r="B801" s="476"/>
      <c r="C801" s="1001"/>
      <c r="D801" s="1002"/>
      <c r="E801" s="476"/>
      <c r="F801" s="1002"/>
      <c r="G801" s="1003"/>
      <c r="H801" s="1002"/>
      <c r="I801" s="1002"/>
      <c r="J801" s="1002"/>
      <c r="K801" s="1002"/>
      <c r="L801" s="1002"/>
      <c r="M801" s="1002"/>
      <c r="N801" s="1002"/>
      <c r="O801" s="476"/>
      <c r="P801" s="1002"/>
      <c r="Q801" s="476"/>
      <c r="R801" s="1002"/>
      <c r="S801" s="1002"/>
      <c r="T801" s="476"/>
      <c r="U801" s="476"/>
      <c r="V801" s="1002"/>
      <c r="W801" s="476"/>
      <c r="X801" s="476"/>
      <c r="Y801" s="476"/>
      <c r="Z801" s="476"/>
      <c r="AA801" s="476"/>
    </row>
    <row r="802" spans="1:27" ht="15" customHeight="1">
      <c r="A802" s="476"/>
      <c r="B802" s="476"/>
      <c r="C802" s="1001"/>
      <c r="D802" s="1002"/>
      <c r="E802" s="476"/>
      <c r="F802" s="1002"/>
      <c r="G802" s="1003"/>
      <c r="H802" s="1002"/>
      <c r="I802" s="1002"/>
      <c r="J802" s="1002"/>
      <c r="K802" s="1002"/>
      <c r="L802" s="1002"/>
      <c r="M802" s="1002"/>
      <c r="N802" s="1002"/>
      <c r="O802" s="476"/>
      <c r="P802" s="1002"/>
      <c r="Q802" s="476"/>
      <c r="R802" s="1002"/>
      <c r="S802" s="1002"/>
      <c r="T802" s="476"/>
      <c r="U802" s="476"/>
      <c r="V802" s="1002"/>
      <c r="W802" s="476"/>
      <c r="X802" s="476"/>
      <c r="Y802" s="476"/>
      <c r="Z802" s="476"/>
      <c r="AA802" s="476"/>
    </row>
    <row r="803" spans="1:27" ht="15" customHeight="1">
      <c r="A803" s="476"/>
      <c r="B803" s="476"/>
      <c r="C803" s="1001"/>
      <c r="D803" s="1002"/>
      <c r="E803" s="476"/>
      <c r="F803" s="1002"/>
      <c r="G803" s="1003"/>
      <c r="H803" s="1002"/>
      <c r="I803" s="1002"/>
      <c r="J803" s="1002"/>
      <c r="K803" s="1002"/>
      <c r="L803" s="1002"/>
      <c r="M803" s="1002"/>
      <c r="N803" s="1002"/>
      <c r="O803" s="476"/>
      <c r="P803" s="1002"/>
      <c r="Q803" s="476"/>
      <c r="R803" s="1002"/>
      <c r="S803" s="1002"/>
      <c r="T803" s="476"/>
      <c r="U803" s="476"/>
      <c r="V803" s="1002"/>
      <c r="W803" s="476"/>
      <c r="X803" s="476"/>
      <c r="Y803" s="476"/>
      <c r="Z803" s="476"/>
      <c r="AA803" s="476"/>
    </row>
    <row r="804" spans="1:27" ht="15" customHeight="1">
      <c r="A804" s="476"/>
      <c r="B804" s="476"/>
      <c r="C804" s="1001"/>
      <c r="D804" s="1002"/>
      <c r="E804" s="476"/>
      <c r="F804" s="1002"/>
      <c r="G804" s="1003"/>
      <c r="H804" s="1002"/>
      <c r="I804" s="1002"/>
      <c r="J804" s="1002"/>
      <c r="K804" s="1002"/>
      <c r="L804" s="1002"/>
      <c r="M804" s="1002"/>
      <c r="N804" s="1002"/>
      <c r="O804" s="476"/>
      <c r="P804" s="1002"/>
      <c r="Q804" s="476"/>
      <c r="R804" s="1002"/>
      <c r="S804" s="1002"/>
      <c r="T804" s="476"/>
      <c r="U804" s="476"/>
      <c r="V804" s="1002"/>
      <c r="W804" s="476"/>
      <c r="X804" s="476"/>
      <c r="Y804" s="476"/>
      <c r="Z804" s="476"/>
      <c r="AA804" s="476"/>
    </row>
    <row r="805" spans="1:27" ht="15" customHeight="1">
      <c r="A805" s="476"/>
      <c r="B805" s="476"/>
      <c r="C805" s="1001"/>
      <c r="D805" s="1002"/>
      <c r="E805" s="476"/>
      <c r="F805" s="1002"/>
      <c r="G805" s="1003"/>
      <c r="H805" s="1002"/>
      <c r="I805" s="1002"/>
      <c r="J805" s="1002"/>
      <c r="K805" s="1002"/>
      <c r="L805" s="1002"/>
      <c r="M805" s="1002"/>
      <c r="N805" s="1002"/>
      <c r="O805" s="476"/>
      <c r="P805" s="1002"/>
      <c r="Q805" s="476"/>
      <c r="R805" s="1002"/>
      <c r="S805" s="1002"/>
      <c r="T805" s="476"/>
      <c r="U805" s="476"/>
      <c r="V805" s="1002"/>
      <c r="W805" s="476"/>
      <c r="X805" s="476"/>
      <c r="Y805" s="476"/>
      <c r="Z805" s="476"/>
      <c r="AA805" s="476"/>
    </row>
    <row r="806" spans="1:27" ht="15" customHeight="1">
      <c r="A806" s="476"/>
      <c r="B806" s="476"/>
      <c r="C806" s="1001"/>
      <c r="D806" s="1002"/>
      <c r="E806" s="476"/>
      <c r="F806" s="1002"/>
      <c r="G806" s="1003"/>
      <c r="H806" s="1002"/>
      <c r="I806" s="1002"/>
      <c r="J806" s="1002"/>
      <c r="K806" s="1002"/>
      <c r="L806" s="1002"/>
      <c r="M806" s="1002"/>
      <c r="N806" s="1002"/>
      <c r="O806" s="476"/>
      <c r="P806" s="1002"/>
      <c r="Q806" s="476"/>
      <c r="R806" s="1002"/>
      <c r="S806" s="1002"/>
      <c r="T806" s="476"/>
      <c r="U806" s="476"/>
      <c r="V806" s="1002"/>
      <c r="W806" s="476"/>
      <c r="X806" s="476"/>
      <c r="Y806" s="476"/>
      <c r="Z806" s="476"/>
      <c r="AA806" s="476"/>
    </row>
    <row r="807" spans="1:27" ht="15" customHeight="1">
      <c r="A807" s="476"/>
      <c r="B807" s="476"/>
      <c r="C807" s="1001"/>
      <c r="D807" s="1002"/>
      <c r="E807" s="476"/>
      <c r="F807" s="1002"/>
      <c r="G807" s="1003"/>
      <c r="H807" s="1002"/>
      <c r="I807" s="1002"/>
      <c r="J807" s="1002"/>
      <c r="K807" s="1002"/>
      <c r="L807" s="1002"/>
      <c r="M807" s="1002"/>
      <c r="N807" s="1002"/>
      <c r="O807" s="476"/>
      <c r="P807" s="1002"/>
      <c r="Q807" s="476"/>
      <c r="R807" s="1002"/>
      <c r="S807" s="1002"/>
      <c r="T807" s="476"/>
      <c r="U807" s="476"/>
      <c r="V807" s="1002"/>
      <c r="W807" s="476"/>
      <c r="X807" s="476"/>
      <c r="Y807" s="476"/>
      <c r="Z807" s="476"/>
      <c r="AA807" s="476"/>
    </row>
    <row r="808" spans="1:27" ht="15" customHeight="1">
      <c r="A808" s="476"/>
      <c r="B808" s="476"/>
      <c r="C808" s="1001"/>
      <c r="D808" s="1002"/>
      <c r="E808" s="476"/>
      <c r="F808" s="1002"/>
      <c r="G808" s="1003"/>
      <c r="H808" s="1002"/>
      <c r="I808" s="1002"/>
      <c r="J808" s="1002"/>
      <c r="K808" s="1002"/>
      <c r="L808" s="1002"/>
      <c r="M808" s="1002"/>
      <c r="N808" s="1002"/>
      <c r="O808" s="476"/>
      <c r="P808" s="1002"/>
      <c r="Q808" s="476"/>
      <c r="R808" s="1002"/>
      <c r="S808" s="1002"/>
      <c r="T808" s="476"/>
      <c r="U808" s="476"/>
      <c r="V808" s="1002"/>
      <c r="W808" s="476"/>
      <c r="X808" s="476"/>
      <c r="Y808" s="476"/>
      <c r="Z808" s="476"/>
      <c r="AA808" s="476"/>
    </row>
    <row r="809" spans="1:27" ht="15" customHeight="1">
      <c r="A809" s="476"/>
      <c r="B809" s="476"/>
      <c r="C809" s="1001"/>
      <c r="D809" s="1002"/>
      <c r="E809" s="476"/>
      <c r="F809" s="1002"/>
      <c r="G809" s="1003"/>
      <c r="H809" s="1002"/>
      <c r="I809" s="1002"/>
      <c r="J809" s="1002"/>
      <c r="K809" s="1002"/>
      <c r="L809" s="1002"/>
      <c r="M809" s="1002"/>
      <c r="N809" s="1002"/>
      <c r="O809" s="476"/>
      <c r="P809" s="1002"/>
      <c r="Q809" s="476"/>
      <c r="R809" s="1002"/>
      <c r="S809" s="1002"/>
      <c r="T809" s="476"/>
      <c r="U809" s="476"/>
      <c r="V809" s="1002"/>
      <c r="W809" s="476"/>
      <c r="X809" s="476"/>
      <c r="Y809" s="476"/>
      <c r="Z809" s="476"/>
      <c r="AA809" s="476"/>
    </row>
    <row r="810" spans="1:27" ht="15" customHeight="1">
      <c r="A810" s="476"/>
      <c r="B810" s="476"/>
      <c r="C810" s="1001"/>
      <c r="D810" s="1002"/>
      <c r="E810" s="476"/>
      <c r="F810" s="1002"/>
      <c r="G810" s="1003"/>
      <c r="H810" s="1002"/>
      <c r="I810" s="1002"/>
      <c r="J810" s="1002"/>
      <c r="K810" s="1002"/>
      <c r="L810" s="1002"/>
      <c r="M810" s="1002"/>
      <c r="N810" s="1002"/>
      <c r="O810" s="476"/>
      <c r="P810" s="1002"/>
      <c r="Q810" s="476"/>
      <c r="R810" s="1002"/>
      <c r="S810" s="1002"/>
      <c r="T810" s="476"/>
      <c r="U810" s="476"/>
      <c r="V810" s="1002"/>
      <c r="W810" s="476"/>
      <c r="X810" s="476"/>
      <c r="Y810" s="476"/>
      <c r="Z810" s="476"/>
      <c r="AA810" s="476"/>
    </row>
    <row r="811" spans="1:27" ht="15" customHeight="1">
      <c r="A811" s="476"/>
      <c r="B811" s="476"/>
      <c r="C811" s="1001"/>
      <c r="D811" s="1002"/>
      <c r="E811" s="476"/>
      <c r="F811" s="1002"/>
      <c r="G811" s="1003"/>
      <c r="H811" s="1002"/>
      <c r="I811" s="1002"/>
      <c r="J811" s="1002"/>
      <c r="K811" s="1002"/>
      <c r="L811" s="1002"/>
      <c r="M811" s="1002"/>
      <c r="N811" s="1002"/>
      <c r="O811" s="476"/>
      <c r="P811" s="1002"/>
      <c r="Q811" s="476"/>
      <c r="R811" s="1002"/>
      <c r="S811" s="1002"/>
      <c r="T811" s="476"/>
      <c r="U811" s="476"/>
      <c r="V811" s="1002"/>
      <c r="W811" s="476"/>
      <c r="X811" s="476"/>
      <c r="Y811" s="476"/>
      <c r="Z811" s="476"/>
      <c r="AA811" s="476"/>
    </row>
    <row r="812" spans="1:27" ht="15" customHeight="1">
      <c r="A812" s="476"/>
      <c r="B812" s="476"/>
      <c r="C812" s="1001"/>
      <c r="D812" s="1002"/>
      <c r="E812" s="476"/>
      <c r="F812" s="1002"/>
      <c r="G812" s="1003"/>
      <c r="H812" s="1002"/>
      <c r="I812" s="1002"/>
      <c r="J812" s="1002"/>
      <c r="K812" s="1002"/>
      <c r="L812" s="1002"/>
      <c r="M812" s="1002"/>
      <c r="N812" s="1002"/>
      <c r="O812" s="476"/>
      <c r="P812" s="1002"/>
      <c r="Q812" s="476"/>
      <c r="R812" s="1002"/>
      <c r="S812" s="1002"/>
      <c r="T812" s="476"/>
      <c r="U812" s="476"/>
      <c r="V812" s="1002"/>
      <c r="W812" s="476"/>
      <c r="X812" s="476"/>
      <c r="Y812" s="476"/>
      <c r="Z812" s="476"/>
      <c r="AA812" s="476"/>
    </row>
    <row r="813" spans="1:27" ht="15" customHeight="1">
      <c r="A813" s="476"/>
      <c r="B813" s="476"/>
      <c r="C813" s="1001"/>
      <c r="D813" s="1002"/>
      <c r="E813" s="476"/>
      <c r="F813" s="1002"/>
      <c r="G813" s="1003"/>
      <c r="H813" s="1002"/>
      <c r="I813" s="1002"/>
      <c r="J813" s="1002"/>
      <c r="K813" s="1002"/>
      <c r="L813" s="1002"/>
      <c r="M813" s="1002"/>
      <c r="N813" s="1002"/>
      <c r="O813" s="476"/>
      <c r="P813" s="1002"/>
      <c r="Q813" s="476"/>
      <c r="R813" s="1002"/>
      <c r="S813" s="1002"/>
      <c r="T813" s="476"/>
      <c r="U813" s="476"/>
      <c r="V813" s="1002"/>
      <c r="W813" s="476"/>
      <c r="X813" s="476"/>
      <c r="Y813" s="476"/>
      <c r="Z813" s="476"/>
      <c r="AA813" s="476"/>
    </row>
    <row r="814" spans="1:27" ht="15" customHeight="1">
      <c r="A814" s="476"/>
      <c r="B814" s="476"/>
      <c r="C814" s="1001"/>
      <c r="D814" s="1002"/>
      <c r="E814" s="476"/>
      <c r="F814" s="1002"/>
      <c r="G814" s="1003"/>
      <c r="H814" s="1002"/>
      <c r="I814" s="1002"/>
      <c r="J814" s="1002"/>
      <c r="K814" s="1002"/>
      <c r="L814" s="1002"/>
      <c r="M814" s="1002"/>
      <c r="N814" s="1002"/>
      <c r="O814" s="476"/>
      <c r="P814" s="1002"/>
      <c r="Q814" s="476"/>
      <c r="R814" s="1002"/>
      <c r="S814" s="1002"/>
      <c r="T814" s="476"/>
      <c r="U814" s="476"/>
      <c r="V814" s="1002"/>
      <c r="W814" s="476"/>
      <c r="X814" s="476"/>
      <c r="Y814" s="476"/>
      <c r="Z814" s="476"/>
      <c r="AA814" s="476"/>
    </row>
    <row r="815" spans="1:27" ht="15" customHeight="1">
      <c r="A815" s="476"/>
      <c r="B815" s="476"/>
      <c r="C815" s="1001"/>
      <c r="D815" s="1002"/>
      <c r="E815" s="476"/>
      <c r="F815" s="1002"/>
      <c r="G815" s="1003"/>
      <c r="H815" s="1002"/>
      <c r="I815" s="1002"/>
      <c r="J815" s="1002"/>
      <c r="K815" s="1002"/>
      <c r="L815" s="1002"/>
      <c r="M815" s="1002"/>
      <c r="N815" s="1002"/>
      <c r="O815" s="476"/>
      <c r="P815" s="1002"/>
      <c r="Q815" s="476"/>
      <c r="R815" s="1002"/>
      <c r="S815" s="1002"/>
      <c r="T815" s="476"/>
      <c r="U815" s="476"/>
      <c r="V815" s="1002"/>
      <c r="W815" s="476"/>
      <c r="X815" s="476"/>
      <c r="Y815" s="476"/>
      <c r="Z815" s="476"/>
      <c r="AA815" s="476"/>
    </row>
    <row r="816" spans="1:27" ht="15" customHeight="1">
      <c r="A816" s="476"/>
      <c r="B816" s="476"/>
      <c r="C816" s="1001"/>
      <c r="D816" s="1002"/>
      <c r="E816" s="476"/>
      <c r="F816" s="1002"/>
      <c r="G816" s="1003"/>
      <c r="H816" s="1002"/>
      <c r="I816" s="1002"/>
      <c r="J816" s="1002"/>
      <c r="K816" s="1002"/>
      <c r="L816" s="1002"/>
      <c r="M816" s="1002"/>
      <c r="N816" s="1002"/>
      <c r="O816" s="476"/>
      <c r="P816" s="1002"/>
      <c r="Q816" s="476"/>
      <c r="R816" s="1002"/>
      <c r="S816" s="1002"/>
      <c r="T816" s="476"/>
      <c r="U816" s="476"/>
      <c r="V816" s="1002"/>
      <c r="W816" s="476"/>
      <c r="X816" s="476"/>
      <c r="Y816" s="476"/>
      <c r="Z816" s="476"/>
      <c r="AA816" s="476"/>
    </row>
    <row r="817" spans="1:27" ht="15" customHeight="1">
      <c r="A817" s="476"/>
      <c r="B817" s="476"/>
      <c r="C817" s="1001"/>
      <c r="D817" s="1002"/>
      <c r="E817" s="476"/>
      <c r="F817" s="1002"/>
      <c r="G817" s="1003"/>
      <c r="H817" s="1002"/>
      <c r="I817" s="1002"/>
      <c r="J817" s="1002"/>
      <c r="K817" s="1002"/>
      <c r="L817" s="1002"/>
      <c r="M817" s="1002"/>
      <c r="N817" s="1002"/>
      <c r="O817" s="476"/>
      <c r="P817" s="1002"/>
      <c r="Q817" s="476"/>
      <c r="R817" s="1002"/>
      <c r="S817" s="1002"/>
      <c r="T817" s="476"/>
      <c r="U817" s="476"/>
      <c r="V817" s="1002"/>
      <c r="W817" s="476"/>
      <c r="X817" s="476"/>
      <c r="Y817" s="476"/>
      <c r="Z817" s="476"/>
      <c r="AA817" s="476"/>
    </row>
    <row r="818" spans="1:27" ht="15" customHeight="1">
      <c r="A818" s="476"/>
      <c r="B818" s="476"/>
      <c r="C818" s="1001"/>
      <c r="D818" s="1002"/>
      <c r="E818" s="476"/>
      <c r="F818" s="1002"/>
      <c r="G818" s="1003"/>
      <c r="H818" s="1002"/>
      <c r="I818" s="1002"/>
      <c r="J818" s="1002"/>
      <c r="K818" s="1002"/>
      <c r="L818" s="1002"/>
      <c r="M818" s="1002"/>
      <c r="N818" s="1002"/>
      <c r="O818" s="476"/>
      <c r="P818" s="1002"/>
      <c r="Q818" s="476"/>
      <c r="R818" s="1002"/>
      <c r="S818" s="1002"/>
      <c r="T818" s="476"/>
      <c r="U818" s="476"/>
      <c r="V818" s="1002"/>
      <c r="W818" s="476"/>
      <c r="X818" s="476"/>
      <c r="Y818" s="476"/>
      <c r="Z818" s="476"/>
      <c r="AA818" s="476"/>
    </row>
    <row r="819" spans="1:27" ht="15" customHeight="1">
      <c r="A819" s="476"/>
      <c r="B819" s="476"/>
      <c r="C819" s="1001"/>
      <c r="D819" s="1002"/>
      <c r="E819" s="476"/>
      <c r="F819" s="1002"/>
      <c r="G819" s="1003"/>
      <c r="H819" s="1002"/>
      <c r="I819" s="1002"/>
      <c r="J819" s="1002"/>
      <c r="K819" s="1002"/>
      <c r="L819" s="1002"/>
      <c r="M819" s="1002"/>
      <c r="N819" s="1002"/>
      <c r="O819" s="476"/>
      <c r="P819" s="1002"/>
      <c r="Q819" s="476"/>
      <c r="R819" s="1002"/>
      <c r="S819" s="1002"/>
      <c r="T819" s="476"/>
      <c r="U819" s="476"/>
      <c r="V819" s="1002"/>
      <c r="W819" s="476"/>
      <c r="X819" s="476"/>
      <c r="Y819" s="476"/>
      <c r="Z819" s="476"/>
      <c r="AA819" s="476"/>
    </row>
    <row r="820" spans="1:27" ht="15" customHeight="1">
      <c r="A820" s="476"/>
      <c r="B820" s="476"/>
      <c r="C820" s="1001"/>
      <c r="D820" s="1002"/>
      <c r="E820" s="476"/>
      <c r="F820" s="1002"/>
      <c r="G820" s="1003"/>
      <c r="H820" s="1002"/>
      <c r="I820" s="1002"/>
      <c r="J820" s="1002"/>
      <c r="K820" s="1002"/>
      <c r="L820" s="1002"/>
      <c r="M820" s="1002"/>
      <c r="N820" s="1002"/>
      <c r="O820" s="476"/>
      <c r="P820" s="1002"/>
      <c r="Q820" s="476"/>
      <c r="R820" s="1002"/>
      <c r="S820" s="1002"/>
      <c r="T820" s="476"/>
      <c r="U820" s="476"/>
      <c r="V820" s="1002"/>
      <c r="W820" s="476"/>
      <c r="X820" s="476"/>
      <c r="Y820" s="476"/>
      <c r="Z820" s="476"/>
      <c r="AA820" s="476"/>
    </row>
    <row r="821" spans="1:27" ht="15" customHeight="1">
      <c r="A821" s="476"/>
      <c r="B821" s="476"/>
      <c r="C821" s="1001"/>
      <c r="D821" s="1002"/>
      <c r="E821" s="476"/>
      <c r="F821" s="1002"/>
      <c r="G821" s="1003"/>
      <c r="H821" s="1002"/>
      <c r="I821" s="1002"/>
      <c r="J821" s="1002"/>
      <c r="K821" s="1002"/>
      <c r="L821" s="1002"/>
      <c r="M821" s="1002"/>
      <c r="N821" s="1002"/>
      <c r="O821" s="476"/>
      <c r="P821" s="1002"/>
      <c r="Q821" s="476"/>
      <c r="R821" s="1002"/>
      <c r="S821" s="1002"/>
      <c r="T821" s="476"/>
      <c r="U821" s="476"/>
      <c r="V821" s="1002"/>
      <c r="W821" s="476"/>
      <c r="X821" s="476"/>
      <c r="Y821" s="476"/>
      <c r="Z821" s="476"/>
      <c r="AA821" s="476"/>
    </row>
    <row r="822" spans="1:27" ht="15" customHeight="1">
      <c r="A822" s="476"/>
      <c r="B822" s="476"/>
      <c r="C822" s="1001"/>
      <c r="D822" s="1002"/>
      <c r="E822" s="476"/>
      <c r="F822" s="1002"/>
      <c r="G822" s="1003"/>
      <c r="H822" s="1002"/>
      <c r="I822" s="1002"/>
      <c r="J822" s="1002"/>
      <c r="K822" s="1002"/>
      <c r="L822" s="1002"/>
      <c r="M822" s="1002"/>
      <c r="N822" s="1002"/>
      <c r="O822" s="476"/>
      <c r="P822" s="1002"/>
      <c r="Q822" s="476"/>
      <c r="R822" s="1002"/>
      <c r="S822" s="1002"/>
      <c r="T822" s="476"/>
      <c r="U822" s="476"/>
      <c r="V822" s="1002"/>
      <c r="W822" s="476"/>
      <c r="X822" s="476"/>
      <c r="Y822" s="476"/>
      <c r="Z822" s="476"/>
      <c r="AA822" s="476"/>
    </row>
    <row r="823" spans="1:27" ht="15" customHeight="1">
      <c r="A823" s="476"/>
      <c r="B823" s="476"/>
      <c r="C823" s="1001"/>
      <c r="D823" s="1002"/>
      <c r="E823" s="476"/>
      <c r="F823" s="1002"/>
      <c r="G823" s="1003"/>
      <c r="H823" s="1002"/>
      <c r="I823" s="1002"/>
      <c r="J823" s="1002"/>
      <c r="K823" s="1002"/>
      <c r="L823" s="1002"/>
      <c r="M823" s="1002"/>
      <c r="N823" s="1002"/>
      <c r="O823" s="476"/>
      <c r="P823" s="1002"/>
      <c r="Q823" s="476"/>
      <c r="R823" s="1002"/>
      <c r="S823" s="1002"/>
      <c r="T823" s="476"/>
      <c r="U823" s="476"/>
      <c r="V823" s="1002"/>
      <c r="W823" s="476"/>
      <c r="X823" s="476"/>
      <c r="Y823" s="476"/>
      <c r="Z823" s="476"/>
      <c r="AA823" s="476"/>
    </row>
    <row r="824" spans="1:27" ht="15" customHeight="1">
      <c r="A824" s="476"/>
      <c r="B824" s="476"/>
      <c r="C824" s="1001"/>
      <c r="D824" s="1002"/>
      <c r="E824" s="476"/>
      <c r="F824" s="1002"/>
      <c r="G824" s="1003"/>
      <c r="H824" s="1002"/>
      <c r="I824" s="1002"/>
      <c r="J824" s="1002"/>
      <c r="K824" s="1002"/>
      <c r="L824" s="1002"/>
      <c r="M824" s="1002"/>
      <c r="N824" s="1002"/>
      <c r="O824" s="476"/>
      <c r="P824" s="1002"/>
      <c r="Q824" s="476"/>
      <c r="R824" s="1002"/>
      <c r="S824" s="1002"/>
      <c r="T824" s="476"/>
      <c r="U824" s="476"/>
      <c r="V824" s="1002"/>
      <c r="W824" s="476"/>
      <c r="X824" s="476"/>
      <c r="Y824" s="476"/>
      <c r="Z824" s="476"/>
      <c r="AA824" s="476"/>
    </row>
    <row r="825" spans="1:27" ht="15" customHeight="1">
      <c r="A825" s="476"/>
      <c r="B825" s="476"/>
      <c r="C825" s="1001"/>
      <c r="D825" s="1002"/>
      <c r="E825" s="476"/>
      <c r="F825" s="1002"/>
      <c r="G825" s="1003"/>
      <c r="H825" s="1002"/>
      <c r="I825" s="1002"/>
      <c r="J825" s="1002"/>
      <c r="K825" s="1002"/>
      <c r="L825" s="1002"/>
      <c r="M825" s="1002"/>
      <c r="N825" s="1002"/>
      <c r="O825" s="476"/>
      <c r="P825" s="1002"/>
      <c r="Q825" s="476"/>
      <c r="R825" s="1002"/>
      <c r="S825" s="1002"/>
      <c r="T825" s="476"/>
      <c r="U825" s="476"/>
      <c r="V825" s="1002"/>
      <c r="W825" s="476"/>
      <c r="X825" s="476"/>
      <c r="Y825" s="476"/>
      <c r="Z825" s="476"/>
      <c r="AA825" s="476"/>
    </row>
    <row r="826" spans="1:27" ht="15" customHeight="1">
      <c r="A826" s="476"/>
      <c r="B826" s="476"/>
      <c r="C826" s="1001"/>
      <c r="D826" s="1002"/>
      <c r="E826" s="476"/>
      <c r="F826" s="1002"/>
      <c r="G826" s="1003"/>
      <c r="H826" s="1002"/>
      <c r="I826" s="1002"/>
      <c r="J826" s="1002"/>
      <c r="K826" s="1002"/>
      <c r="L826" s="1002"/>
      <c r="M826" s="1002"/>
      <c r="N826" s="1002"/>
      <c r="O826" s="476"/>
      <c r="P826" s="1002"/>
      <c r="Q826" s="476"/>
      <c r="R826" s="1002"/>
      <c r="S826" s="1002"/>
      <c r="T826" s="476"/>
      <c r="U826" s="476"/>
      <c r="V826" s="1002"/>
      <c r="W826" s="476"/>
      <c r="X826" s="476"/>
      <c r="Y826" s="476"/>
      <c r="Z826" s="476"/>
      <c r="AA826" s="476"/>
    </row>
    <row r="827" spans="1:27" ht="15" customHeight="1">
      <c r="A827" s="476"/>
      <c r="B827" s="476"/>
      <c r="C827" s="1001"/>
      <c r="D827" s="1002"/>
      <c r="E827" s="476"/>
      <c r="F827" s="1002"/>
      <c r="G827" s="1003"/>
      <c r="H827" s="1002"/>
      <c r="I827" s="1002"/>
      <c r="J827" s="1002"/>
      <c r="K827" s="1002"/>
      <c r="L827" s="1002"/>
      <c r="M827" s="1002"/>
      <c r="N827" s="1002"/>
      <c r="O827" s="476"/>
      <c r="P827" s="1002"/>
      <c r="Q827" s="476"/>
      <c r="R827" s="1002"/>
      <c r="S827" s="1002"/>
      <c r="T827" s="476"/>
      <c r="U827" s="476"/>
      <c r="V827" s="1002"/>
      <c r="W827" s="476"/>
      <c r="X827" s="476"/>
      <c r="Y827" s="476"/>
      <c r="Z827" s="476"/>
      <c r="AA827" s="476"/>
    </row>
    <row r="828" spans="1:27" ht="15" customHeight="1">
      <c r="A828" s="476"/>
      <c r="B828" s="476"/>
      <c r="C828" s="1001"/>
      <c r="D828" s="1002"/>
      <c r="E828" s="476"/>
      <c r="F828" s="1002"/>
      <c r="G828" s="1003"/>
      <c r="H828" s="1002"/>
      <c r="I828" s="1002"/>
      <c r="J828" s="1002"/>
      <c r="K828" s="1002"/>
      <c r="L828" s="1002"/>
      <c r="M828" s="1002"/>
      <c r="N828" s="1002"/>
      <c r="O828" s="476"/>
      <c r="P828" s="1002"/>
      <c r="Q828" s="476"/>
      <c r="R828" s="1002"/>
      <c r="S828" s="1002"/>
      <c r="T828" s="476"/>
      <c r="U828" s="476"/>
      <c r="V828" s="1002"/>
      <c r="W828" s="476"/>
      <c r="X828" s="476"/>
      <c r="Y828" s="476"/>
      <c r="Z828" s="476"/>
      <c r="AA828" s="476"/>
    </row>
    <row r="829" spans="1:27" ht="15" customHeight="1">
      <c r="A829" s="476"/>
      <c r="B829" s="476"/>
      <c r="C829" s="1001"/>
      <c r="D829" s="1002"/>
      <c r="E829" s="476"/>
      <c r="F829" s="1002"/>
      <c r="G829" s="1003"/>
      <c r="H829" s="1002"/>
      <c r="I829" s="1002"/>
      <c r="J829" s="1002"/>
      <c r="K829" s="1002"/>
      <c r="L829" s="1002"/>
      <c r="M829" s="1002"/>
      <c r="N829" s="1002"/>
      <c r="O829" s="476"/>
      <c r="P829" s="1002"/>
      <c r="Q829" s="476"/>
      <c r="R829" s="1002"/>
      <c r="S829" s="1002"/>
      <c r="T829" s="476"/>
      <c r="U829" s="476"/>
      <c r="V829" s="1002"/>
      <c r="W829" s="476"/>
      <c r="X829" s="476"/>
      <c r="Y829" s="476"/>
      <c r="Z829" s="476"/>
      <c r="AA829" s="476"/>
    </row>
    <row r="830" spans="1:27" ht="15" customHeight="1">
      <c r="A830" s="476"/>
      <c r="B830" s="476"/>
      <c r="C830" s="1001"/>
      <c r="D830" s="1002"/>
      <c r="E830" s="476"/>
      <c r="F830" s="1002"/>
      <c r="G830" s="1003"/>
      <c r="H830" s="1002"/>
      <c r="I830" s="1002"/>
      <c r="J830" s="1002"/>
      <c r="K830" s="1002"/>
      <c r="L830" s="1002"/>
      <c r="M830" s="1002"/>
      <c r="N830" s="1002"/>
      <c r="O830" s="476"/>
      <c r="P830" s="1002"/>
      <c r="Q830" s="476"/>
      <c r="R830" s="1002"/>
      <c r="S830" s="1002"/>
      <c r="T830" s="476"/>
      <c r="U830" s="476"/>
      <c r="V830" s="1002"/>
      <c r="W830" s="476"/>
      <c r="X830" s="476"/>
      <c r="Y830" s="476"/>
      <c r="Z830" s="476"/>
      <c r="AA830" s="476"/>
    </row>
    <row r="831" spans="1:27" ht="15" customHeight="1">
      <c r="A831" s="476"/>
      <c r="B831" s="476"/>
      <c r="C831" s="1001"/>
      <c r="D831" s="1002"/>
      <c r="E831" s="476"/>
      <c r="F831" s="1002"/>
      <c r="G831" s="1003"/>
      <c r="H831" s="1002"/>
      <c r="I831" s="1002"/>
      <c r="J831" s="1002"/>
      <c r="K831" s="1002"/>
      <c r="L831" s="1002"/>
      <c r="M831" s="1002"/>
      <c r="N831" s="1002"/>
      <c r="O831" s="476"/>
      <c r="P831" s="1002"/>
      <c r="Q831" s="476"/>
      <c r="R831" s="1002"/>
      <c r="S831" s="1002"/>
      <c r="T831" s="476"/>
      <c r="U831" s="476"/>
      <c r="V831" s="1002"/>
      <c r="W831" s="476"/>
      <c r="X831" s="476"/>
      <c r="Y831" s="476"/>
      <c r="Z831" s="476"/>
      <c r="AA831" s="476"/>
    </row>
    <row r="832" spans="1:27" ht="15" customHeight="1">
      <c r="A832" s="476"/>
      <c r="B832" s="476"/>
      <c r="C832" s="1001"/>
      <c r="D832" s="1002"/>
      <c r="E832" s="476"/>
      <c r="F832" s="1002"/>
      <c r="G832" s="1003"/>
      <c r="H832" s="1002"/>
      <c r="I832" s="1002"/>
      <c r="J832" s="1002"/>
      <c r="K832" s="1002"/>
      <c r="L832" s="1002"/>
      <c r="M832" s="1002"/>
      <c r="N832" s="1002"/>
      <c r="O832" s="476"/>
      <c r="P832" s="1002"/>
      <c r="Q832" s="476"/>
      <c r="R832" s="1002"/>
      <c r="S832" s="1002"/>
      <c r="T832" s="476"/>
      <c r="U832" s="476"/>
      <c r="V832" s="1002"/>
      <c r="W832" s="476"/>
      <c r="X832" s="476"/>
      <c r="Y832" s="476"/>
      <c r="Z832" s="476"/>
      <c r="AA832" s="476"/>
    </row>
    <row r="833" spans="1:27" ht="15" customHeight="1">
      <c r="A833" s="476"/>
      <c r="B833" s="476"/>
      <c r="C833" s="1001"/>
      <c r="D833" s="1002"/>
      <c r="E833" s="476"/>
      <c r="F833" s="1002"/>
      <c r="G833" s="1003"/>
      <c r="H833" s="1002"/>
      <c r="I833" s="1002"/>
      <c r="J833" s="1002"/>
      <c r="K833" s="1002"/>
      <c r="L833" s="1002"/>
      <c r="M833" s="1002"/>
      <c r="N833" s="1002"/>
      <c r="O833" s="476"/>
      <c r="P833" s="1002"/>
      <c r="Q833" s="476"/>
      <c r="R833" s="1002"/>
      <c r="S833" s="1002"/>
      <c r="T833" s="476"/>
      <c r="U833" s="476"/>
      <c r="V833" s="1002"/>
      <c r="W833" s="476"/>
      <c r="X833" s="476"/>
      <c r="Y833" s="476"/>
      <c r="Z833" s="476"/>
      <c r="AA833" s="476"/>
    </row>
    <row r="834" spans="1:27" ht="15" customHeight="1">
      <c r="A834" s="476"/>
      <c r="B834" s="476"/>
      <c r="C834" s="1001"/>
      <c r="D834" s="1002"/>
      <c r="E834" s="476"/>
      <c r="F834" s="1002"/>
      <c r="G834" s="1003"/>
      <c r="H834" s="1002"/>
      <c r="I834" s="1002"/>
      <c r="J834" s="1002"/>
      <c r="K834" s="1002"/>
      <c r="L834" s="1002"/>
      <c r="M834" s="1002"/>
      <c r="N834" s="1002"/>
      <c r="O834" s="476"/>
      <c r="P834" s="1002"/>
      <c r="Q834" s="476"/>
      <c r="R834" s="1002"/>
      <c r="S834" s="1002"/>
      <c r="T834" s="476"/>
      <c r="U834" s="476"/>
      <c r="V834" s="1002"/>
      <c r="W834" s="476"/>
      <c r="X834" s="476"/>
      <c r="Y834" s="476"/>
      <c r="Z834" s="476"/>
      <c r="AA834" s="476"/>
    </row>
    <row r="835" spans="1:27" ht="15" customHeight="1">
      <c r="A835" s="476"/>
      <c r="B835" s="476"/>
      <c r="C835" s="1001"/>
      <c r="D835" s="1002"/>
      <c r="E835" s="476"/>
      <c r="F835" s="1002"/>
      <c r="G835" s="1003"/>
      <c r="H835" s="1002"/>
      <c r="I835" s="1002"/>
      <c r="J835" s="1002"/>
      <c r="K835" s="1002"/>
      <c r="L835" s="1002"/>
      <c r="M835" s="1002"/>
      <c r="N835" s="1002"/>
      <c r="O835" s="476"/>
      <c r="P835" s="1002"/>
      <c r="Q835" s="476"/>
      <c r="R835" s="1002"/>
      <c r="S835" s="1002"/>
      <c r="T835" s="476"/>
      <c r="U835" s="476"/>
      <c r="V835" s="1002"/>
      <c r="W835" s="476"/>
      <c r="X835" s="476"/>
      <c r="Y835" s="476"/>
      <c r="Z835" s="476"/>
      <c r="AA835" s="476"/>
    </row>
    <row r="836" spans="1:27" ht="15" customHeight="1">
      <c r="A836" s="476"/>
      <c r="B836" s="476"/>
      <c r="C836" s="1001"/>
      <c r="D836" s="1002"/>
      <c r="E836" s="476"/>
      <c r="F836" s="1002"/>
      <c r="G836" s="1003"/>
      <c r="H836" s="1002"/>
      <c r="I836" s="1002"/>
      <c r="J836" s="1002"/>
      <c r="K836" s="1002"/>
      <c r="L836" s="1002"/>
      <c r="M836" s="1002"/>
      <c r="N836" s="1002"/>
      <c r="O836" s="476"/>
      <c r="P836" s="1002"/>
      <c r="Q836" s="476"/>
      <c r="R836" s="1002"/>
      <c r="S836" s="1002"/>
      <c r="T836" s="476"/>
      <c r="U836" s="476"/>
      <c r="V836" s="1002"/>
      <c r="W836" s="476"/>
      <c r="X836" s="476"/>
      <c r="Y836" s="476"/>
      <c r="Z836" s="476"/>
      <c r="AA836" s="476"/>
    </row>
    <row r="837" spans="1:27" ht="15" customHeight="1">
      <c r="A837" s="476"/>
      <c r="B837" s="476"/>
      <c r="C837" s="1001"/>
      <c r="D837" s="1002"/>
      <c r="E837" s="476"/>
      <c r="F837" s="1002"/>
      <c r="G837" s="1003"/>
      <c r="H837" s="1002"/>
      <c r="I837" s="1002"/>
      <c r="J837" s="1002"/>
      <c r="K837" s="1002"/>
      <c r="L837" s="1002"/>
      <c r="M837" s="1002"/>
      <c r="N837" s="1002"/>
      <c r="O837" s="476"/>
      <c r="P837" s="1002"/>
      <c r="Q837" s="476"/>
      <c r="R837" s="1002"/>
      <c r="S837" s="1002"/>
      <c r="T837" s="476"/>
      <c r="U837" s="476"/>
      <c r="V837" s="1002"/>
      <c r="W837" s="476"/>
      <c r="X837" s="476"/>
      <c r="Y837" s="476"/>
      <c r="Z837" s="476"/>
      <c r="AA837" s="476"/>
    </row>
    <row r="838" spans="1:27" ht="15" customHeight="1">
      <c r="A838" s="476"/>
      <c r="B838" s="476"/>
      <c r="C838" s="1001"/>
      <c r="D838" s="1002"/>
      <c r="E838" s="476"/>
      <c r="F838" s="1002"/>
      <c r="G838" s="1003"/>
      <c r="H838" s="1002"/>
      <c r="I838" s="1002"/>
      <c r="J838" s="1002"/>
      <c r="K838" s="1002"/>
      <c r="L838" s="1002"/>
      <c r="M838" s="1002"/>
      <c r="N838" s="1002"/>
      <c r="O838" s="476"/>
      <c r="P838" s="1002"/>
      <c r="Q838" s="476"/>
      <c r="R838" s="1002"/>
      <c r="S838" s="1002"/>
      <c r="T838" s="476"/>
      <c r="U838" s="476"/>
      <c r="V838" s="1002"/>
      <c r="W838" s="476"/>
      <c r="X838" s="476"/>
      <c r="Y838" s="476"/>
      <c r="Z838" s="476"/>
      <c r="AA838" s="476"/>
    </row>
    <row r="839" spans="1:27" ht="15" customHeight="1">
      <c r="A839" s="476"/>
      <c r="B839" s="476"/>
      <c r="C839" s="1001"/>
      <c r="D839" s="1002"/>
      <c r="E839" s="476"/>
      <c r="F839" s="1002"/>
      <c r="G839" s="1003"/>
      <c r="H839" s="1002"/>
      <c r="I839" s="1002"/>
      <c r="J839" s="1002"/>
      <c r="K839" s="1002"/>
      <c r="L839" s="1002"/>
      <c r="M839" s="1002"/>
      <c r="N839" s="1002"/>
      <c r="O839" s="476"/>
      <c r="P839" s="1002"/>
      <c r="Q839" s="476"/>
      <c r="R839" s="1002"/>
      <c r="S839" s="1002"/>
      <c r="T839" s="476"/>
      <c r="U839" s="476"/>
      <c r="V839" s="1002"/>
      <c r="W839" s="476"/>
      <c r="X839" s="476"/>
      <c r="Y839" s="476"/>
      <c r="Z839" s="476"/>
      <c r="AA839" s="476"/>
    </row>
    <row r="840" spans="1:27" ht="15" customHeight="1">
      <c r="A840" s="476"/>
      <c r="B840" s="476"/>
      <c r="C840" s="1001"/>
      <c r="D840" s="1002"/>
      <c r="E840" s="476"/>
      <c r="F840" s="1002"/>
      <c r="G840" s="1003"/>
      <c r="H840" s="1002"/>
      <c r="I840" s="1002"/>
      <c r="J840" s="1002"/>
      <c r="K840" s="1002"/>
      <c r="L840" s="1002"/>
      <c r="M840" s="1002"/>
      <c r="N840" s="1002"/>
      <c r="O840" s="476"/>
      <c r="P840" s="1002"/>
      <c r="Q840" s="476"/>
      <c r="R840" s="1002"/>
      <c r="S840" s="1002"/>
      <c r="T840" s="476"/>
      <c r="U840" s="476"/>
      <c r="V840" s="1002"/>
      <c r="W840" s="476"/>
      <c r="X840" s="476"/>
      <c r="Y840" s="476"/>
      <c r="Z840" s="476"/>
      <c r="AA840" s="476"/>
    </row>
    <row r="841" spans="1:27" ht="15" customHeight="1">
      <c r="A841" s="476"/>
      <c r="B841" s="476"/>
      <c r="C841" s="1001"/>
      <c r="D841" s="1002"/>
      <c r="E841" s="476"/>
      <c r="F841" s="1002"/>
      <c r="G841" s="1003"/>
      <c r="H841" s="1002"/>
      <c r="I841" s="1002"/>
      <c r="J841" s="1002"/>
      <c r="K841" s="1002"/>
      <c r="L841" s="1002"/>
      <c r="M841" s="1002"/>
      <c r="N841" s="1002"/>
      <c r="O841" s="476"/>
      <c r="P841" s="1002"/>
      <c r="Q841" s="476"/>
      <c r="R841" s="1002"/>
      <c r="S841" s="1002"/>
      <c r="T841" s="476"/>
      <c r="U841" s="476"/>
      <c r="V841" s="1002"/>
      <c r="W841" s="476"/>
      <c r="X841" s="476"/>
      <c r="Y841" s="476"/>
      <c r="Z841" s="476"/>
      <c r="AA841" s="476"/>
    </row>
    <row r="842" spans="1:27" ht="15" customHeight="1">
      <c r="A842" s="476"/>
      <c r="B842" s="476"/>
      <c r="C842" s="1001"/>
      <c r="D842" s="1002"/>
      <c r="E842" s="476"/>
      <c r="F842" s="1002"/>
      <c r="G842" s="1003"/>
      <c r="H842" s="1002"/>
      <c r="I842" s="1002"/>
      <c r="J842" s="1002"/>
      <c r="K842" s="1002"/>
      <c r="L842" s="1002"/>
      <c r="M842" s="1002"/>
      <c r="N842" s="1002"/>
      <c r="O842" s="476"/>
      <c r="P842" s="1002"/>
      <c r="Q842" s="476"/>
      <c r="R842" s="1002"/>
      <c r="S842" s="1002"/>
      <c r="T842" s="476"/>
      <c r="U842" s="476"/>
      <c r="V842" s="1002"/>
      <c r="W842" s="476"/>
      <c r="X842" s="476"/>
      <c r="Y842" s="476"/>
      <c r="Z842" s="476"/>
      <c r="AA842" s="476"/>
    </row>
    <row r="843" spans="1:27" ht="15" customHeight="1">
      <c r="A843" s="476"/>
      <c r="B843" s="476"/>
      <c r="C843" s="1001"/>
      <c r="D843" s="1002"/>
      <c r="E843" s="476"/>
      <c r="F843" s="1002"/>
      <c r="G843" s="1003"/>
      <c r="H843" s="1002"/>
      <c r="I843" s="1002"/>
      <c r="J843" s="1002"/>
      <c r="K843" s="1002"/>
      <c r="L843" s="1002"/>
      <c r="M843" s="1002"/>
      <c r="N843" s="1002"/>
      <c r="O843" s="476"/>
      <c r="P843" s="1002"/>
      <c r="Q843" s="476"/>
      <c r="R843" s="1002"/>
      <c r="S843" s="1002"/>
      <c r="T843" s="476"/>
      <c r="U843" s="476"/>
      <c r="V843" s="1002"/>
      <c r="W843" s="476"/>
      <c r="X843" s="476"/>
      <c r="Y843" s="476"/>
      <c r="Z843" s="476"/>
      <c r="AA843" s="476"/>
    </row>
    <row r="844" spans="1:27" ht="15" customHeight="1">
      <c r="A844" s="476"/>
      <c r="B844" s="476"/>
      <c r="C844" s="1001"/>
      <c r="D844" s="1002"/>
      <c r="E844" s="476"/>
      <c r="F844" s="1002"/>
      <c r="G844" s="1003"/>
      <c r="H844" s="1002"/>
      <c r="I844" s="1002"/>
      <c r="J844" s="1002"/>
      <c r="K844" s="1002"/>
      <c r="L844" s="1002"/>
      <c r="M844" s="1002"/>
      <c r="N844" s="1002"/>
      <c r="O844" s="476"/>
      <c r="P844" s="1002"/>
      <c r="Q844" s="476"/>
      <c r="R844" s="1002"/>
      <c r="S844" s="1002"/>
      <c r="T844" s="476"/>
      <c r="U844" s="476"/>
      <c r="V844" s="1002"/>
      <c r="W844" s="476"/>
      <c r="X844" s="476"/>
      <c r="Y844" s="476"/>
      <c r="Z844" s="476"/>
      <c r="AA844" s="476"/>
    </row>
    <row r="845" spans="1:27" ht="15" customHeight="1">
      <c r="A845" s="476"/>
      <c r="B845" s="476"/>
      <c r="C845" s="1001"/>
      <c r="D845" s="1002"/>
      <c r="E845" s="476"/>
      <c r="F845" s="1002"/>
      <c r="G845" s="1003"/>
      <c r="H845" s="1002"/>
      <c r="I845" s="1002"/>
      <c r="J845" s="1002"/>
      <c r="K845" s="1002"/>
      <c r="L845" s="1002"/>
      <c r="M845" s="1002"/>
      <c r="N845" s="1002"/>
      <c r="O845" s="476"/>
      <c r="P845" s="1002"/>
      <c r="Q845" s="476"/>
      <c r="R845" s="1002"/>
      <c r="S845" s="1002"/>
      <c r="T845" s="476"/>
      <c r="U845" s="476"/>
      <c r="V845" s="1002"/>
      <c r="W845" s="476"/>
      <c r="X845" s="476"/>
      <c r="Y845" s="476"/>
      <c r="Z845" s="476"/>
      <c r="AA845" s="476"/>
    </row>
    <row r="846" spans="1:27" ht="15" customHeight="1">
      <c r="A846" s="476"/>
      <c r="B846" s="476"/>
      <c r="C846" s="1001"/>
      <c r="D846" s="1002"/>
      <c r="E846" s="476"/>
      <c r="F846" s="1002"/>
      <c r="G846" s="1003"/>
      <c r="H846" s="1002"/>
      <c r="I846" s="1002"/>
      <c r="J846" s="1002"/>
      <c r="K846" s="1002"/>
      <c r="L846" s="1002"/>
      <c r="M846" s="1002"/>
      <c r="N846" s="1002"/>
      <c r="O846" s="476"/>
      <c r="P846" s="1002"/>
      <c r="Q846" s="476"/>
      <c r="R846" s="1002"/>
      <c r="S846" s="1002"/>
      <c r="T846" s="476"/>
      <c r="U846" s="476"/>
      <c r="V846" s="1002"/>
      <c r="W846" s="476"/>
      <c r="X846" s="476"/>
      <c r="Y846" s="476"/>
      <c r="Z846" s="476"/>
      <c r="AA846" s="476"/>
    </row>
    <row r="847" spans="1:27" ht="15" customHeight="1">
      <c r="A847" s="476"/>
      <c r="B847" s="476"/>
      <c r="C847" s="1001"/>
      <c r="D847" s="1002"/>
      <c r="E847" s="476"/>
      <c r="F847" s="1002"/>
      <c r="G847" s="1003"/>
      <c r="H847" s="1002"/>
      <c r="I847" s="1002"/>
      <c r="J847" s="1002"/>
      <c r="K847" s="1002"/>
      <c r="L847" s="1002"/>
      <c r="M847" s="1002"/>
      <c r="N847" s="1002"/>
      <c r="O847" s="476"/>
      <c r="P847" s="1002"/>
      <c r="Q847" s="476"/>
      <c r="R847" s="1002"/>
      <c r="S847" s="1002"/>
      <c r="T847" s="476"/>
      <c r="U847" s="476"/>
      <c r="V847" s="1002"/>
      <c r="W847" s="476"/>
      <c r="X847" s="476"/>
      <c r="Y847" s="476"/>
      <c r="Z847" s="476"/>
      <c r="AA847" s="476"/>
    </row>
    <row r="848" spans="1:27" ht="15" customHeight="1">
      <c r="A848" s="476"/>
      <c r="B848" s="476"/>
      <c r="C848" s="1001"/>
      <c r="D848" s="1002"/>
      <c r="E848" s="476"/>
      <c r="F848" s="1002"/>
      <c r="G848" s="1003"/>
      <c r="H848" s="1002"/>
      <c r="I848" s="1002"/>
      <c r="J848" s="1002"/>
      <c r="K848" s="1002"/>
      <c r="L848" s="1002"/>
      <c r="M848" s="1002"/>
      <c r="N848" s="1002"/>
      <c r="O848" s="476"/>
      <c r="P848" s="1002"/>
      <c r="Q848" s="476"/>
      <c r="R848" s="1002"/>
      <c r="S848" s="1002"/>
      <c r="T848" s="476"/>
      <c r="U848" s="476"/>
      <c r="V848" s="1002"/>
      <c r="W848" s="476"/>
      <c r="X848" s="476"/>
      <c r="Y848" s="476"/>
      <c r="Z848" s="476"/>
      <c r="AA848" s="476"/>
    </row>
    <row r="849" spans="1:27" ht="15" customHeight="1">
      <c r="A849" s="476"/>
      <c r="B849" s="476"/>
      <c r="C849" s="1001"/>
      <c r="D849" s="1002"/>
      <c r="E849" s="476"/>
      <c r="F849" s="1002"/>
      <c r="G849" s="1003"/>
      <c r="H849" s="1002"/>
      <c r="I849" s="1002"/>
      <c r="J849" s="1002"/>
      <c r="K849" s="1002"/>
      <c r="L849" s="1002"/>
      <c r="M849" s="1002"/>
      <c r="N849" s="1002"/>
      <c r="O849" s="476"/>
      <c r="P849" s="1002"/>
      <c r="Q849" s="476"/>
      <c r="R849" s="1002"/>
      <c r="S849" s="1002"/>
      <c r="T849" s="476"/>
      <c r="U849" s="476"/>
      <c r="V849" s="1002"/>
      <c r="W849" s="476"/>
      <c r="X849" s="476"/>
      <c r="Y849" s="476"/>
      <c r="Z849" s="476"/>
      <c r="AA849" s="476"/>
    </row>
    <row r="850" spans="1:27" ht="15" customHeight="1">
      <c r="A850" s="476"/>
      <c r="B850" s="476"/>
      <c r="C850" s="1001"/>
      <c r="D850" s="1002"/>
      <c r="E850" s="476"/>
      <c r="F850" s="1002"/>
      <c r="G850" s="1003"/>
      <c r="H850" s="1002"/>
      <c r="I850" s="1002"/>
      <c r="J850" s="1002"/>
      <c r="K850" s="1002"/>
      <c r="L850" s="1002"/>
      <c r="M850" s="1002"/>
      <c r="N850" s="1002"/>
      <c r="O850" s="476"/>
      <c r="P850" s="1002"/>
      <c r="Q850" s="476"/>
      <c r="R850" s="1002"/>
      <c r="S850" s="1002"/>
      <c r="T850" s="476"/>
      <c r="U850" s="476"/>
      <c r="V850" s="1002"/>
      <c r="W850" s="476"/>
      <c r="X850" s="476"/>
      <c r="Y850" s="476"/>
      <c r="Z850" s="476"/>
      <c r="AA850" s="476"/>
    </row>
    <row r="851" spans="1:27" ht="15" customHeight="1">
      <c r="A851" s="476"/>
      <c r="B851" s="476"/>
      <c r="C851" s="1001"/>
      <c r="D851" s="1002"/>
      <c r="E851" s="476"/>
      <c r="F851" s="1002"/>
      <c r="G851" s="1003"/>
      <c r="H851" s="1002"/>
      <c r="I851" s="1002"/>
      <c r="J851" s="1002"/>
      <c r="K851" s="1002"/>
      <c r="L851" s="1002"/>
      <c r="M851" s="1002"/>
      <c r="N851" s="1002"/>
      <c r="O851" s="476"/>
      <c r="P851" s="1002"/>
      <c r="Q851" s="476"/>
      <c r="R851" s="1002"/>
      <c r="S851" s="1002"/>
      <c r="T851" s="476"/>
      <c r="U851" s="476"/>
      <c r="V851" s="1002"/>
      <c r="W851" s="476"/>
      <c r="X851" s="476"/>
      <c r="Y851" s="476"/>
      <c r="Z851" s="476"/>
      <c r="AA851" s="476"/>
    </row>
    <row r="852" spans="1:27" ht="15" customHeight="1">
      <c r="A852" s="476"/>
      <c r="B852" s="476"/>
      <c r="C852" s="1001"/>
      <c r="D852" s="1002"/>
      <c r="E852" s="476"/>
      <c r="F852" s="1002"/>
      <c r="G852" s="1003"/>
      <c r="H852" s="1002"/>
      <c r="I852" s="1002"/>
      <c r="J852" s="1002"/>
      <c r="K852" s="1002"/>
      <c r="L852" s="1002"/>
      <c r="M852" s="1002"/>
      <c r="N852" s="1002"/>
      <c r="O852" s="476"/>
      <c r="P852" s="1002"/>
      <c r="Q852" s="476"/>
      <c r="R852" s="1002"/>
      <c r="S852" s="1002"/>
      <c r="T852" s="476"/>
      <c r="U852" s="476"/>
      <c r="V852" s="1002"/>
      <c r="W852" s="476"/>
      <c r="X852" s="476"/>
      <c r="Y852" s="476"/>
      <c r="Z852" s="476"/>
      <c r="AA852" s="476"/>
    </row>
    <row r="853" spans="1:27" ht="15" customHeight="1">
      <c r="A853" s="476"/>
      <c r="B853" s="476"/>
      <c r="C853" s="1001"/>
      <c r="D853" s="1002"/>
      <c r="E853" s="476"/>
      <c r="F853" s="1002"/>
      <c r="G853" s="1003"/>
      <c r="H853" s="1002"/>
      <c r="I853" s="1002"/>
      <c r="J853" s="1002"/>
      <c r="K853" s="1002"/>
      <c r="L853" s="1002"/>
      <c r="M853" s="1002"/>
      <c r="N853" s="1002"/>
      <c r="O853" s="476"/>
      <c r="P853" s="1002"/>
      <c r="Q853" s="476"/>
      <c r="R853" s="1002"/>
      <c r="S853" s="1002"/>
      <c r="T853" s="476"/>
      <c r="U853" s="476"/>
      <c r="V853" s="1002"/>
      <c r="W853" s="476"/>
      <c r="X853" s="476"/>
      <c r="Y853" s="476"/>
      <c r="Z853" s="476"/>
      <c r="AA853" s="476"/>
    </row>
    <row r="854" spans="1:27" ht="15" customHeight="1">
      <c r="A854" s="476"/>
      <c r="B854" s="476"/>
      <c r="C854" s="1001"/>
      <c r="D854" s="1002"/>
      <c r="E854" s="476"/>
      <c r="F854" s="1002"/>
      <c r="G854" s="1003"/>
      <c r="H854" s="1002"/>
      <c r="I854" s="1002"/>
      <c r="J854" s="1002"/>
      <c r="K854" s="1002"/>
      <c r="L854" s="1002"/>
      <c r="M854" s="1002"/>
      <c r="N854" s="1002"/>
      <c r="O854" s="476"/>
      <c r="P854" s="1002"/>
      <c r="Q854" s="476"/>
      <c r="R854" s="1002"/>
      <c r="S854" s="1002"/>
      <c r="T854" s="476"/>
      <c r="U854" s="476"/>
      <c r="V854" s="1002"/>
      <c r="W854" s="476"/>
      <c r="X854" s="476"/>
      <c r="Y854" s="476"/>
      <c r="Z854" s="476"/>
      <c r="AA854" s="476"/>
    </row>
    <row r="855" spans="1:27" ht="15" customHeight="1">
      <c r="A855" s="476"/>
      <c r="B855" s="476"/>
      <c r="C855" s="1001"/>
      <c r="D855" s="1002"/>
      <c r="E855" s="476"/>
      <c r="F855" s="1002"/>
      <c r="G855" s="1003"/>
      <c r="H855" s="1002"/>
      <c r="I855" s="1002"/>
      <c r="J855" s="1002"/>
      <c r="K855" s="1002"/>
      <c r="L855" s="1002"/>
      <c r="M855" s="1002"/>
      <c r="N855" s="1002"/>
      <c r="O855" s="476"/>
      <c r="P855" s="1002"/>
      <c r="Q855" s="476"/>
      <c r="R855" s="1002"/>
      <c r="S855" s="1002"/>
      <c r="T855" s="476"/>
      <c r="U855" s="476"/>
      <c r="V855" s="1002"/>
      <c r="W855" s="476"/>
      <c r="X855" s="476"/>
      <c r="Y855" s="476"/>
      <c r="Z855" s="476"/>
      <c r="AA855" s="476"/>
    </row>
    <row r="856" spans="1:27" ht="15" customHeight="1">
      <c r="A856" s="476"/>
      <c r="B856" s="476"/>
      <c r="C856" s="1001"/>
      <c r="D856" s="1002"/>
      <c r="E856" s="476"/>
      <c r="F856" s="1002"/>
      <c r="G856" s="1003"/>
      <c r="H856" s="1002"/>
      <c r="I856" s="1002"/>
      <c r="J856" s="1002"/>
      <c r="K856" s="1002"/>
      <c r="L856" s="1002"/>
      <c r="M856" s="1002"/>
      <c r="N856" s="1002"/>
      <c r="O856" s="476"/>
      <c r="P856" s="1002"/>
      <c r="Q856" s="476"/>
      <c r="R856" s="1002"/>
      <c r="S856" s="1002"/>
      <c r="T856" s="476"/>
      <c r="U856" s="476"/>
      <c r="V856" s="1002"/>
      <c r="W856" s="476"/>
      <c r="X856" s="476"/>
      <c r="Y856" s="476"/>
      <c r="Z856" s="476"/>
      <c r="AA856" s="476"/>
    </row>
    <row r="857" spans="1:27" ht="15" customHeight="1">
      <c r="A857" s="476"/>
      <c r="B857" s="476"/>
      <c r="C857" s="1001"/>
      <c r="D857" s="1002"/>
      <c r="E857" s="476"/>
      <c r="F857" s="1002"/>
      <c r="G857" s="1003"/>
      <c r="H857" s="1002"/>
      <c r="I857" s="1002"/>
      <c r="J857" s="1002"/>
      <c r="K857" s="1002"/>
      <c r="L857" s="1002"/>
      <c r="M857" s="1002"/>
      <c r="N857" s="1002"/>
      <c r="O857" s="476"/>
      <c r="P857" s="1002"/>
      <c r="Q857" s="476"/>
      <c r="R857" s="1002"/>
      <c r="S857" s="1002"/>
      <c r="T857" s="476"/>
      <c r="U857" s="476"/>
      <c r="V857" s="1002"/>
      <c r="W857" s="476"/>
      <c r="X857" s="476"/>
      <c r="Y857" s="476"/>
      <c r="Z857" s="476"/>
      <c r="AA857" s="476"/>
    </row>
    <row r="858" spans="1:27" ht="15" customHeight="1">
      <c r="A858" s="476"/>
      <c r="B858" s="476"/>
      <c r="C858" s="1001"/>
      <c r="D858" s="1002"/>
      <c r="E858" s="476"/>
      <c r="F858" s="1002"/>
      <c r="G858" s="1003"/>
      <c r="H858" s="1002"/>
      <c r="I858" s="1002"/>
      <c r="J858" s="1002"/>
      <c r="K858" s="1002"/>
      <c r="L858" s="1002"/>
      <c r="M858" s="1002"/>
      <c r="N858" s="1002"/>
      <c r="O858" s="476"/>
      <c r="P858" s="1002"/>
      <c r="Q858" s="476"/>
      <c r="R858" s="1002"/>
      <c r="S858" s="1002"/>
      <c r="T858" s="476"/>
      <c r="U858" s="476"/>
      <c r="V858" s="1002"/>
      <c r="W858" s="476"/>
      <c r="X858" s="476"/>
      <c r="Y858" s="476"/>
      <c r="Z858" s="476"/>
      <c r="AA858" s="476"/>
    </row>
    <row r="859" spans="1:27" ht="15" customHeight="1">
      <c r="A859" s="476"/>
      <c r="B859" s="476"/>
      <c r="C859" s="1001"/>
      <c r="D859" s="1002"/>
      <c r="E859" s="476"/>
      <c r="F859" s="1002"/>
      <c r="G859" s="1003"/>
      <c r="H859" s="1002"/>
      <c r="I859" s="1002"/>
      <c r="J859" s="1002"/>
      <c r="K859" s="1002"/>
      <c r="L859" s="1002"/>
      <c r="M859" s="1002"/>
      <c r="N859" s="1002"/>
      <c r="O859" s="476"/>
      <c r="P859" s="1002"/>
      <c r="Q859" s="476"/>
      <c r="R859" s="1002"/>
      <c r="S859" s="1002"/>
      <c r="T859" s="476"/>
      <c r="U859" s="476"/>
      <c r="V859" s="1002"/>
      <c r="W859" s="476"/>
      <c r="X859" s="476"/>
      <c r="Y859" s="476"/>
      <c r="Z859" s="476"/>
      <c r="AA859" s="476"/>
    </row>
    <row r="860" spans="1:27" ht="15" customHeight="1">
      <c r="A860" s="476"/>
      <c r="B860" s="476"/>
      <c r="C860" s="1001"/>
      <c r="D860" s="1002"/>
      <c r="E860" s="476"/>
      <c r="F860" s="1002"/>
      <c r="G860" s="1003"/>
      <c r="H860" s="1002"/>
      <c r="I860" s="1002"/>
      <c r="J860" s="1002"/>
      <c r="K860" s="1002"/>
      <c r="L860" s="1002"/>
      <c r="M860" s="1002"/>
      <c r="N860" s="1002"/>
      <c r="O860" s="476"/>
      <c r="P860" s="1002"/>
      <c r="Q860" s="476"/>
      <c r="R860" s="1002"/>
      <c r="S860" s="1002"/>
      <c r="T860" s="476"/>
      <c r="U860" s="476"/>
      <c r="V860" s="1002"/>
      <c r="W860" s="476"/>
      <c r="X860" s="476"/>
      <c r="Y860" s="476"/>
      <c r="Z860" s="476"/>
      <c r="AA860" s="476"/>
    </row>
    <row r="861" spans="1:27" ht="15" customHeight="1">
      <c r="A861" s="476"/>
      <c r="B861" s="476"/>
      <c r="C861" s="1001"/>
      <c r="D861" s="1002"/>
      <c r="E861" s="476"/>
      <c r="F861" s="1002"/>
      <c r="G861" s="1003"/>
      <c r="H861" s="1002"/>
      <c r="I861" s="1002"/>
      <c r="J861" s="1002"/>
      <c r="K861" s="1002"/>
      <c r="L861" s="1002"/>
      <c r="M861" s="1002"/>
      <c r="N861" s="1002"/>
      <c r="O861" s="476"/>
      <c r="P861" s="1002"/>
      <c r="Q861" s="476"/>
      <c r="R861" s="1002"/>
      <c r="S861" s="1002"/>
      <c r="T861" s="476"/>
      <c r="U861" s="476"/>
      <c r="V861" s="1002"/>
      <c r="W861" s="476"/>
      <c r="X861" s="476"/>
      <c r="Y861" s="476"/>
      <c r="Z861" s="476"/>
      <c r="AA861" s="476"/>
    </row>
    <row r="862" spans="1:27" ht="15" customHeight="1">
      <c r="A862" s="476"/>
      <c r="B862" s="476"/>
      <c r="C862" s="1001"/>
      <c r="D862" s="1002"/>
      <c r="E862" s="476"/>
      <c r="F862" s="1002"/>
      <c r="G862" s="1003"/>
      <c r="H862" s="1002"/>
      <c r="I862" s="1002"/>
      <c r="J862" s="1002"/>
      <c r="K862" s="1002"/>
      <c r="L862" s="1002"/>
      <c r="M862" s="1002"/>
      <c r="N862" s="1002"/>
      <c r="O862" s="476"/>
      <c r="P862" s="1002"/>
      <c r="Q862" s="476"/>
      <c r="R862" s="1002"/>
      <c r="S862" s="1002"/>
      <c r="T862" s="476"/>
      <c r="U862" s="476"/>
      <c r="V862" s="1002"/>
      <c r="W862" s="476"/>
      <c r="X862" s="476"/>
      <c r="Y862" s="476"/>
      <c r="Z862" s="476"/>
      <c r="AA862" s="476"/>
    </row>
    <row r="863" spans="1:27" ht="15" customHeight="1">
      <c r="A863" s="476"/>
      <c r="B863" s="476"/>
      <c r="C863" s="1001"/>
      <c r="D863" s="1002"/>
      <c r="E863" s="476"/>
      <c r="F863" s="1002"/>
      <c r="G863" s="1003"/>
      <c r="H863" s="1002"/>
      <c r="I863" s="1002"/>
      <c r="J863" s="1002"/>
      <c r="K863" s="1002"/>
      <c r="L863" s="1002"/>
      <c r="M863" s="1002"/>
      <c r="N863" s="1002"/>
      <c r="O863" s="476"/>
      <c r="P863" s="1002"/>
      <c r="Q863" s="476"/>
      <c r="R863" s="1002"/>
      <c r="S863" s="1002"/>
      <c r="T863" s="476"/>
      <c r="U863" s="476"/>
      <c r="V863" s="1002"/>
      <c r="W863" s="476"/>
      <c r="X863" s="476"/>
      <c r="Y863" s="476"/>
      <c r="Z863" s="476"/>
      <c r="AA863" s="476"/>
    </row>
    <row r="864" spans="1:27" ht="15" customHeight="1">
      <c r="A864" s="476"/>
      <c r="B864" s="476"/>
      <c r="C864" s="1001"/>
      <c r="D864" s="1002"/>
      <c r="E864" s="476"/>
      <c r="F864" s="1002"/>
      <c r="G864" s="1003"/>
      <c r="H864" s="1002"/>
      <c r="I864" s="1002"/>
      <c r="J864" s="1002"/>
      <c r="K864" s="1002"/>
      <c r="L864" s="1002"/>
      <c r="M864" s="1002"/>
      <c r="N864" s="1002"/>
      <c r="O864" s="476"/>
      <c r="P864" s="1002"/>
      <c r="Q864" s="476"/>
      <c r="R864" s="1002"/>
      <c r="S864" s="1002"/>
      <c r="T864" s="476"/>
      <c r="U864" s="476"/>
      <c r="V864" s="1002"/>
      <c r="W864" s="476"/>
      <c r="X864" s="476"/>
      <c r="Y864" s="476"/>
      <c r="Z864" s="476"/>
      <c r="AA864" s="476"/>
    </row>
    <row r="865" spans="1:27" ht="15" customHeight="1">
      <c r="A865" s="476"/>
      <c r="B865" s="476"/>
      <c r="C865" s="1001"/>
      <c r="D865" s="1002"/>
      <c r="E865" s="476"/>
      <c r="F865" s="1002"/>
      <c r="G865" s="1003"/>
      <c r="H865" s="1002"/>
      <c r="I865" s="1002"/>
      <c r="J865" s="1002"/>
      <c r="K865" s="1002"/>
      <c r="L865" s="1002"/>
      <c r="M865" s="1002"/>
      <c r="N865" s="1002"/>
      <c r="O865" s="476"/>
      <c r="P865" s="1002"/>
      <c r="Q865" s="476"/>
      <c r="R865" s="1002"/>
      <c r="S865" s="1002"/>
      <c r="T865" s="476"/>
      <c r="U865" s="476"/>
      <c r="V865" s="1002"/>
      <c r="W865" s="476"/>
      <c r="X865" s="476"/>
      <c r="Y865" s="476"/>
      <c r="Z865" s="476"/>
      <c r="AA865" s="476"/>
    </row>
    <row r="866" spans="1:27" ht="15" customHeight="1">
      <c r="A866" s="476"/>
      <c r="B866" s="476"/>
      <c r="C866" s="1001"/>
      <c r="D866" s="1002"/>
      <c r="E866" s="476"/>
      <c r="F866" s="1002"/>
      <c r="G866" s="1003"/>
      <c r="H866" s="1002"/>
      <c r="I866" s="1002"/>
      <c r="J866" s="1002"/>
      <c r="K866" s="1002"/>
      <c r="L866" s="1002"/>
      <c r="M866" s="1002"/>
      <c r="N866" s="1002"/>
      <c r="O866" s="476"/>
      <c r="P866" s="1002"/>
      <c r="Q866" s="476"/>
      <c r="R866" s="1002"/>
      <c r="S866" s="1002"/>
      <c r="T866" s="476"/>
      <c r="U866" s="476"/>
      <c r="V866" s="1002"/>
      <c r="W866" s="476"/>
      <c r="X866" s="476"/>
      <c r="Y866" s="476"/>
      <c r="Z866" s="476"/>
      <c r="AA866" s="476"/>
    </row>
    <row r="867" spans="1:27" ht="15" customHeight="1">
      <c r="A867" s="476"/>
      <c r="B867" s="476"/>
      <c r="C867" s="1001"/>
      <c r="D867" s="1002"/>
      <c r="E867" s="476"/>
      <c r="F867" s="1002"/>
      <c r="G867" s="1003"/>
      <c r="H867" s="1002"/>
      <c r="I867" s="1002"/>
      <c r="J867" s="1002"/>
      <c r="K867" s="1002"/>
      <c r="L867" s="1002"/>
      <c r="M867" s="1002"/>
      <c r="N867" s="1002"/>
      <c r="O867" s="476"/>
      <c r="P867" s="1002"/>
      <c r="Q867" s="476"/>
      <c r="R867" s="1002"/>
      <c r="S867" s="1002"/>
      <c r="T867" s="476"/>
      <c r="U867" s="476"/>
      <c r="V867" s="1002"/>
      <c r="W867" s="476"/>
      <c r="X867" s="476"/>
      <c r="Y867" s="476"/>
      <c r="Z867" s="476"/>
      <c r="AA867" s="476"/>
    </row>
    <row r="868" spans="1:27" ht="15" customHeight="1">
      <c r="A868" s="476"/>
      <c r="B868" s="476"/>
      <c r="C868" s="1001"/>
      <c r="D868" s="1002"/>
      <c r="E868" s="476"/>
      <c r="F868" s="1002"/>
      <c r="G868" s="1003"/>
      <c r="H868" s="1002"/>
      <c r="I868" s="1002"/>
      <c r="J868" s="1002"/>
      <c r="K868" s="1002"/>
      <c r="L868" s="1002"/>
      <c r="M868" s="1002"/>
      <c r="N868" s="1002"/>
      <c r="O868" s="476"/>
      <c r="P868" s="1002"/>
      <c r="Q868" s="476"/>
      <c r="R868" s="1002"/>
      <c r="S868" s="1002"/>
      <c r="T868" s="476"/>
      <c r="U868" s="476"/>
      <c r="V868" s="1002"/>
      <c r="W868" s="476"/>
      <c r="X868" s="476"/>
      <c r="Y868" s="476"/>
      <c r="Z868" s="476"/>
      <c r="AA868" s="476"/>
    </row>
    <row r="869" spans="1:27" ht="15" customHeight="1">
      <c r="A869" s="476"/>
      <c r="B869" s="476"/>
      <c r="C869" s="1001"/>
      <c r="D869" s="1002"/>
      <c r="E869" s="476"/>
      <c r="F869" s="1002"/>
      <c r="G869" s="1003"/>
      <c r="H869" s="1002"/>
      <c r="I869" s="1002"/>
      <c r="J869" s="1002"/>
      <c r="K869" s="1002"/>
      <c r="L869" s="1002"/>
      <c r="M869" s="1002"/>
      <c r="N869" s="1002"/>
      <c r="O869" s="476"/>
      <c r="P869" s="1002"/>
      <c r="Q869" s="476"/>
      <c r="R869" s="1002"/>
      <c r="S869" s="1002"/>
      <c r="T869" s="476"/>
      <c r="U869" s="476"/>
      <c r="V869" s="1002"/>
      <c r="W869" s="476"/>
      <c r="X869" s="476"/>
      <c r="Y869" s="476"/>
      <c r="Z869" s="476"/>
      <c r="AA869" s="476"/>
    </row>
    <row r="870" spans="1:27" ht="15" customHeight="1">
      <c r="A870" s="476"/>
      <c r="B870" s="476"/>
      <c r="C870" s="1001"/>
      <c r="D870" s="1002"/>
      <c r="E870" s="476"/>
      <c r="F870" s="1002"/>
      <c r="G870" s="1003"/>
      <c r="H870" s="1002"/>
      <c r="I870" s="1002"/>
      <c r="J870" s="1002"/>
      <c r="K870" s="1002"/>
      <c r="L870" s="1002"/>
      <c r="M870" s="1002"/>
      <c r="N870" s="1002"/>
      <c r="O870" s="476"/>
      <c r="P870" s="1002"/>
      <c r="Q870" s="476"/>
      <c r="R870" s="1002"/>
      <c r="S870" s="1002"/>
      <c r="T870" s="476"/>
      <c r="U870" s="476"/>
      <c r="V870" s="1002"/>
      <c r="W870" s="476"/>
      <c r="X870" s="476"/>
      <c r="Y870" s="476"/>
      <c r="Z870" s="476"/>
      <c r="AA870" s="476"/>
    </row>
    <row r="871" spans="1:27" ht="15" customHeight="1">
      <c r="A871" s="476"/>
      <c r="B871" s="476"/>
      <c r="C871" s="1001"/>
      <c r="D871" s="1002"/>
      <c r="E871" s="476"/>
      <c r="F871" s="1002"/>
      <c r="G871" s="1003"/>
      <c r="H871" s="1002"/>
      <c r="I871" s="1002"/>
      <c r="J871" s="1002"/>
      <c r="K871" s="1002"/>
      <c r="L871" s="1002"/>
      <c r="M871" s="1002"/>
      <c r="N871" s="1002"/>
      <c r="O871" s="476"/>
      <c r="P871" s="1002"/>
      <c r="Q871" s="476"/>
      <c r="R871" s="1002"/>
      <c r="S871" s="1002"/>
      <c r="T871" s="476"/>
      <c r="U871" s="476"/>
      <c r="V871" s="1002"/>
      <c r="W871" s="476"/>
      <c r="X871" s="476"/>
      <c r="Y871" s="476"/>
      <c r="Z871" s="476"/>
      <c r="AA871" s="476"/>
    </row>
    <row r="872" spans="1:27" ht="15" customHeight="1">
      <c r="A872" s="476"/>
      <c r="B872" s="476"/>
      <c r="C872" s="1001"/>
      <c r="D872" s="1002"/>
      <c r="E872" s="476"/>
      <c r="F872" s="1002"/>
      <c r="G872" s="1003"/>
      <c r="H872" s="1002"/>
      <c r="I872" s="1002"/>
      <c r="J872" s="1002"/>
      <c r="K872" s="1002"/>
      <c r="L872" s="1002"/>
      <c r="M872" s="1002"/>
      <c r="N872" s="1002"/>
      <c r="O872" s="476"/>
      <c r="P872" s="1002"/>
      <c r="Q872" s="476"/>
      <c r="R872" s="1002"/>
      <c r="S872" s="1002"/>
      <c r="T872" s="476"/>
      <c r="U872" s="476"/>
      <c r="V872" s="1002"/>
      <c r="W872" s="476"/>
      <c r="X872" s="476"/>
      <c r="Y872" s="476"/>
      <c r="Z872" s="476"/>
      <c r="AA872" s="476"/>
    </row>
    <row r="873" spans="1:27" ht="15" customHeight="1">
      <c r="A873" s="476"/>
      <c r="B873" s="476"/>
      <c r="C873" s="1001"/>
      <c r="D873" s="1002"/>
      <c r="E873" s="476"/>
      <c r="F873" s="1002"/>
      <c r="G873" s="1003"/>
      <c r="H873" s="1002"/>
      <c r="I873" s="1002"/>
      <c r="J873" s="1002"/>
      <c r="K873" s="1002"/>
      <c r="L873" s="1002"/>
      <c r="M873" s="1002"/>
      <c r="N873" s="1002"/>
      <c r="O873" s="476"/>
      <c r="P873" s="1002"/>
      <c r="Q873" s="476"/>
      <c r="R873" s="1002"/>
      <c r="S873" s="1002"/>
      <c r="T873" s="476"/>
      <c r="U873" s="476"/>
      <c r="V873" s="1002"/>
      <c r="W873" s="476"/>
      <c r="X873" s="476"/>
      <c r="Y873" s="476"/>
      <c r="Z873" s="476"/>
      <c r="AA873" s="476"/>
    </row>
    <row r="874" spans="1:27" ht="15" customHeight="1">
      <c r="A874" s="476"/>
      <c r="B874" s="476"/>
      <c r="C874" s="1001"/>
      <c r="D874" s="1002"/>
      <c r="E874" s="476"/>
      <c r="F874" s="1002"/>
      <c r="G874" s="1003"/>
      <c r="H874" s="1002"/>
      <c r="I874" s="1002"/>
      <c r="J874" s="1002"/>
      <c r="K874" s="1002"/>
      <c r="L874" s="1002"/>
      <c r="M874" s="1002"/>
      <c r="N874" s="1002"/>
      <c r="O874" s="476"/>
      <c r="P874" s="1002"/>
      <c r="Q874" s="476"/>
      <c r="R874" s="1002"/>
      <c r="S874" s="1002"/>
      <c r="T874" s="476"/>
      <c r="U874" s="476"/>
      <c r="V874" s="1002"/>
      <c r="W874" s="476"/>
      <c r="X874" s="476"/>
      <c r="Y874" s="476"/>
      <c r="Z874" s="476"/>
      <c r="AA874" s="476"/>
    </row>
    <row r="875" spans="1:27" ht="15" customHeight="1">
      <c r="A875" s="476"/>
      <c r="B875" s="476"/>
      <c r="C875" s="1001"/>
      <c r="D875" s="1002"/>
      <c r="E875" s="476"/>
      <c r="F875" s="1002"/>
      <c r="G875" s="1003"/>
      <c r="H875" s="1002"/>
      <c r="I875" s="1002"/>
      <c r="J875" s="1002"/>
      <c r="K875" s="1002"/>
      <c r="L875" s="1002"/>
      <c r="M875" s="1002"/>
      <c r="N875" s="1002"/>
      <c r="O875" s="476"/>
      <c r="P875" s="1002"/>
      <c r="Q875" s="476"/>
      <c r="R875" s="1002"/>
      <c r="S875" s="1002"/>
      <c r="T875" s="476"/>
      <c r="U875" s="476"/>
      <c r="V875" s="1002"/>
      <c r="W875" s="476"/>
      <c r="X875" s="476"/>
      <c r="Y875" s="476"/>
      <c r="Z875" s="476"/>
      <c r="AA875" s="476"/>
    </row>
    <row r="876" spans="1:27" ht="15" customHeight="1">
      <c r="A876" s="476"/>
      <c r="B876" s="476"/>
      <c r="C876" s="1001"/>
      <c r="D876" s="1002"/>
      <c r="E876" s="476"/>
      <c r="F876" s="1002"/>
      <c r="G876" s="1003"/>
      <c r="H876" s="1002"/>
      <c r="I876" s="1002"/>
      <c r="J876" s="1002"/>
      <c r="K876" s="1002"/>
      <c r="L876" s="1002"/>
      <c r="M876" s="1002"/>
      <c r="N876" s="1002"/>
      <c r="O876" s="476"/>
      <c r="P876" s="1002"/>
      <c r="Q876" s="476"/>
      <c r="R876" s="1002"/>
      <c r="S876" s="1002"/>
      <c r="T876" s="476"/>
      <c r="U876" s="476"/>
      <c r="V876" s="1002"/>
      <c r="W876" s="476"/>
      <c r="X876" s="476"/>
      <c r="Y876" s="476"/>
      <c r="Z876" s="476"/>
      <c r="AA876" s="476"/>
    </row>
    <row r="877" spans="1:27" ht="15" customHeight="1">
      <c r="A877" s="476"/>
      <c r="B877" s="476"/>
      <c r="C877" s="1001"/>
      <c r="D877" s="1002"/>
      <c r="E877" s="476"/>
      <c r="F877" s="1002"/>
      <c r="G877" s="1003"/>
      <c r="H877" s="1002"/>
      <c r="I877" s="1002"/>
      <c r="J877" s="1002"/>
      <c r="K877" s="1002"/>
      <c r="L877" s="1002"/>
      <c r="M877" s="1002"/>
      <c r="N877" s="1002"/>
      <c r="O877" s="476"/>
      <c r="P877" s="1002"/>
      <c r="Q877" s="476"/>
      <c r="R877" s="1002"/>
      <c r="S877" s="1002"/>
      <c r="T877" s="476"/>
      <c r="U877" s="476"/>
      <c r="V877" s="1002"/>
      <c r="W877" s="476"/>
      <c r="X877" s="476"/>
      <c r="Y877" s="476"/>
      <c r="Z877" s="476"/>
      <c r="AA877" s="476"/>
    </row>
    <row r="878" spans="1:27" ht="15" customHeight="1">
      <c r="A878" s="476"/>
      <c r="B878" s="476"/>
      <c r="C878" s="1001"/>
      <c r="D878" s="1002"/>
      <c r="E878" s="476"/>
      <c r="F878" s="1002"/>
      <c r="G878" s="1003"/>
      <c r="H878" s="1002"/>
      <c r="I878" s="1002"/>
      <c r="J878" s="1002"/>
      <c r="K878" s="1002"/>
      <c r="L878" s="1002"/>
      <c r="M878" s="1002"/>
      <c r="N878" s="1002"/>
      <c r="O878" s="476"/>
      <c r="P878" s="1002"/>
      <c r="Q878" s="476"/>
      <c r="R878" s="1002"/>
      <c r="S878" s="1002"/>
      <c r="T878" s="476"/>
      <c r="U878" s="476"/>
      <c r="V878" s="1002"/>
      <c r="W878" s="476"/>
      <c r="X878" s="476"/>
      <c r="Y878" s="476"/>
      <c r="Z878" s="476"/>
      <c r="AA878" s="476"/>
    </row>
    <row r="879" spans="1:27" ht="15" customHeight="1">
      <c r="A879" s="476"/>
      <c r="B879" s="476"/>
      <c r="C879" s="1001"/>
      <c r="D879" s="1002"/>
      <c r="E879" s="476"/>
      <c r="F879" s="1002"/>
      <c r="G879" s="1003"/>
      <c r="H879" s="1002"/>
      <c r="I879" s="1002"/>
      <c r="J879" s="1002"/>
      <c r="K879" s="1002"/>
      <c r="L879" s="1002"/>
      <c r="M879" s="1002"/>
      <c r="N879" s="1002"/>
      <c r="O879" s="476"/>
      <c r="P879" s="1002"/>
      <c r="Q879" s="476"/>
      <c r="R879" s="1002"/>
      <c r="S879" s="1002"/>
      <c r="T879" s="476"/>
      <c r="U879" s="476"/>
      <c r="V879" s="1002"/>
      <c r="W879" s="476"/>
      <c r="X879" s="476"/>
      <c r="Y879" s="476"/>
      <c r="Z879" s="476"/>
      <c r="AA879" s="476"/>
    </row>
    <row r="880" spans="1:27" ht="15" customHeight="1">
      <c r="A880" s="476"/>
      <c r="B880" s="476"/>
      <c r="C880" s="1001"/>
      <c r="D880" s="1002"/>
      <c r="E880" s="476"/>
      <c r="F880" s="1002"/>
      <c r="G880" s="1003"/>
      <c r="H880" s="1002"/>
      <c r="I880" s="1002"/>
      <c r="J880" s="1002"/>
      <c r="K880" s="1002"/>
      <c r="L880" s="1002"/>
      <c r="M880" s="1002"/>
      <c r="N880" s="1002"/>
      <c r="O880" s="476"/>
      <c r="P880" s="1002"/>
      <c r="Q880" s="476"/>
      <c r="R880" s="1002"/>
      <c r="S880" s="1002"/>
      <c r="T880" s="476"/>
      <c r="U880" s="476"/>
      <c r="V880" s="1002"/>
      <c r="W880" s="476"/>
      <c r="X880" s="476"/>
      <c r="Y880" s="476"/>
      <c r="Z880" s="476"/>
      <c r="AA880" s="476"/>
    </row>
    <row r="881" spans="1:27" ht="15" customHeight="1">
      <c r="A881" s="476"/>
      <c r="B881" s="476"/>
      <c r="C881" s="1001"/>
      <c r="D881" s="1002"/>
      <c r="E881" s="476"/>
      <c r="F881" s="1002"/>
      <c r="G881" s="1003"/>
      <c r="H881" s="1002"/>
      <c r="I881" s="1002"/>
      <c r="J881" s="1002"/>
      <c r="K881" s="1002"/>
      <c r="L881" s="1002"/>
      <c r="M881" s="1002"/>
      <c r="N881" s="1002"/>
      <c r="O881" s="476"/>
      <c r="P881" s="1002"/>
      <c r="Q881" s="476"/>
      <c r="R881" s="1002"/>
      <c r="S881" s="1002"/>
      <c r="T881" s="476"/>
      <c r="U881" s="476"/>
      <c r="V881" s="1002"/>
      <c r="W881" s="476"/>
      <c r="X881" s="476"/>
      <c r="Y881" s="476"/>
      <c r="Z881" s="476"/>
      <c r="AA881" s="476"/>
    </row>
    <row r="882" spans="1:27" ht="15" customHeight="1">
      <c r="A882" s="476"/>
      <c r="B882" s="476"/>
      <c r="C882" s="1001"/>
      <c r="D882" s="1002"/>
      <c r="E882" s="476"/>
      <c r="F882" s="1002"/>
      <c r="G882" s="1003"/>
      <c r="H882" s="1002"/>
      <c r="I882" s="1002"/>
      <c r="J882" s="1002"/>
      <c r="K882" s="1002"/>
      <c r="L882" s="1002"/>
      <c r="M882" s="1002"/>
      <c r="N882" s="1002"/>
      <c r="O882" s="476"/>
      <c r="P882" s="1002"/>
      <c r="Q882" s="476"/>
      <c r="R882" s="1002"/>
      <c r="S882" s="1002"/>
      <c r="T882" s="476"/>
      <c r="U882" s="476"/>
      <c r="V882" s="1002"/>
      <c r="W882" s="476"/>
      <c r="X882" s="476"/>
      <c r="Y882" s="476"/>
      <c r="Z882" s="476"/>
      <c r="AA882" s="476"/>
    </row>
    <row r="883" spans="1:27" ht="15" customHeight="1">
      <c r="A883" s="476"/>
      <c r="B883" s="476"/>
      <c r="C883" s="1001"/>
      <c r="D883" s="1002"/>
      <c r="E883" s="476"/>
      <c r="F883" s="1002"/>
      <c r="G883" s="1003"/>
      <c r="H883" s="1002"/>
      <c r="I883" s="1002"/>
      <c r="J883" s="1002"/>
      <c r="K883" s="1002"/>
      <c r="L883" s="1002"/>
      <c r="M883" s="1002"/>
      <c r="N883" s="1002"/>
      <c r="O883" s="476"/>
      <c r="P883" s="1002"/>
      <c r="Q883" s="476"/>
      <c r="R883" s="1002"/>
      <c r="S883" s="1002"/>
      <c r="T883" s="476"/>
      <c r="U883" s="476"/>
      <c r="V883" s="1002"/>
      <c r="W883" s="476"/>
      <c r="X883" s="476"/>
      <c r="Y883" s="476"/>
      <c r="Z883" s="476"/>
      <c r="AA883" s="476"/>
    </row>
    <row r="884" spans="1:27" ht="15" customHeight="1">
      <c r="A884" s="476"/>
      <c r="B884" s="476"/>
      <c r="C884" s="1001"/>
      <c r="D884" s="1002"/>
      <c r="E884" s="476"/>
      <c r="F884" s="1002"/>
      <c r="G884" s="1003"/>
      <c r="H884" s="1002"/>
      <c r="I884" s="1002"/>
      <c r="J884" s="1002"/>
      <c r="K884" s="1002"/>
      <c r="L884" s="1002"/>
      <c r="M884" s="1002"/>
      <c r="N884" s="1002"/>
      <c r="O884" s="476"/>
      <c r="P884" s="1002"/>
      <c r="Q884" s="476"/>
      <c r="R884" s="1002"/>
      <c r="S884" s="1002"/>
      <c r="T884" s="476"/>
      <c r="U884" s="476"/>
      <c r="V884" s="1002"/>
      <c r="W884" s="476"/>
      <c r="X884" s="476"/>
      <c r="Y884" s="476"/>
      <c r="Z884" s="476"/>
      <c r="AA884" s="476"/>
    </row>
    <row r="885" spans="1:27" ht="15" customHeight="1">
      <c r="A885" s="476"/>
      <c r="B885" s="476"/>
      <c r="C885" s="1001"/>
      <c r="D885" s="1002"/>
      <c r="E885" s="476"/>
      <c r="F885" s="1002"/>
      <c r="G885" s="1003"/>
      <c r="H885" s="1002"/>
      <c r="I885" s="1002"/>
      <c r="J885" s="1002"/>
      <c r="K885" s="1002"/>
      <c r="L885" s="1002"/>
      <c r="M885" s="1002"/>
      <c r="N885" s="1002"/>
      <c r="O885" s="476"/>
      <c r="P885" s="1002"/>
      <c r="Q885" s="476"/>
      <c r="R885" s="1002"/>
      <c r="S885" s="1002"/>
      <c r="T885" s="476"/>
      <c r="U885" s="476"/>
      <c r="V885" s="1002"/>
      <c r="W885" s="476"/>
      <c r="X885" s="476"/>
      <c r="Y885" s="476"/>
      <c r="Z885" s="476"/>
      <c r="AA885" s="476"/>
    </row>
    <row r="886" spans="1:27" ht="15" customHeight="1">
      <c r="A886" s="476"/>
      <c r="B886" s="476"/>
      <c r="C886" s="1001"/>
      <c r="D886" s="1002"/>
      <c r="E886" s="476"/>
      <c r="F886" s="1002"/>
      <c r="G886" s="1003"/>
      <c r="H886" s="1002"/>
      <c r="I886" s="1002"/>
      <c r="J886" s="1002"/>
      <c r="K886" s="1002"/>
      <c r="L886" s="1002"/>
      <c r="M886" s="1002"/>
      <c r="N886" s="1002"/>
      <c r="O886" s="476"/>
      <c r="P886" s="1002"/>
      <c r="Q886" s="476"/>
      <c r="R886" s="1002"/>
      <c r="S886" s="1002"/>
      <c r="T886" s="476"/>
      <c r="U886" s="476"/>
      <c r="V886" s="1002"/>
      <c r="W886" s="476"/>
      <c r="X886" s="476"/>
      <c r="Y886" s="476"/>
      <c r="Z886" s="476"/>
      <c r="AA886" s="476"/>
    </row>
    <row r="887" spans="1:27" ht="15" customHeight="1">
      <c r="A887" s="476"/>
      <c r="B887" s="476"/>
      <c r="C887" s="1001"/>
      <c r="D887" s="1002"/>
      <c r="E887" s="476"/>
      <c r="F887" s="1002"/>
      <c r="G887" s="1003"/>
      <c r="H887" s="1002"/>
      <c r="I887" s="1002"/>
      <c r="J887" s="1002"/>
      <c r="K887" s="1002"/>
      <c r="L887" s="1002"/>
      <c r="M887" s="1002"/>
      <c r="N887" s="1002"/>
      <c r="O887" s="476"/>
      <c r="P887" s="1002"/>
      <c r="Q887" s="476"/>
      <c r="R887" s="1002"/>
      <c r="S887" s="1002"/>
      <c r="T887" s="476"/>
      <c r="U887" s="476"/>
      <c r="V887" s="1002"/>
      <c r="W887" s="476"/>
      <c r="X887" s="476"/>
      <c r="Y887" s="476"/>
      <c r="Z887" s="476"/>
      <c r="AA887" s="476"/>
    </row>
    <row r="888" spans="1:27" ht="15" customHeight="1">
      <c r="A888" s="476"/>
      <c r="B888" s="476"/>
      <c r="C888" s="1001"/>
      <c r="D888" s="1002"/>
      <c r="E888" s="476"/>
      <c r="F888" s="1002"/>
      <c r="G888" s="1003"/>
      <c r="H888" s="1002"/>
      <c r="I888" s="1002"/>
      <c r="J888" s="1002"/>
      <c r="K888" s="1002"/>
      <c r="L888" s="1002"/>
      <c r="M888" s="1002"/>
      <c r="N888" s="1002"/>
      <c r="O888" s="476"/>
      <c r="P888" s="1002"/>
      <c r="Q888" s="476"/>
      <c r="R888" s="1002"/>
      <c r="S888" s="1002"/>
      <c r="T888" s="476"/>
      <c r="U888" s="476"/>
      <c r="V888" s="1002"/>
      <c r="W888" s="476"/>
      <c r="X888" s="476"/>
      <c r="Y888" s="476"/>
      <c r="Z888" s="476"/>
      <c r="AA888" s="476"/>
    </row>
    <row r="889" spans="1:27" ht="15" customHeight="1">
      <c r="A889" s="476"/>
      <c r="B889" s="476"/>
      <c r="C889" s="1001"/>
      <c r="D889" s="1002"/>
      <c r="E889" s="476"/>
      <c r="F889" s="1002"/>
      <c r="G889" s="1003"/>
      <c r="H889" s="1002"/>
      <c r="I889" s="1002"/>
      <c r="J889" s="1002"/>
      <c r="K889" s="1002"/>
      <c r="L889" s="1002"/>
      <c r="M889" s="1002"/>
      <c r="N889" s="1002"/>
      <c r="O889" s="476"/>
      <c r="P889" s="1002"/>
      <c r="Q889" s="476"/>
      <c r="R889" s="1002"/>
      <c r="S889" s="1002"/>
      <c r="T889" s="476"/>
      <c r="U889" s="476"/>
      <c r="V889" s="1002"/>
      <c r="W889" s="476"/>
      <c r="X889" s="476"/>
      <c r="Y889" s="476"/>
      <c r="Z889" s="476"/>
      <c r="AA889" s="476"/>
    </row>
    <row r="890" spans="1:27" ht="15" customHeight="1">
      <c r="A890" s="476"/>
      <c r="B890" s="476"/>
      <c r="C890" s="1001"/>
      <c r="D890" s="1002"/>
      <c r="E890" s="476"/>
      <c r="F890" s="1002"/>
      <c r="G890" s="1003"/>
      <c r="H890" s="1002"/>
      <c r="I890" s="1002"/>
      <c r="J890" s="1002"/>
      <c r="K890" s="1002"/>
      <c r="L890" s="1002"/>
      <c r="M890" s="1002"/>
      <c r="N890" s="1002"/>
      <c r="O890" s="476"/>
      <c r="P890" s="1002"/>
      <c r="Q890" s="476"/>
      <c r="R890" s="1002"/>
      <c r="S890" s="1002"/>
      <c r="T890" s="476"/>
      <c r="U890" s="476"/>
      <c r="V890" s="1002"/>
      <c r="W890" s="476"/>
      <c r="X890" s="476"/>
      <c r="Y890" s="476"/>
      <c r="Z890" s="476"/>
      <c r="AA890" s="476"/>
    </row>
    <row r="891" spans="1:27" ht="15" customHeight="1">
      <c r="A891" s="476"/>
      <c r="B891" s="476"/>
      <c r="C891" s="1001"/>
      <c r="D891" s="1002"/>
      <c r="E891" s="476"/>
      <c r="F891" s="1002"/>
      <c r="G891" s="1003"/>
      <c r="H891" s="1002"/>
      <c r="I891" s="1002"/>
      <c r="J891" s="1002"/>
      <c r="K891" s="1002"/>
      <c r="L891" s="1002"/>
      <c r="M891" s="1002"/>
      <c r="N891" s="1002"/>
      <c r="O891" s="476"/>
      <c r="P891" s="1002"/>
      <c r="Q891" s="476"/>
      <c r="R891" s="1002"/>
      <c r="S891" s="1002"/>
      <c r="T891" s="476"/>
      <c r="U891" s="476"/>
      <c r="V891" s="1002"/>
      <c r="W891" s="476"/>
      <c r="X891" s="476"/>
      <c r="Y891" s="476"/>
      <c r="Z891" s="476"/>
      <c r="AA891" s="476"/>
    </row>
    <row r="892" spans="1:27" ht="15" customHeight="1">
      <c r="A892" s="476"/>
      <c r="B892" s="476"/>
      <c r="C892" s="1001"/>
      <c r="D892" s="1002"/>
      <c r="E892" s="476"/>
      <c r="F892" s="1002"/>
      <c r="G892" s="1003"/>
      <c r="H892" s="1002"/>
      <c r="I892" s="1002"/>
      <c r="J892" s="1002"/>
      <c r="K892" s="1002"/>
      <c r="L892" s="1002"/>
      <c r="M892" s="1002"/>
      <c r="N892" s="1002"/>
      <c r="O892" s="476"/>
      <c r="P892" s="1002"/>
      <c r="Q892" s="476"/>
      <c r="R892" s="1002"/>
      <c r="S892" s="1002"/>
      <c r="T892" s="476"/>
      <c r="U892" s="476"/>
      <c r="V892" s="1002"/>
      <c r="W892" s="476"/>
      <c r="X892" s="476"/>
      <c r="Y892" s="476"/>
      <c r="Z892" s="476"/>
      <c r="AA892" s="476"/>
    </row>
    <row r="893" spans="1:27" ht="15" customHeight="1">
      <c r="A893" s="476"/>
      <c r="B893" s="476"/>
      <c r="C893" s="1001"/>
      <c r="D893" s="1002"/>
      <c r="E893" s="476"/>
      <c r="F893" s="1002"/>
      <c r="G893" s="1003"/>
      <c r="H893" s="1002"/>
      <c r="I893" s="1002"/>
      <c r="J893" s="1002"/>
      <c r="K893" s="1002"/>
      <c r="L893" s="1002"/>
      <c r="M893" s="1002"/>
      <c r="N893" s="1002"/>
      <c r="O893" s="476"/>
      <c r="P893" s="1002"/>
      <c r="Q893" s="476"/>
      <c r="R893" s="1002"/>
      <c r="S893" s="1002"/>
      <c r="T893" s="476"/>
      <c r="U893" s="476"/>
      <c r="V893" s="1002"/>
      <c r="W893" s="476"/>
      <c r="X893" s="476"/>
      <c r="Y893" s="476"/>
      <c r="Z893" s="476"/>
      <c r="AA893" s="476"/>
    </row>
    <row r="894" spans="1:27" ht="15" customHeight="1">
      <c r="A894" s="476"/>
      <c r="B894" s="476"/>
      <c r="C894" s="1001"/>
      <c r="D894" s="1002"/>
      <c r="E894" s="476"/>
      <c r="F894" s="1002"/>
      <c r="G894" s="1003"/>
      <c r="H894" s="1002"/>
      <c r="I894" s="1002"/>
      <c r="J894" s="1002"/>
      <c r="K894" s="1002"/>
      <c r="L894" s="1002"/>
      <c r="M894" s="1002"/>
      <c r="N894" s="1002"/>
      <c r="O894" s="476"/>
      <c r="P894" s="1002"/>
      <c r="Q894" s="476"/>
      <c r="R894" s="1002"/>
      <c r="S894" s="1002"/>
      <c r="T894" s="476"/>
      <c r="U894" s="476"/>
      <c r="V894" s="1002"/>
      <c r="W894" s="476"/>
      <c r="X894" s="476"/>
      <c r="Y894" s="476"/>
      <c r="Z894" s="476"/>
      <c r="AA894" s="476"/>
    </row>
    <row r="895" spans="1:27" ht="15" customHeight="1">
      <c r="A895" s="476"/>
      <c r="B895" s="476"/>
      <c r="C895" s="1001"/>
      <c r="D895" s="1002"/>
      <c r="E895" s="476"/>
      <c r="F895" s="1002"/>
      <c r="G895" s="1003"/>
      <c r="H895" s="1002"/>
      <c r="I895" s="1002"/>
      <c r="J895" s="1002"/>
      <c r="K895" s="1002"/>
      <c r="L895" s="1002"/>
      <c r="M895" s="1002"/>
      <c r="N895" s="1002"/>
      <c r="O895" s="476"/>
      <c r="P895" s="1002"/>
      <c r="Q895" s="476"/>
      <c r="R895" s="1002"/>
      <c r="S895" s="1002"/>
      <c r="T895" s="476"/>
      <c r="U895" s="476"/>
      <c r="V895" s="1002"/>
      <c r="W895" s="476"/>
      <c r="X895" s="476"/>
      <c r="Y895" s="476"/>
      <c r="Z895" s="476"/>
      <c r="AA895" s="476"/>
    </row>
    <row r="896" spans="1:27" ht="15" customHeight="1">
      <c r="A896" s="476"/>
      <c r="B896" s="476"/>
      <c r="C896" s="1001"/>
      <c r="D896" s="1002"/>
      <c r="E896" s="476"/>
      <c r="F896" s="1002"/>
      <c r="G896" s="1003"/>
      <c r="H896" s="1002"/>
      <c r="I896" s="1002"/>
      <c r="J896" s="1002"/>
      <c r="K896" s="1002"/>
      <c r="L896" s="1002"/>
      <c r="M896" s="1002"/>
      <c r="N896" s="1002"/>
      <c r="O896" s="476"/>
      <c r="P896" s="1002"/>
      <c r="Q896" s="476"/>
      <c r="R896" s="1002"/>
      <c r="S896" s="1002"/>
      <c r="T896" s="476"/>
      <c r="U896" s="476"/>
      <c r="V896" s="1002"/>
      <c r="W896" s="476"/>
      <c r="X896" s="476"/>
      <c r="Y896" s="476"/>
      <c r="Z896" s="476"/>
      <c r="AA896" s="476"/>
    </row>
    <row r="897" spans="1:27" ht="15" customHeight="1">
      <c r="A897" s="476"/>
      <c r="B897" s="476"/>
      <c r="C897" s="1001"/>
      <c r="D897" s="1002"/>
      <c r="E897" s="476"/>
      <c r="F897" s="1002"/>
      <c r="G897" s="1003"/>
      <c r="H897" s="1002"/>
      <c r="I897" s="1002"/>
      <c r="J897" s="1002"/>
      <c r="K897" s="1002"/>
      <c r="L897" s="1002"/>
      <c r="M897" s="1002"/>
      <c r="N897" s="1002"/>
      <c r="O897" s="476"/>
      <c r="P897" s="1002"/>
      <c r="Q897" s="476"/>
      <c r="R897" s="1002"/>
      <c r="S897" s="1002"/>
      <c r="T897" s="476"/>
      <c r="U897" s="476"/>
      <c r="V897" s="1002"/>
      <c r="W897" s="476"/>
      <c r="X897" s="476"/>
      <c r="Y897" s="476"/>
      <c r="Z897" s="476"/>
      <c r="AA897" s="476"/>
    </row>
    <row r="898" spans="1:27" ht="15" customHeight="1">
      <c r="A898" s="476"/>
      <c r="B898" s="476"/>
      <c r="C898" s="1001"/>
      <c r="D898" s="1002"/>
      <c r="E898" s="476"/>
      <c r="F898" s="1002"/>
      <c r="G898" s="1003"/>
      <c r="H898" s="1002"/>
      <c r="I898" s="1002"/>
      <c r="J898" s="1002"/>
      <c r="K898" s="1002"/>
      <c r="L898" s="1002"/>
      <c r="M898" s="1002"/>
      <c r="N898" s="1002"/>
      <c r="O898" s="476"/>
      <c r="P898" s="1002"/>
      <c r="Q898" s="476"/>
      <c r="R898" s="1002"/>
      <c r="S898" s="1002"/>
      <c r="T898" s="476"/>
      <c r="U898" s="476"/>
      <c r="V898" s="1002"/>
      <c r="W898" s="476"/>
      <c r="X898" s="476"/>
      <c r="Y898" s="476"/>
      <c r="Z898" s="476"/>
      <c r="AA898" s="476"/>
    </row>
    <row r="899" spans="1:27" ht="15" customHeight="1">
      <c r="A899" s="476"/>
      <c r="B899" s="476"/>
      <c r="C899" s="1001"/>
      <c r="D899" s="1002"/>
      <c r="E899" s="476"/>
      <c r="F899" s="1002"/>
      <c r="G899" s="1003"/>
      <c r="H899" s="1002"/>
      <c r="I899" s="1002"/>
      <c r="J899" s="1002"/>
      <c r="K899" s="1002"/>
      <c r="L899" s="1002"/>
      <c r="M899" s="1002"/>
      <c r="N899" s="1002"/>
      <c r="O899" s="476"/>
      <c r="P899" s="1002"/>
      <c r="Q899" s="476"/>
      <c r="R899" s="1002"/>
      <c r="S899" s="1002"/>
      <c r="T899" s="476"/>
      <c r="U899" s="476"/>
      <c r="V899" s="1002"/>
      <c r="W899" s="476"/>
      <c r="X899" s="476"/>
      <c r="Y899" s="476"/>
      <c r="Z899" s="476"/>
      <c r="AA899" s="476"/>
    </row>
    <row r="900" spans="1:27" ht="15" customHeight="1">
      <c r="A900" s="476"/>
      <c r="B900" s="476"/>
      <c r="C900" s="1001"/>
      <c r="D900" s="1002"/>
      <c r="E900" s="476"/>
      <c r="F900" s="1002"/>
      <c r="G900" s="1003"/>
      <c r="H900" s="1002"/>
      <c r="I900" s="1002"/>
      <c r="J900" s="1002"/>
      <c r="K900" s="1002"/>
      <c r="L900" s="1002"/>
      <c r="M900" s="1002"/>
      <c r="N900" s="1002"/>
      <c r="O900" s="476"/>
      <c r="P900" s="1002"/>
      <c r="Q900" s="476"/>
      <c r="R900" s="1002"/>
      <c r="S900" s="1002"/>
      <c r="T900" s="476"/>
      <c r="U900" s="476"/>
      <c r="V900" s="1002"/>
      <c r="W900" s="476"/>
      <c r="X900" s="476"/>
      <c r="Y900" s="476"/>
      <c r="Z900" s="476"/>
      <c r="AA900" s="476"/>
    </row>
    <row r="901" spans="1:27" ht="15" customHeight="1">
      <c r="A901" s="476"/>
      <c r="B901" s="476"/>
      <c r="C901" s="1001"/>
      <c r="D901" s="1002"/>
      <c r="E901" s="476"/>
      <c r="F901" s="1002"/>
      <c r="G901" s="1003"/>
      <c r="H901" s="1002"/>
      <c r="I901" s="1002"/>
      <c r="J901" s="1002"/>
      <c r="K901" s="1002"/>
      <c r="L901" s="1002"/>
      <c r="M901" s="1002"/>
      <c r="N901" s="1002"/>
      <c r="O901" s="476"/>
      <c r="P901" s="1002"/>
      <c r="Q901" s="476"/>
      <c r="R901" s="1002"/>
      <c r="S901" s="1002"/>
      <c r="T901" s="476"/>
      <c r="U901" s="476"/>
      <c r="V901" s="1002"/>
      <c r="W901" s="476"/>
      <c r="X901" s="476"/>
      <c r="Y901" s="476"/>
      <c r="Z901" s="476"/>
      <c r="AA901" s="476"/>
    </row>
    <row r="902" spans="1:27" ht="15" customHeight="1">
      <c r="A902" s="476"/>
      <c r="B902" s="476"/>
      <c r="C902" s="1001"/>
      <c r="D902" s="1002"/>
      <c r="E902" s="476"/>
      <c r="F902" s="1002"/>
      <c r="G902" s="1003"/>
      <c r="H902" s="1002"/>
      <c r="I902" s="1002"/>
      <c r="J902" s="1002"/>
      <c r="K902" s="1002"/>
      <c r="L902" s="1002"/>
      <c r="M902" s="1002"/>
      <c r="N902" s="1002"/>
      <c r="O902" s="476"/>
      <c r="P902" s="1002"/>
      <c r="Q902" s="476"/>
      <c r="R902" s="1002"/>
      <c r="S902" s="1002"/>
      <c r="T902" s="476"/>
      <c r="U902" s="476"/>
      <c r="V902" s="1002"/>
      <c r="W902" s="476"/>
      <c r="X902" s="476"/>
      <c r="Y902" s="476"/>
      <c r="Z902" s="476"/>
      <c r="AA902" s="476"/>
    </row>
    <row r="903" spans="1:27" ht="15" customHeight="1">
      <c r="A903" s="476"/>
      <c r="B903" s="476"/>
      <c r="C903" s="1001"/>
      <c r="D903" s="1002"/>
      <c r="E903" s="476"/>
      <c r="F903" s="1002"/>
      <c r="G903" s="1003"/>
      <c r="H903" s="1002"/>
      <c r="I903" s="1002"/>
      <c r="J903" s="1002"/>
      <c r="K903" s="1002"/>
      <c r="L903" s="1002"/>
      <c r="M903" s="1002"/>
      <c r="N903" s="1002"/>
      <c r="O903" s="476"/>
      <c r="P903" s="1002"/>
      <c r="Q903" s="476"/>
      <c r="R903" s="1002"/>
      <c r="S903" s="1002"/>
      <c r="T903" s="476"/>
      <c r="U903" s="476"/>
      <c r="V903" s="1002"/>
      <c r="W903" s="476"/>
      <c r="X903" s="476"/>
      <c r="Y903" s="476"/>
      <c r="Z903" s="476"/>
      <c r="AA903" s="476"/>
    </row>
    <row r="904" spans="1:27" ht="15" customHeight="1">
      <c r="A904" s="476"/>
      <c r="B904" s="476"/>
      <c r="C904" s="1001"/>
      <c r="D904" s="1002"/>
      <c r="E904" s="476"/>
      <c r="F904" s="1002"/>
      <c r="G904" s="1003"/>
      <c r="H904" s="1002"/>
      <c r="I904" s="1002"/>
      <c r="J904" s="1002"/>
      <c r="K904" s="1002"/>
      <c r="L904" s="1002"/>
      <c r="M904" s="1002"/>
      <c r="N904" s="1002"/>
      <c r="O904" s="476"/>
      <c r="P904" s="1002"/>
      <c r="Q904" s="476"/>
      <c r="R904" s="1002"/>
      <c r="S904" s="1002"/>
      <c r="T904" s="476"/>
      <c r="U904" s="476"/>
      <c r="V904" s="1002"/>
      <c r="W904" s="476"/>
      <c r="X904" s="476"/>
      <c r="Y904" s="476"/>
      <c r="Z904" s="476"/>
      <c r="AA904" s="476"/>
    </row>
    <row r="905" spans="1:27" ht="15" customHeight="1">
      <c r="A905" s="476"/>
      <c r="B905" s="476"/>
      <c r="C905" s="1001"/>
      <c r="D905" s="1002"/>
      <c r="E905" s="476"/>
      <c r="F905" s="1002"/>
      <c r="G905" s="1003"/>
      <c r="H905" s="1002"/>
      <c r="I905" s="1002"/>
      <c r="J905" s="1002"/>
      <c r="K905" s="1002"/>
      <c r="L905" s="1002"/>
      <c r="M905" s="1002"/>
      <c r="N905" s="1002"/>
      <c r="O905" s="476"/>
      <c r="P905" s="1002"/>
      <c r="Q905" s="476"/>
      <c r="R905" s="1002"/>
      <c r="S905" s="1002"/>
      <c r="T905" s="476"/>
      <c r="U905" s="476"/>
      <c r="V905" s="1002"/>
      <c r="W905" s="476"/>
      <c r="X905" s="476"/>
      <c r="Y905" s="476"/>
      <c r="Z905" s="476"/>
      <c r="AA905" s="476"/>
    </row>
    <row r="906" spans="1:27" ht="15" customHeight="1">
      <c r="A906" s="476"/>
      <c r="B906" s="476"/>
      <c r="C906" s="1001"/>
      <c r="D906" s="1002"/>
      <c r="E906" s="476"/>
      <c r="F906" s="1002"/>
      <c r="G906" s="1003"/>
      <c r="H906" s="1002"/>
      <c r="I906" s="1002"/>
      <c r="J906" s="1002"/>
      <c r="K906" s="1002"/>
      <c r="L906" s="1002"/>
      <c r="M906" s="1002"/>
      <c r="N906" s="1002"/>
      <c r="O906" s="476"/>
      <c r="P906" s="1002"/>
      <c r="Q906" s="476"/>
      <c r="R906" s="1002"/>
      <c r="S906" s="1002"/>
      <c r="T906" s="476"/>
      <c r="U906" s="476"/>
      <c r="V906" s="1002"/>
      <c r="W906" s="476"/>
      <c r="X906" s="476"/>
      <c r="Y906" s="476"/>
      <c r="Z906" s="476"/>
      <c r="AA906" s="476"/>
    </row>
    <row r="907" spans="1:27" ht="15" customHeight="1">
      <c r="A907" s="476"/>
      <c r="B907" s="476"/>
      <c r="C907" s="1001"/>
      <c r="D907" s="1002"/>
      <c r="E907" s="476"/>
      <c r="F907" s="1002"/>
      <c r="G907" s="1003"/>
      <c r="H907" s="1002"/>
      <c r="I907" s="1002"/>
      <c r="J907" s="1002"/>
      <c r="K907" s="1002"/>
      <c r="L907" s="1002"/>
      <c r="M907" s="1002"/>
      <c r="N907" s="1002"/>
      <c r="O907" s="476"/>
      <c r="P907" s="1002"/>
      <c r="Q907" s="476"/>
      <c r="R907" s="1002"/>
      <c r="S907" s="1002"/>
      <c r="T907" s="476"/>
      <c r="U907" s="476"/>
      <c r="V907" s="1002"/>
      <c r="W907" s="476"/>
      <c r="X907" s="476"/>
      <c r="Y907" s="476"/>
      <c r="Z907" s="476"/>
      <c r="AA907" s="476"/>
    </row>
    <row r="908" spans="1:27" ht="15" customHeight="1">
      <c r="A908" s="476"/>
      <c r="B908" s="476"/>
      <c r="C908" s="1001"/>
      <c r="D908" s="1002"/>
      <c r="E908" s="476"/>
      <c r="F908" s="1002"/>
      <c r="G908" s="1003"/>
      <c r="H908" s="1002"/>
      <c r="I908" s="1002"/>
      <c r="J908" s="1002"/>
      <c r="K908" s="1002"/>
      <c r="L908" s="1002"/>
      <c r="M908" s="1002"/>
      <c r="N908" s="1002"/>
      <c r="O908" s="476"/>
      <c r="P908" s="1002"/>
      <c r="Q908" s="476"/>
      <c r="R908" s="1002"/>
      <c r="S908" s="1002"/>
      <c r="T908" s="476"/>
      <c r="U908" s="476"/>
      <c r="V908" s="1002"/>
      <c r="W908" s="476"/>
      <c r="X908" s="476"/>
      <c r="Y908" s="476"/>
      <c r="Z908" s="476"/>
      <c r="AA908" s="476"/>
    </row>
    <row r="909" spans="1:27" ht="15" customHeight="1">
      <c r="A909" s="476"/>
      <c r="B909" s="476"/>
      <c r="C909" s="1001"/>
      <c r="D909" s="1002"/>
      <c r="E909" s="476"/>
      <c r="F909" s="1002"/>
      <c r="G909" s="1003"/>
      <c r="H909" s="1002"/>
      <c r="I909" s="1002"/>
      <c r="J909" s="1002"/>
      <c r="K909" s="1002"/>
      <c r="L909" s="1002"/>
      <c r="M909" s="1002"/>
      <c r="N909" s="1002"/>
      <c r="O909" s="476"/>
      <c r="P909" s="1002"/>
      <c r="Q909" s="476"/>
      <c r="R909" s="1002"/>
      <c r="S909" s="1002"/>
      <c r="T909" s="476"/>
      <c r="U909" s="476"/>
      <c r="V909" s="1002"/>
      <c r="W909" s="476"/>
      <c r="X909" s="476"/>
      <c r="Y909" s="476"/>
      <c r="Z909" s="476"/>
      <c r="AA909" s="476"/>
    </row>
    <row r="910" spans="1:27" ht="15" customHeight="1">
      <c r="A910" s="476"/>
      <c r="B910" s="476"/>
      <c r="C910" s="1001"/>
      <c r="D910" s="1002"/>
      <c r="E910" s="476"/>
      <c r="F910" s="1002"/>
      <c r="G910" s="1003"/>
      <c r="H910" s="1002"/>
      <c r="I910" s="1002"/>
      <c r="J910" s="1002"/>
      <c r="K910" s="1002"/>
      <c r="L910" s="1002"/>
      <c r="M910" s="1002"/>
      <c r="N910" s="1002"/>
      <c r="O910" s="476"/>
      <c r="P910" s="1002"/>
      <c r="Q910" s="476"/>
      <c r="R910" s="1002"/>
      <c r="S910" s="1002"/>
      <c r="T910" s="476"/>
      <c r="U910" s="476"/>
      <c r="V910" s="1002"/>
      <c r="W910" s="476"/>
      <c r="X910" s="476"/>
      <c r="Y910" s="476"/>
      <c r="Z910" s="476"/>
      <c r="AA910" s="476"/>
    </row>
    <row r="911" spans="1:27" ht="15" customHeight="1">
      <c r="A911" s="476"/>
      <c r="B911" s="476"/>
      <c r="C911" s="1001"/>
      <c r="D911" s="1002"/>
      <c r="E911" s="476"/>
      <c r="F911" s="1002"/>
      <c r="G911" s="1003"/>
      <c r="H911" s="1002"/>
      <c r="I911" s="1002"/>
      <c r="J911" s="1002"/>
      <c r="K911" s="1002"/>
      <c r="L911" s="1002"/>
      <c r="M911" s="1002"/>
      <c r="N911" s="1002"/>
      <c r="O911" s="476"/>
      <c r="P911" s="1002"/>
      <c r="Q911" s="476"/>
      <c r="R911" s="1002"/>
      <c r="S911" s="1002"/>
      <c r="T911" s="476"/>
      <c r="U911" s="476"/>
      <c r="V911" s="1002"/>
      <c r="W911" s="476"/>
      <c r="X911" s="476"/>
      <c r="Y911" s="476"/>
      <c r="Z911" s="476"/>
      <c r="AA911" s="476"/>
    </row>
    <row r="912" spans="1:27" ht="15" customHeight="1">
      <c r="A912" s="476"/>
      <c r="B912" s="476"/>
      <c r="C912" s="1001"/>
      <c r="D912" s="1002"/>
      <c r="E912" s="476"/>
      <c r="F912" s="1002"/>
      <c r="G912" s="1003"/>
      <c r="H912" s="1002"/>
      <c r="I912" s="1002"/>
      <c r="J912" s="1002"/>
      <c r="K912" s="1002"/>
      <c r="L912" s="1002"/>
      <c r="M912" s="1002"/>
      <c r="N912" s="1002"/>
      <c r="O912" s="476"/>
      <c r="P912" s="1002"/>
      <c r="Q912" s="476"/>
      <c r="R912" s="1002"/>
      <c r="S912" s="1002"/>
      <c r="T912" s="476"/>
      <c r="U912" s="476"/>
      <c r="V912" s="1002"/>
      <c r="W912" s="476"/>
      <c r="X912" s="476"/>
      <c r="Y912" s="476"/>
      <c r="Z912" s="476"/>
      <c r="AA912" s="476"/>
    </row>
    <row r="913" spans="1:27" ht="15" customHeight="1">
      <c r="A913" s="476"/>
      <c r="B913" s="476"/>
      <c r="C913" s="1001"/>
      <c r="D913" s="1002"/>
      <c r="E913" s="476"/>
      <c r="F913" s="1002"/>
      <c r="G913" s="1003"/>
      <c r="H913" s="1002"/>
      <c r="I913" s="1002"/>
      <c r="J913" s="1002"/>
      <c r="K913" s="1002"/>
      <c r="L913" s="1002"/>
      <c r="M913" s="1002"/>
      <c r="N913" s="1002"/>
      <c r="O913" s="476"/>
      <c r="P913" s="1002"/>
      <c r="Q913" s="476"/>
      <c r="R913" s="1002"/>
      <c r="S913" s="1002"/>
      <c r="T913" s="476"/>
      <c r="U913" s="476"/>
      <c r="V913" s="1002"/>
      <c r="W913" s="476"/>
      <c r="X913" s="476"/>
      <c r="Y913" s="476"/>
      <c r="Z913" s="476"/>
      <c r="AA913" s="476"/>
    </row>
    <row r="914" spans="1:27" ht="15" customHeight="1">
      <c r="A914" s="476"/>
      <c r="B914" s="476"/>
      <c r="C914" s="1001"/>
      <c r="D914" s="1002"/>
      <c r="E914" s="476"/>
      <c r="F914" s="1002"/>
      <c r="G914" s="1003"/>
      <c r="H914" s="1002"/>
      <c r="I914" s="1002"/>
      <c r="J914" s="1002"/>
      <c r="K914" s="1002"/>
      <c r="L914" s="1002"/>
      <c r="M914" s="1002"/>
      <c r="N914" s="1002"/>
      <c r="O914" s="476"/>
      <c r="P914" s="1002"/>
      <c r="Q914" s="476"/>
      <c r="R914" s="1002"/>
      <c r="S914" s="1002"/>
      <c r="T914" s="476"/>
      <c r="U914" s="476"/>
      <c r="V914" s="1002"/>
      <c r="W914" s="476"/>
      <c r="X914" s="476"/>
      <c r="Y914" s="476"/>
      <c r="Z914" s="476"/>
      <c r="AA914" s="476"/>
    </row>
    <row r="915" spans="1:27" ht="15" customHeight="1">
      <c r="A915" s="476"/>
      <c r="B915" s="476"/>
      <c r="C915" s="1001"/>
      <c r="D915" s="1002"/>
      <c r="E915" s="476"/>
      <c r="F915" s="1002"/>
      <c r="G915" s="1003"/>
      <c r="H915" s="1002"/>
      <c r="I915" s="1002"/>
      <c r="J915" s="1002"/>
      <c r="K915" s="1002"/>
      <c r="L915" s="1002"/>
      <c r="M915" s="1002"/>
      <c r="N915" s="1002"/>
      <c r="O915" s="476"/>
      <c r="P915" s="1002"/>
      <c r="Q915" s="476"/>
      <c r="R915" s="1002"/>
      <c r="S915" s="1002"/>
      <c r="T915" s="476"/>
      <c r="U915" s="476"/>
      <c r="V915" s="1002"/>
      <c r="W915" s="476"/>
      <c r="X915" s="476"/>
      <c r="Y915" s="476"/>
      <c r="Z915" s="476"/>
      <c r="AA915" s="476"/>
    </row>
    <row r="916" spans="1:27" ht="15" customHeight="1">
      <c r="A916" s="476"/>
      <c r="B916" s="476"/>
      <c r="C916" s="1001"/>
      <c r="D916" s="1002"/>
      <c r="E916" s="476"/>
      <c r="F916" s="1002"/>
      <c r="G916" s="1003"/>
      <c r="H916" s="1002"/>
      <c r="I916" s="1002"/>
      <c r="J916" s="1002"/>
      <c r="K916" s="1002"/>
      <c r="L916" s="1002"/>
      <c r="M916" s="1002"/>
      <c r="N916" s="1002"/>
      <c r="O916" s="476"/>
      <c r="P916" s="1002"/>
      <c r="Q916" s="476"/>
      <c r="R916" s="1002"/>
      <c r="S916" s="1002"/>
      <c r="T916" s="476"/>
      <c r="U916" s="476"/>
      <c r="V916" s="1002"/>
      <c r="W916" s="476"/>
      <c r="X916" s="476"/>
      <c r="Y916" s="476"/>
      <c r="Z916" s="476"/>
      <c r="AA916" s="476"/>
    </row>
    <row r="917" spans="1:27" ht="15" customHeight="1">
      <c r="A917" s="476"/>
      <c r="B917" s="476"/>
      <c r="C917" s="1001"/>
      <c r="D917" s="1002"/>
      <c r="E917" s="476"/>
      <c r="F917" s="1002"/>
      <c r="G917" s="1003"/>
      <c r="H917" s="1002"/>
      <c r="I917" s="1002"/>
      <c r="J917" s="1002"/>
      <c r="K917" s="1002"/>
      <c r="L917" s="1002"/>
      <c r="M917" s="1002"/>
      <c r="N917" s="1002"/>
      <c r="O917" s="476"/>
      <c r="P917" s="1002"/>
      <c r="Q917" s="476"/>
      <c r="R917" s="1002"/>
      <c r="S917" s="1002"/>
      <c r="T917" s="476"/>
      <c r="U917" s="476"/>
      <c r="V917" s="1002"/>
      <c r="W917" s="476"/>
      <c r="X917" s="476"/>
      <c r="Y917" s="476"/>
      <c r="Z917" s="476"/>
      <c r="AA917" s="476"/>
    </row>
    <row r="918" spans="1:27" ht="15" customHeight="1">
      <c r="A918" s="476"/>
      <c r="B918" s="476"/>
      <c r="C918" s="1001"/>
      <c r="D918" s="1002"/>
      <c r="E918" s="476"/>
      <c r="F918" s="1002"/>
      <c r="G918" s="1003"/>
      <c r="H918" s="1002"/>
      <c r="I918" s="1002"/>
      <c r="J918" s="1002"/>
      <c r="K918" s="1002"/>
      <c r="L918" s="1002"/>
      <c r="M918" s="1002"/>
      <c r="N918" s="1002"/>
      <c r="O918" s="476"/>
      <c r="P918" s="1002"/>
      <c r="Q918" s="476"/>
      <c r="R918" s="1002"/>
      <c r="S918" s="1002"/>
      <c r="T918" s="476"/>
      <c r="U918" s="476"/>
      <c r="V918" s="1002"/>
      <c r="W918" s="476"/>
      <c r="X918" s="476"/>
      <c r="Y918" s="476"/>
      <c r="Z918" s="476"/>
      <c r="AA918" s="476"/>
    </row>
    <row r="919" spans="1:27" ht="15" customHeight="1">
      <c r="A919" s="476"/>
      <c r="B919" s="476"/>
      <c r="C919" s="1001"/>
      <c r="D919" s="1002"/>
      <c r="E919" s="476"/>
      <c r="F919" s="1002"/>
      <c r="G919" s="1003"/>
      <c r="H919" s="1002"/>
      <c r="I919" s="1002"/>
      <c r="J919" s="1002"/>
      <c r="K919" s="1002"/>
      <c r="L919" s="1002"/>
      <c r="M919" s="1002"/>
      <c r="N919" s="1002"/>
      <c r="O919" s="476"/>
      <c r="P919" s="1002"/>
      <c r="Q919" s="476"/>
      <c r="R919" s="1002"/>
      <c r="S919" s="1002"/>
      <c r="T919" s="476"/>
      <c r="U919" s="476"/>
      <c r="V919" s="1002"/>
      <c r="W919" s="476"/>
      <c r="X919" s="476"/>
      <c r="Y919" s="476"/>
      <c r="Z919" s="476"/>
      <c r="AA919" s="476"/>
    </row>
    <row r="920" spans="1:27" ht="15" customHeight="1">
      <c r="A920" s="476"/>
      <c r="B920" s="476"/>
      <c r="C920" s="1001"/>
      <c r="D920" s="1002"/>
      <c r="E920" s="476"/>
      <c r="F920" s="1002"/>
      <c r="G920" s="1003"/>
      <c r="H920" s="1002"/>
      <c r="I920" s="1002"/>
      <c r="J920" s="1002"/>
      <c r="K920" s="1002"/>
      <c r="L920" s="1002"/>
      <c r="M920" s="1002"/>
      <c r="N920" s="1002"/>
      <c r="O920" s="476"/>
      <c r="P920" s="1002"/>
      <c r="Q920" s="476"/>
      <c r="R920" s="1002"/>
      <c r="S920" s="1002"/>
      <c r="T920" s="476"/>
      <c r="U920" s="476"/>
      <c r="V920" s="1002"/>
      <c r="W920" s="476"/>
      <c r="X920" s="476"/>
      <c r="Y920" s="476"/>
      <c r="Z920" s="476"/>
      <c r="AA920" s="476"/>
    </row>
    <row r="921" spans="1:27" ht="15" customHeight="1">
      <c r="A921" s="476"/>
      <c r="B921" s="476"/>
      <c r="C921" s="1001"/>
      <c r="D921" s="1002"/>
      <c r="E921" s="476"/>
      <c r="F921" s="1002"/>
      <c r="G921" s="1003"/>
      <c r="H921" s="1002"/>
      <c r="I921" s="1002"/>
      <c r="J921" s="1002"/>
      <c r="K921" s="1002"/>
      <c r="L921" s="1002"/>
      <c r="M921" s="1002"/>
      <c r="N921" s="1002"/>
      <c r="O921" s="476"/>
      <c r="P921" s="1002"/>
      <c r="Q921" s="476"/>
      <c r="R921" s="1002"/>
      <c r="S921" s="1002"/>
      <c r="T921" s="476"/>
      <c r="U921" s="476"/>
      <c r="V921" s="1002"/>
      <c r="W921" s="476"/>
      <c r="X921" s="476"/>
      <c r="Y921" s="476"/>
      <c r="Z921" s="476"/>
      <c r="AA921" s="476"/>
    </row>
    <row r="922" spans="1:27" ht="15" customHeight="1">
      <c r="A922" s="476"/>
      <c r="B922" s="476"/>
      <c r="C922" s="1001"/>
      <c r="D922" s="1002"/>
      <c r="E922" s="476"/>
      <c r="F922" s="1002"/>
      <c r="G922" s="1003"/>
      <c r="H922" s="1002"/>
      <c r="I922" s="1002"/>
      <c r="J922" s="1002"/>
      <c r="K922" s="1002"/>
      <c r="L922" s="1002"/>
      <c r="M922" s="1002"/>
      <c r="N922" s="1002"/>
      <c r="O922" s="476"/>
      <c r="P922" s="1002"/>
      <c r="Q922" s="476"/>
      <c r="R922" s="1002"/>
      <c r="S922" s="1002"/>
      <c r="T922" s="476"/>
      <c r="U922" s="476"/>
      <c r="V922" s="1002"/>
      <c r="W922" s="476"/>
      <c r="X922" s="476"/>
      <c r="Y922" s="476"/>
      <c r="Z922" s="476"/>
      <c r="AA922" s="476"/>
    </row>
    <row r="923" spans="1:27" ht="15" customHeight="1">
      <c r="A923" s="476"/>
      <c r="B923" s="476"/>
      <c r="C923" s="1001"/>
      <c r="D923" s="1002"/>
      <c r="E923" s="476"/>
      <c r="F923" s="1002"/>
      <c r="G923" s="1003"/>
      <c r="H923" s="1002"/>
      <c r="I923" s="1002"/>
      <c r="J923" s="1002"/>
      <c r="K923" s="1002"/>
      <c r="L923" s="1002"/>
      <c r="M923" s="1002"/>
      <c r="N923" s="1002"/>
      <c r="O923" s="476"/>
      <c r="P923" s="1002"/>
      <c r="Q923" s="476"/>
      <c r="R923" s="1002"/>
      <c r="S923" s="1002"/>
      <c r="T923" s="476"/>
      <c r="U923" s="476"/>
      <c r="V923" s="1002"/>
      <c r="W923" s="476"/>
      <c r="X923" s="476"/>
      <c r="Y923" s="476"/>
      <c r="Z923" s="476"/>
      <c r="AA923" s="476"/>
    </row>
    <row r="924" spans="1:27" ht="15" customHeight="1">
      <c r="A924" s="476"/>
      <c r="B924" s="476"/>
      <c r="C924" s="1001"/>
      <c r="D924" s="1002"/>
      <c r="E924" s="476"/>
      <c r="F924" s="1002"/>
      <c r="G924" s="1003"/>
      <c r="H924" s="1002"/>
      <c r="I924" s="1002"/>
      <c r="J924" s="1002"/>
      <c r="K924" s="1002"/>
      <c r="L924" s="1002"/>
      <c r="M924" s="1002"/>
      <c r="N924" s="1002"/>
      <c r="O924" s="476"/>
      <c r="P924" s="1002"/>
      <c r="Q924" s="476"/>
      <c r="R924" s="1002"/>
      <c r="S924" s="1002"/>
      <c r="T924" s="476"/>
      <c r="U924" s="476"/>
      <c r="V924" s="1002"/>
      <c r="W924" s="476"/>
      <c r="X924" s="476"/>
      <c r="Y924" s="476"/>
      <c r="Z924" s="476"/>
      <c r="AA924" s="476"/>
    </row>
    <row r="925" spans="1:27" ht="15" customHeight="1">
      <c r="A925" s="476"/>
      <c r="B925" s="476"/>
      <c r="C925" s="1001"/>
      <c r="D925" s="1002"/>
      <c r="E925" s="476"/>
      <c r="F925" s="1002"/>
      <c r="G925" s="1003"/>
      <c r="H925" s="1002"/>
      <c r="I925" s="1002"/>
      <c r="J925" s="1002"/>
      <c r="K925" s="1002"/>
      <c r="L925" s="1002"/>
      <c r="M925" s="1002"/>
      <c r="N925" s="1002"/>
      <c r="O925" s="476"/>
      <c r="P925" s="1002"/>
      <c r="Q925" s="476"/>
      <c r="R925" s="1002"/>
      <c r="S925" s="1002"/>
      <c r="T925" s="476"/>
      <c r="U925" s="476"/>
      <c r="V925" s="1002"/>
      <c r="W925" s="476"/>
      <c r="X925" s="476"/>
      <c r="Y925" s="476"/>
      <c r="Z925" s="476"/>
      <c r="AA925" s="476"/>
    </row>
    <row r="926" spans="1:27" ht="15" customHeight="1">
      <c r="A926" s="476"/>
      <c r="B926" s="476"/>
      <c r="C926" s="1001"/>
      <c r="D926" s="1002"/>
      <c r="E926" s="476"/>
      <c r="F926" s="1002"/>
      <c r="G926" s="1003"/>
      <c r="H926" s="1002"/>
      <c r="I926" s="1002"/>
      <c r="J926" s="1002"/>
      <c r="K926" s="1002"/>
      <c r="L926" s="1002"/>
      <c r="M926" s="1002"/>
      <c r="N926" s="1002"/>
      <c r="O926" s="476"/>
      <c r="P926" s="1002"/>
      <c r="Q926" s="476"/>
      <c r="R926" s="1002"/>
      <c r="S926" s="1002"/>
      <c r="T926" s="476"/>
      <c r="U926" s="476"/>
      <c r="V926" s="1002"/>
      <c r="W926" s="476"/>
      <c r="X926" s="476"/>
      <c r="Y926" s="476"/>
      <c r="Z926" s="476"/>
      <c r="AA926" s="476"/>
    </row>
    <row r="927" spans="1:27" ht="15" customHeight="1">
      <c r="A927" s="476"/>
      <c r="B927" s="476"/>
      <c r="C927" s="1001"/>
      <c r="D927" s="1002"/>
      <c r="E927" s="476"/>
      <c r="F927" s="1002"/>
      <c r="G927" s="1003"/>
      <c r="H927" s="1002"/>
      <c r="I927" s="1002"/>
      <c r="J927" s="1002"/>
      <c r="K927" s="1002"/>
      <c r="L927" s="1002"/>
      <c r="M927" s="1002"/>
      <c r="N927" s="1002"/>
      <c r="O927" s="476"/>
      <c r="P927" s="1002"/>
      <c r="Q927" s="476"/>
      <c r="R927" s="1002"/>
      <c r="S927" s="1002"/>
      <c r="T927" s="476"/>
      <c r="U927" s="476"/>
      <c r="V927" s="1002"/>
      <c r="W927" s="476"/>
      <c r="X927" s="476"/>
      <c r="Y927" s="476"/>
      <c r="Z927" s="476"/>
      <c r="AA927" s="476"/>
    </row>
    <row r="928" spans="1:27" ht="15" customHeight="1">
      <c r="A928" s="476"/>
      <c r="B928" s="476"/>
      <c r="C928" s="1001"/>
      <c r="D928" s="1002"/>
      <c r="E928" s="476"/>
      <c r="F928" s="1002"/>
      <c r="G928" s="1003"/>
      <c r="H928" s="1002"/>
      <c r="I928" s="1002"/>
      <c r="J928" s="1002"/>
      <c r="K928" s="1002"/>
      <c r="L928" s="1002"/>
      <c r="M928" s="1002"/>
      <c r="N928" s="1002"/>
      <c r="O928" s="476"/>
      <c r="P928" s="1002"/>
      <c r="Q928" s="476"/>
      <c r="R928" s="1002"/>
      <c r="S928" s="1002"/>
      <c r="T928" s="476"/>
      <c r="U928" s="476"/>
      <c r="V928" s="1002"/>
      <c r="W928" s="476"/>
      <c r="X928" s="476"/>
      <c r="Y928" s="476"/>
      <c r="Z928" s="476"/>
      <c r="AA928" s="476"/>
    </row>
    <row r="929" spans="1:27" ht="15" customHeight="1">
      <c r="A929" s="476"/>
      <c r="B929" s="476"/>
      <c r="C929" s="1001"/>
      <c r="D929" s="1002"/>
      <c r="E929" s="476"/>
      <c r="F929" s="1002"/>
      <c r="G929" s="1003"/>
      <c r="H929" s="1002"/>
      <c r="I929" s="1002"/>
      <c r="J929" s="1002"/>
      <c r="K929" s="1002"/>
      <c r="L929" s="1002"/>
      <c r="M929" s="1002"/>
      <c r="N929" s="1002"/>
      <c r="O929" s="476"/>
      <c r="P929" s="1002"/>
      <c r="Q929" s="476"/>
      <c r="R929" s="1002"/>
      <c r="S929" s="1002"/>
      <c r="T929" s="476"/>
      <c r="U929" s="476"/>
      <c r="V929" s="1002"/>
      <c r="W929" s="476"/>
      <c r="X929" s="476"/>
      <c r="Y929" s="476"/>
      <c r="Z929" s="476"/>
      <c r="AA929" s="476"/>
    </row>
    <row r="930" spans="1:27" ht="15" customHeight="1">
      <c r="A930" s="476"/>
      <c r="B930" s="476"/>
      <c r="C930" s="1001"/>
      <c r="D930" s="1002"/>
      <c r="E930" s="476"/>
      <c r="F930" s="1002"/>
      <c r="G930" s="1003"/>
      <c r="H930" s="1002"/>
      <c r="I930" s="1002"/>
      <c r="J930" s="1002"/>
      <c r="K930" s="1002"/>
      <c r="L930" s="1002"/>
      <c r="M930" s="1002"/>
      <c r="N930" s="1002"/>
      <c r="O930" s="476"/>
      <c r="P930" s="1002"/>
      <c r="Q930" s="476"/>
      <c r="R930" s="1002"/>
      <c r="S930" s="1002"/>
      <c r="T930" s="476"/>
      <c r="U930" s="476"/>
      <c r="V930" s="1002"/>
      <c r="W930" s="476"/>
      <c r="X930" s="476"/>
      <c r="Y930" s="476"/>
      <c r="Z930" s="476"/>
      <c r="AA930" s="476"/>
    </row>
    <row r="931" spans="1:27" ht="15" customHeight="1">
      <c r="A931" s="476"/>
      <c r="B931" s="476"/>
      <c r="C931" s="1001"/>
      <c r="D931" s="1002"/>
      <c r="E931" s="476"/>
      <c r="F931" s="1002"/>
      <c r="G931" s="1003"/>
      <c r="H931" s="1002"/>
      <c r="I931" s="1002"/>
      <c r="J931" s="1002"/>
      <c r="K931" s="1002"/>
      <c r="L931" s="1002"/>
      <c r="M931" s="1002"/>
      <c r="N931" s="1002"/>
      <c r="O931" s="476"/>
      <c r="P931" s="1002"/>
      <c r="Q931" s="476"/>
      <c r="R931" s="1002"/>
      <c r="S931" s="1002"/>
      <c r="T931" s="476"/>
      <c r="U931" s="476"/>
      <c r="V931" s="1002"/>
      <c r="W931" s="476"/>
      <c r="X931" s="476"/>
      <c r="Y931" s="476"/>
      <c r="Z931" s="476"/>
      <c r="AA931" s="476"/>
    </row>
    <row r="932" spans="1:27" ht="15" customHeight="1">
      <c r="A932" s="476"/>
      <c r="B932" s="476"/>
      <c r="C932" s="1001"/>
      <c r="D932" s="1002"/>
      <c r="E932" s="476"/>
      <c r="F932" s="1002"/>
      <c r="G932" s="1003"/>
      <c r="H932" s="1002"/>
      <c r="I932" s="1002"/>
      <c r="J932" s="1002"/>
      <c r="K932" s="1002"/>
      <c r="L932" s="1002"/>
      <c r="M932" s="1002"/>
      <c r="N932" s="1002"/>
      <c r="O932" s="476"/>
      <c r="P932" s="1002"/>
      <c r="Q932" s="476"/>
      <c r="R932" s="1002"/>
      <c r="S932" s="1002"/>
      <c r="T932" s="476"/>
      <c r="U932" s="476"/>
      <c r="V932" s="1002"/>
      <c r="W932" s="476"/>
      <c r="X932" s="476"/>
      <c r="Y932" s="476"/>
      <c r="Z932" s="476"/>
      <c r="AA932" s="476"/>
    </row>
    <row r="933" spans="1:27" ht="15" customHeight="1">
      <c r="A933" s="476"/>
      <c r="B933" s="476"/>
      <c r="C933" s="1001"/>
      <c r="D933" s="1002"/>
      <c r="E933" s="476"/>
      <c r="F933" s="1002"/>
      <c r="G933" s="1003"/>
      <c r="H933" s="1002"/>
      <c r="I933" s="1002"/>
      <c r="J933" s="1002"/>
      <c r="K933" s="1002"/>
      <c r="L933" s="1002"/>
      <c r="M933" s="1002"/>
      <c r="N933" s="1002"/>
      <c r="O933" s="476"/>
      <c r="P933" s="1002"/>
      <c r="Q933" s="476"/>
      <c r="R933" s="1002"/>
      <c r="S933" s="1002"/>
      <c r="T933" s="476"/>
      <c r="U933" s="476"/>
      <c r="V933" s="1002"/>
      <c r="W933" s="476"/>
      <c r="X933" s="476"/>
      <c r="Y933" s="476"/>
      <c r="Z933" s="476"/>
      <c r="AA933" s="476"/>
    </row>
    <row r="934" spans="1:27" ht="15" customHeight="1">
      <c r="A934" s="476"/>
      <c r="B934" s="476"/>
      <c r="C934" s="1001"/>
      <c r="D934" s="1002"/>
      <c r="E934" s="476"/>
      <c r="F934" s="1002"/>
      <c r="G934" s="1003"/>
      <c r="H934" s="1002"/>
      <c r="I934" s="1002"/>
      <c r="J934" s="1002"/>
      <c r="K934" s="1002"/>
      <c r="L934" s="1002"/>
      <c r="M934" s="1002"/>
      <c r="N934" s="1002"/>
      <c r="O934" s="476"/>
      <c r="P934" s="1002"/>
      <c r="Q934" s="476"/>
      <c r="R934" s="1002"/>
      <c r="S934" s="1002"/>
      <c r="T934" s="476"/>
      <c r="U934" s="476"/>
      <c r="V934" s="1002"/>
      <c r="W934" s="476"/>
      <c r="X934" s="476"/>
      <c r="Y934" s="476"/>
      <c r="Z934" s="476"/>
      <c r="AA934" s="476"/>
    </row>
    <row r="935" spans="1:27" ht="15" customHeight="1">
      <c r="A935" s="476"/>
      <c r="B935" s="476"/>
      <c r="C935" s="1001"/>
      <c r="D935" s="1002"/>
      <c r="E935" s="476"/>
      <c r="F935" s="1002"/>
      <c r="G935" s="1003"/>
      <c r="H935" s="1002"/>
      <c r="I935" s="1002"/>
      <c r="J935" s="1002"/>
      <c r="K935" s="1002"/>
      <c r="L935" s="1002"/>
      <c r="M935" s="1002"/>
      <c r="N935" s="1002"/>
      <c r="O935" s="476"/>
      <c r="P935" s="1002"/>
      <c r="Q935" s="476"/>
      <c r="R935" s="1002"/>
      <c r="S935" s="1002"/>
      <c r="T935" s="476"/>
      <c r="U935" s="476"/>
      <c r="V935" s="1002"/>
      <c r="W935" s="476"/>
      <c r="X935" s="476"/>
      <c r="Y935" s="476"/>
      <c r="Z935" s="476"/>
      <c r="AA935" s="476"/>
    </row>
    <row r="936" spans="1:27" ht="15" customHeight="1">
      <c r="A936" s="476"/>
      <c r="B936" s="476"/>
      <c r="C936" s="1001"/>
      <c r="D936" s="1002"/>
      <c r="E936" s="476"/>
      <c r="F936" s="1002"/>
      <c r="G936" s="1003"/>
      <c r="H936" s="1002"/>
      <c r="I936" s="1002"/>
      <c r="J936" s="1002"/>
      <c r="K936" s="1002"/>
      <c r="L936" s="1002"/>
      <c r="M936" s="1002"/>
      <c r="N936" s="1002"/>
      <c r="O936" s="476"/>
      <c r="P936" s="1002"/>
      <c r="Q936" s="476"/>
      <c r="R936" s="1002"/>
      <c r="S936" s="1002"/>
      <c r="T936" s="476"/>
      <c r="U936" s="476"/>
      <c r="V936" s="1002"/>
      <c r="W936" s="476"/>
      <c r="X936" s="476"/>
      <c r="Y936" s="476"/>
      <c r="Z936" s="476"/>
      <c r="AA936" s="476"/>
    </row>
    <row r="937" spans="1:27" ht="15" customHeight="1">
      <c r="A937" s="476"/>
      <c r="B937" s="476"/>
      <c r="C937" s="1001"/>
      <c r="D937" s="1002"/>
      <c r="E937" s="476"/>
      <c r="F937" s="1002"/>
      <c r="G937" s="1003"/>
      <c r="H937" s="1002"/>
      <c r="I937" s="1002"/>
      <c r="J937" s="1002"/>
      <c r="K937" s="1002"/>
      <c r="L937" s="1002"/>
      <c r="M937" s="1002"/>
      <c r="N937" s="1002"/>
      <c r="O937" s="476"/>
      <c r="P937" s="1002"/>
      <c r="Q937" s="476"/>
      <c r="R937" s="1002"/>
      <c r="S937" s="1002"/>
      <c r="T937" s="476"/>
      <c r="U937" s="476"/>
      <c r="V937" s="1002"/>
      <c r="W937" s="476"/>
      <c r="X937" s="476"/>
      <c r="Y937" s="476"/>
      <c r="Z937" s="476"/>
      <c r="AA937" s="476"/>
    </row>
    <row r="938" spans="1:27" ht="15" customHeight="1">
      <c r="A938" s="476"/>
      <c r="B938" s="476"/>
      <c r="C938" s="1001"/>
      <c r="D938" s="1002"/>
      <c r="E938" s="476"/>
      <c r="F938" s="1002"/>
      <c r="G938" s="1003"/>
      <c r="H938" s="1002"/>
      <c r="I938" s="1002"/>
      <c r="J938" s="1002"/>
      <c r="K938" s="1002"/>
      <c r="L938" s="1002"/>
      <c r="M938" s="1002"/>
      <c r="N938" s="1002"/>
      <c r="O938" s="476"/>
      <c r="P938" s="1002"/>
      <c r="Q938" s="476"/>
      <c r="R938" s="1002"/>
      <c r="S938" s="1002"/>
      <c r="T938" s="476"/>
      <c r="U938" s="476"/>
      <c r="V938" s="1002"/>
      <c r="W938" s="476"/>
      <c r="X938" s="476"/>
      <c r="Y938" s="476"/>
      <c r="Z938" s="476"/>
      <c r="AA938" s="476"/>
    </row>
    <row r="939" spans="1:27" ht="15" customHeight="1">
      <c r="A939" s="476"/>
      <c r="B939" s="476"/>
      <c r="C939" s="1001"/>
      <c r="D939" s="1002"/>
      <c r="E939" s="476"/>
      <c r="F939" s="1002"/>
      <c r="G939" s="1003"/>
      <c r="H939" s="1002"/>
      <c r="I939" s="1002"/>
      <c r="J939" s="1002"/>
      <c r="K939" s="1002"/>
      <c r="L939" s="1002"/>
      <c r="M939" s="1002"/>
      <c r="N939" s="1002"/>
      <c r="O939" s="476"/>
      <c r="P939" s="1002"/>
      <c r="Q939" s="476"/>
      <c r="R939" s="1002"/>
      <c r="S939" s="1002"/>
      <c r="T939" s="476"/>
      <c r="U939" s="476"/>
      <c r="V939" s="1002"/>
      <c r="W939" s="476"/>
      <c r="X939" s="476"/>
      <c r="Y939" s="476"/>
      <c r="Z939" s="476"/>
      <c r="AA939" s="476"/>
    </row>
    <row r="940" spans="1:27" ht="15" customHeight="1">
      <c r="A940" s="476"/>
      <c r="B940" s="476"/>
      <c r="C940" s="1001"/>
      <c r="D940" s="1002"/>
      <c r="E940" s="476"/>
      <c r="F940" s="1002"/>
      <c r="G940" s="1003"/>
      <c r="H940" s="1002"/>
      <c r="I940" s="1002"/>
      <c r="J940" s="1002"/>
      <c r="K940" s="1002"/>
      <c r="L940" s="1002"/>
      <c r="M940" s="1002"/>
      <c r="N940" s="1002"/>
      <c r="O940" s="476"/>
      <c r="P940" s="1002"/>
      <c r="Q940" s="476"/>
      <c r="R940" s="1002"/>
      <c r="S940" s="1002"/>
      <c r="T940" s="476"/>
      <c r="U940" s="476"/>
      <c r="V940" s="1002"/>
      <c r="W940" s="476"/>
      <c r="X940" s="476"/>
      <c r="Y940" s="476"/>
      <c r="Z940" s="476"/>
      <c r="AA940" s="476"/>
    </row>
    <row r="941" spans="1:27" ht="15" customHeight="1">
      <c r="A941" s="476"/>
      <c r="B941" s="476"/>
      <c r="C941" s="1001"/>
      <c r="D941" s="1002"/>
      <c r="E941" s="476"/>
      <c r="F941" s="1002"/>
      <c r="G941" s="1003"/>
      <c r="H941" s="1002"/>
      <c r="I941" s="1002"/>
      <c r="J941" s="1002"/>
      <c r="K941" s="1002"/>
      <c r="L941" s="1002"/>
      <c r="M941" s="1002"/>
      <c r="N941" s="1002"/>
      <c r="O941" s="476"/>
      <c r="P941" s="1002"/>
      <c r="Q941" s="476"/>
      <c r="R941" s="1002"/>
      <c r="S941" s="1002"/>
      <c r="T941" s="476"/>
      <c r="U941" s="476"/>
      <c r="V941" s="1002"/>
      <c r="W941" s="476"/>
      <c r="X941" s="476"/>
      <c r="Y941" s="476"/>
      <c r="Z941" s="476"/>
      <c r="AA941" s="476"/>
    </row>
    <row r="942" spans="1:27" ht="15" customHeight="1">
      <c r="A942" s="476"/>
      <c r="B942" s="476"/>
      <c r="C942" s="1001"/>
      <c r="D942" s="1002"/>
      <c r="E942" s="476"/>
      <c r="F942" s="1002"/>
      <c r="G942" s="1003"/>
      <c r="H942" s="1002"/>
      <c r="I942" s="1002"/>
      <c r="J942" s="1002"/>
      <c r="K942" s="1002"/>
      <c r="L942" s="1002"/>
      <c r="M942" s="1002"/>
      <c r="N942" s="1002"/>
      <c r="O942" s="476"/>
      <c r="P942" s="1002"/>
      <c r="Q942" s="476"/>
      <c r="R942" s="1002"/>
      <c r="S942" s="1002"/>
      <c r="T942" s="476"/>
      <c r="U942" s="476"/>
      <c r="V942" s="1002"/>
      <c r="W942" s="476"/>
      <c r="X942" s="476"/>
      <c r="Y942" s="476"/>
      <c r="Z942" s="476"/>
      <c r="AA942" s="476"/>
    </row>
    <row r="943" spans="1:27" ht="15" customHeight="1">
      <c r="A943" s="476"/>
      <c r="B943" s="476"/>
      <c r="C943" s="1001"/>
      <c r="D943" s="1002"/>
      <c r="E943" s="476"/>
      <c r="F943" s="1002"/>
      <c r="G943" s="1003"/>
      <c r="H943" s="1002"/>
      <c r="I943" s="1002"/>
      <c r="J943" s="1002"/>
      <c r="K943" s="1002"/>
      <c r="L943" s="1002"/>
      <c r="M943" s="1002"/>
      <c r="N943" s="1002"/>
      <c r="O943" s="476"/>
      <c r="P943" s="1002"/>
      <c r="Q943" s="476"/>
      <c r="R943" s="1002"/>
      <c r="S943" s="1002"/>
      <c r="T943" s="476"/>
      <c r="U943" s="476"/>
      <c r="V943" s="1002"/>
      <c r="W943" s="476"/>
      <c r="X943" s="476"/>
      <c r="Y943" s="476"/>
      <c r="Z943" s="476"/>
      <c r="AA943" s="476"/>
    </row>
    <row r="944" spans="1:27" ht="15" customHeight="1">
      <c r="A944" s="476"/>
      <c r="B944" s="476"/>
      <c r="C944" s="1001"/>
      <c r="D944" s="1002"/>
      <c r="E944" s="476"/>
      <c r="F944" s="1002"/>
      <c r="G944" s="1003"/>
      <c r="H944" s="1002"/>
      <c r="I944" s="1002"/>
      <c r="J944" s="1002"/>
      <c r="K944" s="1002"/>
      <c r="L944" s="1002"/>
      <c r="M944" s="1002"/>
      <c r="N944" s="1002"/>
      <c r="O944" s="476"/>
      <c r="P944" s="1002"/>
      <c r="Q944" s="476"/>
      <c r="R944" s="1002"/>
      <c r="S944" s="1002"/>
      <c r="T944" s="476"/>
      <c r="U944" s="476"/>
      <c r="V944" s="1002"/>
      <c r="W944" s="476"/>
      <c r="X944" s="476"/>
      <c r="Y944" s="476"/>
      <c r="Z944" s="476"/>
      <c r="AA944" s="476"/>
    </row>
    <row r="945" spans="1:27" ht="15" customHeight="1">
      <c r="A945" s="476"/>
      <c r="B945" s="476"/>
      <c r="C945" s="1001"/>
      <c r="D945" s="1002"/>
      <c r="E945" s="476"/>
      <c r="F945" s="1002"/>
      <c r="G945" s="1003"/>
      <c r="H945" s="1002"/>
      <c r="I945" s="1002"/>
      <c r="J945" s="1002"/>
      <c r="K945" s="1002"/>
      <c r="L945" s="1002"/>
      <c r="M945" s="1002"/>
      <c r="N945" s="1002"/>
      <c r="O945" s="476"/>
      <c r="P945" s="1002"/>
      <c r="Q945" s="476"/>
      <c r="R945" s="1002"/>
      <c r="S945" s="1002"/>
      <c r="T945" s="476"/>
      <c r="U945" s="476"/>
      <c r="V945" s="1002"/>
      <c r="W945" s="476"/>
      <c r="X945" s="476"/>
      <c r="Y945" s="476"/>
      <c r="Z945" s="476"/>
      <c r="AA945" s="476"/>
    </row>
    <row r="946" spans="1:27" ht="15" customHeight="1">
      <c r="A946" s="476"/>
      <c r="B946" s="476"/>
      <c r="C946" s="1001"/>
      <c r="D946" s="1002"/>
      <c r="E946" s="476"/>
      <c r="F946" s="1002"/>
      <c r="G946" s="1003"/>
      <c r="H946" s="1002"/>
      <c r="I946" s="1002"/>
      <c r="J946" s="1002"/>
      <c r="K946" s="1002"/>
      <c r="L946" s="1002"/>
      <c r="M946" s="1002"/>
      <c r="N946" s="1002"/>
      <c r="O946" s="476"/>
      <c r="P946" s="1002"/>
      <c r="Q946" s="476"/>
      <c r="R946" s="1002"/>
      <c r="S946" s="1002"/>
      <c r="T946" s="476"/>
      <c r="U946" s="476"/>
      <c r="V946" s="1002"/>
      <c r="W946" s="476"/>
      <c r="X946" s="476"/>
      <c r="Y946" s="476"/>
      <c r="Z946" s="476"/>
      <c r="AA946" s="476"/>
    </row>
    <row r="947" spans="1:27" ht="15" customHeight="1">
      <c r="A947" s="476"/>
      <c r="B947" s="476"/>
      <c r="C947" s="1001"/>
      <c r="D947" s="1002"/>
      <c r="E947" s="476"/>
      <c r="F947" s="1002"/>
      <c r="G947" s="1003"/>
      <c r="H947" s="1002"/>
      <c r="I947" s="1002"/>
      <c r="J947" s="1002"/>
      <c r="K947" s="1002"/>
      <c r="L947" s="1002"/>
      <c r="M947" s="1002"/>
      <c r="N947" s="1002"/>
      <c r="O947" s="476"/>
      <c r="P947" s="1002"/>
      <c r="Q947" s="476"/>
      <c r="R947" s="1002"/>
      <c r="S947" s="1002"/>
      <c r="T947" s="476"/>
      <c r="U947" s="476"/>
      <c r="V947" s="1002"/>
      <c r="W947" s="476"/>
      <c r="X947" s="476"/>
      <c r="Y947" s="476"/>
      <c r="Z947" s="476"/>
      <c r="AA947" s="476"/>
    </row>
    <row r="948" spans="1:27" ht="15" customHeight="1">
      <c r="A948" s="476"/>
      <c r="B948" s="476"/>
      <c r="C948" s="1001"/>
      <c r="D948" s="1002"/>
      <c r="E948" s="476"/>
      <c r="F948" s="1002"/>
      <c r="G948" s="1003"/>
      <c r="H948" s="1002"/>
      <c r="I948" s="1002"/>
      <c r="J948" s="1002"/>
      <c r="K948" s="1002"/>
      <c r="L948" s="1002"/>
      <c r="M948" s="1002"/>
      <c r="N948" s="1002"/>
      <c r="O948" s="476"/>
      <c r="P948" s="1002"/>
      <c r="Q948" s="476"/>
      <c r="R948" s="1002"/>
      <c r="S948" s="1002"/>
      <c r="T948" s="476"/>
      <c r="U948" s="476"/>
      <c r="V948" s="1002"/>
      <c r="W948" s="476"/>
      <c r="X948" s="476"/>
      <c r="Y948" s="476"/>
      <c r="Z948" s="476"/>
      <c r="AA948" s="476"/>
    </row>
    <row r="949" spans="1:27" ht="15" customHeight="1">
      <c r="A949" s="476"/>
      <c r="B949" s="476"/>
      <c r="C949" s="1001"/>
      <c r="D949" s="1002"/>
      <c r="E949" s="476"/>
      <c r="F949" s="1002"/>
      <c r="G949" s="1003"/>
      <c r="H949" s="1002"/>
      <c r="I949" s="1002"/>
      <c r="J949" s="1002"/>
      <c r="K949" s="1002"/>
      <c r="L949" s="1002"/>
      <c r="M949" s="1002"/>
      <c r="N949" s="1002"/>
      <c r="O949" s="476"/>
      <c r="P949" s="1002"/>
      <c r="Q949" s="476"/>
      <c r="R949" s="1002"/>
      <c r="S949" s="1002"/>
      <c r="T949" s="476"/>
      <c r="U949" s="476"/>
      <c r="V949" s="1002"/>
      <c r="W949" s="476"/>
      <c r="X949" s="476"/>
      <c r="Y949" s="476"/>
      <c r="Z949" s="476"/>
      <c r="AA949" s="476"/>
    </row>
    <row r="950" spans="1:27" ht="15" customHeight="1">
      <c r="A950" s="476"/>
      <c r="B950" s="476"/>
      <c r="C950" s="1001"/>
      <c r="D950" s="1002"/>
      <c r="E950" s="476"/>
      <c r="F950" s="1002"/>
      <c r="G950" s="1003"/>
      <c r="H950" s="1002"/>
      <c r="I950" s="1002"/>
      <c r="J950" s="1002"/>
      <c r="K950" s="1002"/>
      <c r="L950" s="1002"/>
      <c r="M950" s="1002"/>
      <c r="N950" s="1002"/>
      <c r="O950" s="476"/>
      <c r="P950" s="1002"/>
      <c r="Q950" s="476"/>
      <c r="R950" s="1002"/>
      <c r="S950" s="1002"/>
      <c r="T950" s="476"/>
      <c r="U950" s="476"/>
      <c r="V950" s="1002"/>
      <c r="W950" s="476"/>
      <c r="X950" s="476"/>
      <c r="Y950" s="476"/>
      <c r="Z950" s="476"/>
      <c r="AA950" s="476"/>
    </row>
    <row r="951" spans="1:27" ht="15" customHeight="1">
      <c r="A951" s="476"/>
      <c r="B951" s="476"/>
      <c r="C951" s="1001"/>
      <c r="D951" s="1002"/>
      <c r="E951" s="476"/>
      <c r="F951" s="1002"/>
      <c r="G951" s="1003"/>
      <c r="H951" s="1002"/>
      <c r="I951" s="1002"/>
      <c r="J951" s="1002"/>
      <c r="K951" s="1002"/>
      <c r="L951" s="1002"/>
      <c r="M951" s="1002"/>
      <c r="N951" s="1002"/>
      <c r="O951" s="476"/>
      <c r="P951" s="1002"/>
      <c r="Q951" s="476"/>
      <c r="R951" s="1002"/>
      <c r="S951" s="1002"/>
      <c r="T951" s="476"/>
      <c r="U951" s="476"/>
      <c r="V951" s="1002"/>
      <c r="W951" s="476"/>
      <c r="X951" s="476"/>
      <c r="Y951" s="476"/>
      <c r="Z951" s="476"/>
      <c r="AA951" s="476"/>
    </row>
    <row r="952" spans="1:27" ht="15" customHeight="1">
      <c r="A952" s="476"/>
      <c r="B952" s="476"/>
      <c r="C952" s="1001"/>
      <c r="D952" s="1002"/>
      <c r="E952" s="476"/>
      <c r="F952" s="1002"/>
      <c r="G952" s="1003"/>
      <c r="H952" s="1002"/>
      <c r="I952" s="1002"/>
      <c r="J952" s="1002"/>
      <c r="K952" s="1002"/>
      <c r="L952" s="1002"/>
      <c r="M952" s="1002"/>
      <c r="N952" s="1002"/>
      <c r="O952" s="476"/>
      <c r="P952" s="1002"/>
      <c r="Q952" s="476"/>
      <c r="R952" s="1002"/>
      <c r="S952" s="1002"/>
      <c r="T952" s="476"/>
      <c r="U952" s="476"/>
      <c r="V952" s="1002"/>
      <c r="W952" s="476"/>
      <c r="X952" s="476"/>
      <c r="Y952" s="476"/>
      <c r="Z952" s="476"/>
      <c r="AA952" s="476"/>
    </row>
    <row r="953" spans="1:27" ht="15" customHeight="1">
      <c r="A953" s="476"/>
      <c r="B953" s="476"/>
      <c r="C953" s="1001"/>
      <c r="D953" s="1002"/>
      <c r="E953" s="476"/>
      <c r="F953" s="1002"/>
      <c r="G953" s="1003"/>
      <c r="H953" s="1002"/>
      <c r="I953" s="1002"/>
      <c r="J953" s="1002"/>
      <c r="K953" s="1002"/>
      <c r="L953" s="1002"/>
      <c r="M953" s="1002"/>
      <c r="N953" s="1002"/>
      <c r="O953" s="476"/>
      <c r="P953" s="1002"/>
      <c r="Q953" s="476"/>
      <c r="R953" s="1002"/>
      <c r="S953" s="1002"/>
      <c r="T953" s="476"/>
      <c r="U953" s="476"/>
      <c r="V953" s="1002"/>
      <c r="W953" s="476"/>
      <c r="X953" s="476"/>
      <c r="Y953" s="476"/>
      <c r="Z953" s="476"/>
      <c r="AA953" s="476"/>
    </row>
    <row r="954" spans="1:27" ht="15" customHeight="1">
      <c r="A954" s="476"/>
      <c r="B954" s="476"/>
      <c r="C954" s="1001"/>
      <c r="D954" s="1002"/>
      <c r="E954" s="476"/>
      <c r="F954" s="1002"/>
      <c r="G954" s="1003"/>
      <c r="H954" s="1002"/>
      <c r="I954" s="1002"/>
      <c r="J954" s="1002"/>
      <c r="K954" s="1002"/>
      <c r="L954" s="1002"/>
      <c r="M954" s="1002"/>
      <c r="N954" s="1002"/>
      <c r="O954" s="476"/>
      <c r="P954" s="1002"/>
      <c r="Q954" s="476"/>
      <c r="R954" s="1002"/>
      <c r="S954" s="1002"/>
      <c r="T954" s="476"/>
      <c r="U954" s="476"/>
      <c r="V954" s="1002"/>
      <c r="W954" s="476"/>
      <c r="X954" s="476"/>
      <c r="Y954" s="476"/>
      <c r="Z954" s="476"/>
      <c r="AA954" s="476"/>
    </row>
    <row r="955" spans="1:27" ht="15" customHeight="1">
      <c r="A955" s="476"/>
      <c r="B955" s="476"/>
      <c r="C955" s="1001"/>
      <c r="D955" s="1002"/>
      <c r="E955" s="476"/>
      <c r="F955" s="1002"/>
      <c r="G955" s="1003"/>
      <c r="H955" s="1002"/>
      <c r="I955" s="1002"/>
      <c r="J955" s="1002"/>
      <c r="K955" s="1002"/>
      <c r="L955" s="1002"/>
      <c r="M955" s="1002"/>
      <c r="N955" s="1002"/>
      <c r="O955" s="476"/>
      <c r="P955" s="1002"/>
      <c r="Q955" s="476"/>
      <c r="R955" s="1002"/>
      <c r="S955" s="1002"/>
      <c r="T955" s="476"/>
      <c r="U955" s="476"/>
      <c r="V955" s="1002"/>
      <c r="W955" s="476"/>
      <c r="X955" s="476"/>
      <c r="Y955" s="476"/>
      <c r="Z955" s="476"/>
      <c r="AA955" s="476"/>
    </row>
    <row r="956" spans="1:27" ht="15" customHeight="1">
      <c r="A956" s="476"/>
      <c r="B956" s="476"/>
      <c r="C956" s="1001"/>
      <c r="D956" s="1002"/>
      <c r="E956" s="476"/>
      <c r="F956" s="1002"/>
      <c r="G956" s="1003"/>
      <c r="H956" s="1002"/>
      <c r="I956" s="1002"/>
      <c r="J956" s="1002"/>
      <c r="K956" s="1002"/>
      <c r="L956" s="1002"/>
      <c r="M956" s="1002"/>
      <c r="N956" s="1002"/>
      <c r="O956" s="476"/>
      <c r="P956" s="1002"/>
      <c r="Q956" s="476"/>
      <c r="R956" s="1002"/>
      <c r="S956" s="1002"/>
      <c r="T956" s="476"/>
      <c r="U956" s="476"/>
      <c r="V956" s="1002"/>
      <c r="W956" s="476"/>
      <c r="X956" s="476"/>
      <c r="Y956" s="476"/>
      <c r="Z956" s="476"/>
      <c r="AA956" s="476"/>
    </row>
    <row r="957" spans="1:27" ht="15" customHeight="1">
      <c r="A957" s="476"/>
      <c r="B957" s="476"/>
      <c r="C957" s="1001"/>
      <c r="D957" s="1002"/>
      <c r="E957" s="476"/>
      <c r="F957" s="1002"/>
      <c r="G957" s="1003"/>
      <c r="H957" s="1002"/>
      <c r="I957" s="1002"/>
      <c r="J957" s="1002"/>
      <c r="K957" s="1002"/>
      <c r="L957" s="1002"/>
      <c r="M957" s="1002"/>
      <c r="N957" s="1002"/>
      <c r="O957" s="476"/>
      <c r="P957" s="1002"/>
      <c r="Q957" s="476"/>
      <c r="R957" s="1002"/>
      <c r="S957" s="1002"/>
      <c r="T957" s="476"/>
      <c r="U957" s="476"/>
      <c r="V957" s="1002"/>
      <c r="W957" s="476"/>
      <c r="X957" s="476"/>
      <c r="Y957" s="476"/>
      <c r="Z957" s="476"/>
      <c r="AA957" s="476"/>
    </row>
    <row r="958" spans="1:27" ht="15" customHeight="1">
      <c r="A958" s="476"/>
      <c r="B958" s="476"/>
      <c r="C958" s="1001"/>
      <c r="D958" s="1002"/>
      <c r="E958" s="476"/>
      <c r="F958" s="1002"/>
      <c r="G958" s="1003"/>
      <c r="H958" s="1002"/>
      <c r="I958" s="1002"/>
      <c r="J958" s="1002"/>
      <c r="K958" s="1002"/>
      <c r="L958" s="1002"/>
      <c r="M958" s="1002"/>
      <c r="N958" s="1002"/>
      <c r="O958" s="476"/>
      <c r="P958" s="1002"/>
      <c r="Q958" s="476"/>
      <c r="R958" s="1002"/>
      <c r="S958" s="1002"/>
      <c r="T958" s="476"/>
      <c r="U958" s="476"/>
      <c r="V958" s="1002"/>
      <c r="W958" s="476"/>
      <c r="X958" s="476"/>
      <c r="Y958" s="476"/>
      <c r="Z958" s="476"/>
      <c r="AA958" s="476"/>
    </row>
    <row r="959" spans="1:27" ht="15" customHeight="1">
      <c r="A959" s="476"/>
      <c r="B959" s="476"/>
      <c r="C959" s="1001"/>
      <c r="D959" s="1002"/>
      <c r="E959" s="476"/>
      <c r="F959" s="1002"/>
      <c r="G959" s="1003"/>
      <c r="H959" s="1002"/>
      <c r="I959" s="1002"/>
      <c r="J959" s="1002"/>
      <c r="K959" s="1002"/>
      <c r="L959" s="1002"/>
      <c r="M959" s="1002"/>
      <c r="N959" s="1002"/>
      <c r="O959" s="476"/>
      <c r="P959" s="1002"/>
      <c r="Q959" s="476"/>
      <c r="R959" s="1002"/>
      <c r="S959" s="1002"/>
      <c r="T959" s="476"/>
      <c r="U959" s="476"/>
      <c r="V959" s="1002"/>
      <c r="W959" s="476"/>
      <c r="X959" s="476"/>
      <c r="Y959" s="476"/>
      <c r="Z959" s="476"/>
      <c r="AA959" s="476"/>
    </row>
    <row r="960" spans="1:27" ht="15" customHeight="1">
      <c r="A960" s="476"/>
      <c r="B960" s="476"/>
      <c r="C960" s="1001"/>
      <c r="D960" s="1002"/>
      <c r="E960" s="476"/>
      <c r="F960" s="1002"/>
      <c r="G960" s="1003"/>
      <c r="H960" s="1002"/>
      <c r="I960" s="1002"/>
      <c r="J960" s="1002"/>
      <c r="K960" s="1002"/>
      <c r="L960" s="1002"/>
      <c r="M960" s="1002"/>
      <c r="N960" s="1002"/>
      <c r="O960" s="476"/>
      <c r="P960" s="1002"/>
      <c r="Q960" s="476"/>
      <c r="R960" s="1002"/>
      <c r="S960" s="1002"/>
      <c r="T960" s="476"/>
      <c r="U960" s="476"/>
      <c r="V960" s="1002"/>
      <c r="W960" s="476"/>
      <c r="X960" s="476"/>
      <c r="Y960" s="476"/>
      <c r="Z960" s="476"/>
      <c r="AA960" s="476"/>
    </row>
    <row r="961" spans="1:27" ht="15" customHeight="1">
      <c r="A961" s="476"/>
      <c r="B961" s="476"/>
      <c r="C961" s="1001"/>
      <c r="D961" s="1002"/>
      <c r="E961" s="476"/>
      <c r="F961" s="1002"/>
      <c r="G961" s="1003"/>
      <c r="H961" s="1002"/>
      <c r="I961" s="1002"/>
      <c r="J961" s="1002"/>
      <c r="K961" s="1002"/>
      <c r="L961" s="1002"/>
      <c r="M961" s="1002"/>
      <c r="N961" s="1002"/>
      <c r="O961" s="476"/>
      <c r="P961" s="1002"/>
      <c r="Q961" s="476"/>
      <c r="R961" s="1002"/>
      <c r="S961" s="1002"/>
      <c r="T961" s="476"/>
      <c r="U961" s="476"/>
      <c r="V961" s="1002"/>
      <c r="W961" s="476"/>
      <c r="X961" s="476"/>
      <c r="Y961" s="476"/>
      <c r="Z961" s="476"/>
      <c r="AA961" s="476"/>
    </row>
    <row r="962" spans="1:27" ht="15" customHeight="1">
      <c r="A962" s="476"/>
      <c r="B962" s="476"/>
      <c r="C962" s="1001"/>
      <c r="D962" s="1002"/>
      <c r="E962" s="476"/>
      <c r="F962" s="1002"/>
      <c r="G962" s="1003"/>
      <c r="H962" s="1002"/>
      <c r="I962" s="1002"/>
      <c r="J962" s="1002"/>
      <c r="K962" s="1002"/>
      <c r="L962" s="1002"/>
      <c r="M962" s="1002"/>
      <c r="N962" s="1002"/>
      <c r="O962" s="476"/>
      <c r="P962" s="1002"/>
      <c r="Q962" s="476"/>
      <c r="R962" s="1002"/>
      <c r="S962" s="1002"/>
      <c r="T962" s="476"/>
      <c r="U962" s="476"/>
      <c r="V962" s="1002"/>
      <c r="W962" s="476"/>
      <c r="X962" s="476"/>
      <c r="Y962" s="476"/>
      <c r="Z962" s="476"/>
      <c r="AA962" s="476"/>
    </row>
    <row r="963" spans="1:27" ht="15" customHeight="1">
      <c r="A963" s="476"/>
      <c r="B963" s="476"/>
      <c r="C963" s="1001"/>
      <c r="D963" s="1002"/>
      <c r="E963" s="476"/>
      <c r="F963" s="1002"/>
      <c r="G963" s="1003"/>
      <c r="H963" s="1002"/>
      <c r="I963" s="1002"/>
      <c r="J963" s="1002"/>
      <c r="K963" s="1002"/>
      <c r="L963" s="1002"/>
      <c r="M963" s="1002"/>
      <c r="N963" s="1002"/>
      <c r="O963" s="476"/>
      <c r="P963" s="1002"/>
      <c r="Q963" s="476"/>
      <c r="R963" s="1002"/>
      <c r="S963" s="1002"/>
      <c r="T963" s="476"/>
      <c r="U963" s="476"/>
      <c r="V963" s="1002"/>
      <c r="W963" s="476"/>
      <c r="X963" s="476"/>
      <c r="Y963" s="476"/>
      <c r="Z963" s="476"/>
      <c r="AA963" s="476"/>
    </row>
    <row r="964" spans="1:27" ht="15" customHeight="1">
      <c r="A964" s="476"/>
      <c r="B964" s="476"/>
      <c r="C964" s="1001"/>
      <c r="D964" s="1002"/>
      <c r="E964" s="476"/>
      <c r="F964" s="1002"/>
      <c r="G964" s="1003"/>
      <c r="H964" s="1002"/>
      <c r="I964" s="1002"/>
      <c r="J964" s="1002"/>
      <c r="K964" s="1002"/>
      <c r="L964" s="1002"/>
      <c r="M964" s="1002"/>
      <c r="N964" s="1002"/>
      <c r="O964" s="476"/>
      <c r="P964" s="1002"/>
      <c r="Q964" s="476"/>
      <c r="R964" s="1002"/>
      <c r="S964" s="1002"/>
      <c r="T964" s="476"/>
      <c r="U964" s="476"/>
      <c r="V964" s="1002"/>
      <c r="W964" s="476"/>
      <c r="X964" s="476"/>
      <c r="Y964" s="476"/>
      <c r="Z964" s="476"/>
      <c r="AA964" s="476"/>
    </row>
    <row r="965" spans="1:27" ht="15" customHeight="1">
      <c r="A965" s="476"/>
      <c r="B965" s="476"/>
      <c r="C965" s="1001"/>
      <c r="D965" s="1002"/>
      <c r="E965" s="476"/>
      <c r="F965" s="1002"/>
      <c r="G965" s="1003"/>
      <c r="H965" s="1002"/>
      <c r="I965" s="1002"/>
      <c r="J965" s="1002"/>
      <c r="K965" s="1002"/>
      <c r="L965" s="1002"/>
      <c r="M965" s="1002"/>
      <c r="N965" s="1002"/>
      <c r="O965" s="476"/>
      <c r="P965" s="1002"/>
      <c r="Q965" s="476"/>
      <c r="R965" s="1002"/>
      <c r="S965" s="1002"/>
      <c r="T965" s="476"/>
      <c r="U965" s="476"/>
      <c r="V965" s="1002"/>
      <c r="W965" s="476"/>
      <c r="X965" s="476"/>
      <c r="Y965" s="476"/>
      <c r="Z965" s="476"/>
      <c r="AA965" s="476"/>
    </row>
    <row r="966" spans="1:27" ht="15" customHeight="1">
      <c r="A966" s="476"/>
      <c r="B966" s="476"/>
      <c r="C966" s="1001"/>
      <c r="D966" s="1002"/>
      <c r="E966" s="476"/>
      <c r="F966" s="1002"/>
      <c r="G966" s="1003"/>
      <c r="H966" s="1002"/>
      <c r="I966" s="1002"/>
      <c r="J966" s="1002"/>
      <c r="K966" s="1002"/>
      <c r="L966" s="1002"/>
      <c r="M966" s="1002"/>
      <c r="N966" s="1002"/>
      <c r="O966" s="476"/>
      <c r="P966" s="1002"/>
      <c r="Q966" s="476"/>
      <c r="R966" s="1002"/>
      <c r="S966" s="1002"/>
      <c r="T966" s="476"/>
      <c r="U966" s="476"/>
      <c r="V966" s="1002"/>
      <c r="W966" s="476"/>
      <c r="X966" s="476"/>
      <c r="Y966" s="476"/>
      <c r="Z966" s="476"/>
      <c r="AA966" s="476"/>
    </row>
    <row r="967" spans="1:27" ht="15" customHeight="1">
      <c r="A967" s="476"/>
      <c r="B967" s="476"/>
      <c r="C967" s="1001"/>
      <c r="D967" s="1002"/>
      <c r="E967" s="476"/>
      <c r="F967" s="1002"/>
      <c r="G967" s="1003"/>
      <c r="H967" s="1002"/>
      <c r="I967" s="1002"/>
      <c r="J967" s="1002"/>
      <c r="K967" s="1002"/>
      <c r="L967" s="1002"/>
      <c r="M967" s="1002"/>
      <c r="N967" s="1002"/>
      <c r="O967" s="476"/>
      <c r="P967" s="1002"/>
      <c r="Q967" s="476"/>
      <c r="R967" s="1002"/>
      <c r="S967" s="1002"/>
      <c r="T967" s="476"/>
      <c r="U967" s="476"/>
      <c r="V967" s="1002"/>
      <c r="W967" s="476"/>
      <c r="X967" s="476"/>
      <c r="Y967" s="476"/>
      <c r="Z967" s="476"/>
      <c r="AA967" s="476"/>
    </row>
    <row r="968" spans="1:27" ht="15" customHeight="1">
      <c r="A968" s="476"/>
      <c r="B968" s="476"/>
      <c r="C968" s="1001"/>
      <c r="D968" s="1002"/>
      <c r="E968" s="476"/>
      <c r="F968" s="1002"/>
      <c r="G968" s="1003"/>
      <c r="H968" s="1002"/>
      <c r="I968" s="1002"/>
      <c r="J968" s="1002"/>
      <c r="K968" s="1002"/>
      <c r="L968" s="1002"/>
      <c r="M968" s="1002"/>
      <c r="N968" s="1002"/>
      <c r="O968" s="476"/>
      <c r="P968" s="1002"/>
      <c r="Q968" s="476"/>
      <c r="R968" s="1002"/>
      <c r="S968" s="1002"/>
      <c r="T968" s="476"/>
      <c r="U968" s="476"/>
      <c r="V968" s="1002"/>
      <c r="W968" s="476"/>
      <c r="X968" s="476"/>
      <c r="Y968" s="476"/>
      <c r="Z968" s="476"/>
      <c r="AA968" s="476"/>
    </row>
    <row r="969" spans="1:27" ht="15" customHeight="1">
      <c r="A969" s="476"/>
      <c r="B969" s="476"/>
      <c r="C969" s="1001"/>
      <c r="D969" s="1002"/>
      <c r="E969" s="476"/>
      <c r="F969" s="1002"/>
      <c r="G969" s="1003"/>
      <c r="H969" s="1002"/>
      <c r="I969" s="1002"/>
      <c r="J969" s="1002"/>
      <c r="K969" s="1002"/>
      <c r="L969" s="1002"/>
      <c r="M969" s="1002"/>
      <c r="N969" s="1002"/>
      <c r="O969" s="476"/>
      <c r="P969" s="1002"/>
      <c r="Q969" s="476"/>
      <c r="R969" s="1002"/>
      <c r="S969" s="1002"/>
      <c r="T969" s="476"/>
      <c r="U969" s="476"/>
      <c r="V969" s="1002"/>
      <c r="W969" s="476"/>
      <c r="X969" s="476"/>
      <c r="Y969" s="476"/>
      <c r="Z969" s="476"/>
      <c r="AA969" s="476"/>
    </row>
    <row r="970" spans="1:27" ht="15" customHeight="1">
      <c r="A970" s="476"/>
      <c r="B970" s="476"/>
      <c r="C970" s="1001"/>
      <c r="D970" s="1002"/>
      <c r="E970" s="476"/>
      <c r="F970" s="1002"/>
      <c r="G970" s="1003"/>
      <c r="H970" s="1002"/>
      <c r="I970" s="1002"/>
      <c r="J970" s="1002"/>
      <c r="K970" s="1002"/>
      <c r="L970" s="1002"/>
      <c r="M970" s="1002"/>
      <c r="N970" s="1002"/>
      <c r="O970" s="476"/>
      <c r="P970" s="1002"/>
      <c r="Q970" s="476"/>
      <c r="R970" s="1002"/>
      <c r="S970" s="1002"/>
      <c r="T970" s="476"/>
      <c r="U970" s="476"/>
      <c r="V970" s="1002"/>
      <c r="W970" s="476"/>
      <c r="X970" s="476"/>
      <c r="Y970" s="476"/>
      <c r="Z970" s="476"/>
      <c r="AA970" s="476"/>
    </row>
    <row r="971" spans="1:27" ht="15" customHeight="1">
      <c r="A971" s="476"/>
      <c r="B971" s="476"/>
      <c r="C971" s="1001"/>
      <c r="D971" s="1002"/>
      <c r="E971" s="476"/>
      <c r="F971" s="1002"/>
      <c r="G971" s="1003"/>
      <c r="H971" s="1002"/>
      <c r="I971" s="1002"/>
      <c r="J971" s="1002"/>
      <c r="K971" s="1002"/>
      <c r="L971" s="1002"/>
      <c r="M971" s="1002"/>
      <c r="N971" s="1002"/>
      <c r="O971" s="476"/>
      <c r="P971" s="1002"/>
      <c r="Q971" s="476"/>
      <c r="R971" s="1002"/>
      <c r="S971" s="1002"/>
      <c r="T971" s="476"/>
      <c r="U971" s="476"/>
      <c r="V971" s="1002"/>
      <c r="W971" s="476"/>
      <c r="X971" s="476"/>
      <c r="Y971" s="476"/>
      <c r="Z971" s="476"/>
      <c r="AA971" s="476"/>
    </row>
    <row r="972" spans="1:27" ht="15" customHeight="1">
      <c r="A972" s="476"/>
      <c r="B972" s="476"/>
      <c r="C972" s="1001"/>
      <c r="D972" s="1002"/>
      <c r="E972" s="476"/>
      <c r="F972" s="1002"/>
      <c r="G972" s="1003"/>
      <c r="H972" s="1002"/>
      <c r="I972" s="1002"/>
      <c r="J972" s="1002"/>
      <c r="K972" s="1002"/>
      <c r="L972" s="1002"/>
      <c r="M972" s="1002"/>
      <c r="N972" s="1002"/>
      <c r="O972" s="476"/>
      <c r="P972" s="1002"/>
      <c r="Q972" s="476"/>
      <c r="R972" s="1002"/>
      <c r="S972" s="1002"/>
      <c r="T972" s="476"/>
      <c r="U972" s="476"/>
      <c r="V972" s="1002"/>
      <c r="W972" s="476"/>
      <c r="X972" s="476"/>
      <c r="Y972" s="476"/>
      <c r="Z972" s="476"/>
      <c r="AA972" s="476"/>
    </row>
    <row r="973" spans="1:27" ht="15" customHeight="1">
      <c r="A973" s="476"/>
      <c r="B973" s="476"/>
      <c r="C973" s="1001"/>
      <c r="D973" s="1002"/>
      <c r="E973" s="476"/>
      <c r="F973" s="1002"/>
      <c r="G973" s="1003"/>
      <c r="H973" s="1002"/>
      <c r="I973" s="1002"/>
      <c r="J973" s="1002"/>
      <c r="K973" s="1002"/>
      <c r="L973" s="1002"/>
      <c r="M973" s="1002"/>
      <c r="N973" s="1002"/>
      <c r="O973" s="476"/>
      <c r="P973" s="1002"/>
      <c r="Q973" s="476"/>
      <c r="R973" s="1002"/>
      <c r="S973" s="1002"/>
      <c r="T973" s="476"/>
      <c r="U973" s="476"/>
      <c r="V973" s="1002"/>
      <c r="W973" s="476"/>
      <c r="X973" s="476"/>
      <c r="Y973" s="476"/>
      <c r="Z973" s="476"/>
      <c r="AA973" s="476"/>
    </row>
    <row r="974" spans="1:27" ht="15" customHeight="1">
      <c r="A974" s="476"/>
      <c r="B974" s="476"/>
      <c r="C974" s="1001"/>
      <c r="D974" s="1002"/>
      <c r="E974" s="476"/>
      <c r="F974" s="1002"/>
      <c r="G974" s="1003"/>
      <c r="H974" s="1002"/>
      <c r="I974" s="1002"/>
      <c r="J974" s="1002"/>
      <c r="K974" s="1002"/>
      <c r="L974" s="1002"/>
      <c r="M974" s="1002"/>
      <c r="N974" s="1002"/>
      <c r="O974" s="476"/>
      <c r="P974" s="1002"/>
      <c r="Q974" s="476"/>
      <c r="R974" s="1002"/>
      <c r="S974" s="1002"/>
      <c r="T974" s="476"/>
      <c r="U974" s="476"/>
      <c r="V974" s="1002"/>
      <c r="W974" s="476"/>
      <c r="X974" s="476"/>
      <c r="Y974" s="476"/>
      <c r="Z974" s="476"/>
      <c r="AA974" s="476"/>
    </row>
    <row r="975" spans="1:27" ht="15" customHeight="1">
      <c r="A975" s="476"/>
      <c r="B975" s="476"/>
      <c r="C975" s="1001"/>
      <c r="D975" s="1002"/>
      <c r="E975" s="476"/>
      <c r="F975" s="1002"/>
      <c r="G975" s="1003"/>
      <c r="H975" s="1002"/>
      <c r="I975" s="1002"/>
      <c r="J975" s="1002"/>
      <c r="K975" s="1002"/>
      <c r="L975" s="1002"/>
      <c r="M975" s="1002"/>
      <c r="N975" s="1002"/>
      <c r="O975" s="476"/>
      <c r="P975" s="1002"/>
      <c r="Q975" s="476"/>
      <c r="R975" s="1002"/>
      <c r="S975" s="1002"/>
      <c r="T975" s="476"/>
      <c r="U975" s="476"/>
      <c r="V975" s="1002"/>
      <c r="W975" s="476"/>
      <c r="X975" s="476"/>
      <c r="Y975" s="476"/>
      <c r="Z975" s="476"/>
      <c r="AA975" s="476"/>
    </row>
    <row r="976" spans="1:27" ht="15" customHeight="1">
      <c r="A976" s="476"/>
      <c r="B976" s="476"/>
      <c r="C976" s="1001"/>
      <c r="D976" s="1002"/>
      <c r="E976" s="476"/>
      <c r="F976" s="1002"/>
      <c r="G976" s="1003"/>
      <c r="H976" s="1002"/>
      <c r="I976" s="1002"/>
      <c r="J976" s="1002"/>
      <c r="K976" s="1002"/>
      <c r="L976" s="1002"/>
      <c r="M976" s="1002"/>
      <c r="N976" s="1002"/>
      <c r="O976" s="476"/>
      <c r="P976" s="1002"/>
      <c r="Q976" s="476"/>
      <c r="R976" s="1002"/>
      <c r="S976" s="1002"/>
      <c r="T976" s="476"/>
      <c r="U976" s="476"/>
      <c r="V976" s="1002"/>
      <c r="W976" s="476"/>
      <c r="X976" s="476"/>
      <c r="Y976" s="476"/>
      <c r="Z976" s="476"/>
      <c r="AA976" s="476"/>
    </row>
    <row r="977" spans="1:27" ht="15" customHeight="1">
      <c r="A977" s="476"/>
      <c r="B977" s="476"/>
      <c r="C977" s="1001"/>
      <c r="D977" s="1002"/>
      <c r="E977" s="476"/>
      <c r="F977" s="1002"/>
      <c r="G977" s="1003"/>
      <c r="H977" s="1002"/>
      <c r="I977" s="1002"/>
      <c r="J977" s="1002"/>
      <c r="K977" s="1002"/>
      <c r="L977" s="1002"/>
      <c r="M977" s="1002"/>
      <c r="N977" s="1002"/>
      <c r="O977" s="476"/>
      <c r="P977" s="1002"/>
      <c r="Q977" s="476"/>
      <c r="R977" s="1002"/>
      <c r="S977" s="1002"/>
      <c r="T977" s="476"/>
      <c r="U977" s="476"/>
      <c r="V977" s="1002"/>
      <c r="W977" s="476"/>
      <c r="X977" s="476"/>
      <c r="Y977" s="476"/>
      <c r="Z977" s="476"/>
      <c r="AA977" s="476"/>
    </row>
    <row r="978" spans="1:27" ht="15" customHeight="1">
      <c r="A978" s="476"/>
      <c r="B978" s="476"/>
      <c r="C978" s="1001"/>
      <c r="D978" s="1002"/>
      <c r="E978" s="476"/>
      <c r="F978" s="1002"/>
      <c r="G978" s="1003"/>
      <c r="H978" s="1002"/>
      <c r="I978" s="1002"/>
      <c r="J978" s="1002"/>
      <c r="K978" s="1002"/>
      <c r="L978" s="1002"/>
      <c r="M978" s="1002"/>
      <c r="N978" s="1002"/>
      <c r="O978" s="476"/>
      <c r="P978" s="1002"/>
      <c r="Q978" s="476"/>
      <c r="R978" s="1002"/>
      <c r="S978" s="1002"/>
      <c r="T978" s="476"/>
      <c r="U978" s="476"/>
      <c r="V978" s="1002"/>
      <c r="W978" s="476"/>
      <c r="X978" s="476"/>
      <c r="Y978" s="476"/>
      <c r="Z978" s="476"/>
      <c r="AA978" s="476"/>
    </row>
    <row r="979" spans="1:27" ht="15" customHeight="1">
      <c r="A979" s="476"/>
      <c r="B979" s="476"/>
      <c r="C979" s="1001"/>
      <c r="D979" s="1002"/>
      <c r="E979" s="476"/>
      <c r="F979" s="1002"/>
      <c r="G979" s="1003"/>
      <c r="H979" s="1002"/>
      <c r="I979" s="1002"/>
      <c r="J979" s="1002"/>
      <c r="K979" s="1002"/>
      <c r="L979" s="1002"/>
      <c r="M979" s="1002"/>
      <c r="N979" s="1002"/>
      <c r="O979" s="476"/>
      <c r="P979" s="1002"/>
      <c r="Q979" s="476"/>
      <c r="R979" s="1002"/>
      <c r="S979" s="1002"/>
      <c r="T979" s="476"/>
      <c r="U979" s="476"/>
      <c r="V979" s="1002"/>
      <c r="W979" s="476"/>
      <c r="X979" s="476"/>
      <c r="Y979" s="476"/>
      <c r="Z979" s="476"/>
      <c r="AA979" s="476"/>
    </row>
    <row r="980" spans="1:27" ht="15" customHeight="1">
      <c r="A980" s="476"/>
      <c r="B980" s="476"/>
      <c r="C980" s="1001"/>
      <c r="D980" s="1002"/>
      <c r="E980" s="476"/>
      <c r="F980" s="1002"/>
      <c r="G980" s="1003"/>
      <c r="H980" s="1002"/>
      <c r="I980" s="1002"/>
      <c r="J980" s="1002"/>
      <c r="K980" s="1002"/>
      <c r="L980" s="1002"/>
      <c r="M980" s="1002"/>
      <c r="N980" s="1002"/>
      <c r="O980" s="476"/>
      <c r="P980" s="1002"/>
      <c r="Q980" s="476"/>
      <c r="R980" s="1002"/>
      <c r="S980" s="1002"/>
      <c r="T980" s="476"/>
      <c r="U980" s="476"/>
      <c r="V980" s="1002"/>
      <c r="W980" s="476"/>
      <c r="X980" s="476"/>
      <c r="Y980" s="476"/>
      <c r="Z980" s="476"/>
      <c r="AA980" s="476"/>
    </row>
    <row r="981" spans="1:27" ht="15" customHeight="1">
      <c r="A981" s="476"/>
      <c r="B981" s="476"/>
      <c r="C981" s="1001"/>
      <c r="D981" s="1002"/>
      <c r="E981" s="476"/>
      <c r="F981" s="1002"/>
      <c r="G981" s="1003"/>
      <c r="H981" s="1002"/>
      <c r="I981" s="1002"/>
      <c r="J981" s="1002"/>
      <c r="K981" s="1002"/>
      <c r="L981" s="1002"/>
      <c r="M981" s="1002"/>
      <c r="N981" s="1002"/>
      <c r="O981" s="476"/>
      <c r="P981" s="1002"/>
      <c r="Q981" s="476"/>
      <c r="R981" s="1002"/>
      <c r="S981" s="1002"/>
      <c r="T981" s="476"/>
      <c r="U981" s="476"/>
      <c r="V981" s="1002"/>
      <c r="W981" s="476"/>
      <c r="X981" s="476"/>
      <c r="Y981" s="476"/>
      <c r="Z981" s="476"/>
      <c r="AA981" s="476"/>
    </row>
    <row r="982" spans="1:27" ht="15" customHeight="1">
      <c r="A982" s="476"/>
      <c r="B982" s="476"/>
      <c r="C982" s="1001"/>
      <c r="D982" s="1002"/>
      <c r="E982" s="476"/>
      <c r="F982" s="1002"/>
      <c r="G982" s="1003"/>
      <c r="H982" s="1002"/>
      <c r="I982" s="1002"/>
      <c r="J982" s="1002"/>
      <c r="K982" s="1002"/>
      <c r="L982" s="1002"/>
      <c r="M982" s="1002"/>
      <c r="N982" s="1002"/>
      <c r="O982" s="476"/>
      <c r="P982" s="1002"/>
      <c r="Q982" s="476"/>
      <c r="R982" s="1002"/>
      <c r="S982" s="1002"/>
      <c r="T982" s="476"/>
      <c r="U982" s="476"/>
      <c r="V982" s="1002"/>
      <c r="W982" s="476"/>
      <c r="X982" s="476"/>
      <c r="Y982" s="476"/>
      <c r="Z982" s="476"/>
      <c r="AA982" s="476"/>
    </row>
    <row r="983" spans="1:27" ht="15" customHeight="1">
      <c r="A983" s="476"/>
      <c r="B983" s="476"/>
      <c r="C983" s="1001"/>
      <c r="D983" s="1002"/>
      <c r="E983" s="476"/>
      <c r="F983" s="1002"/>
      <c r="G983" s="1003"/>
      <c r="H983" s="1002"/>
      <c r="I983" s="1002"/>
      <c r="J983" s="1002"/>
      <c r="K983" s="1002"/>
      <c r="L983" s="1002"/>
      <c r="M983" s="1002"/>
      <c r="N983" s="1002"/>
      <c r="O983" s="476"/>
      <c r="P983" s="1002"/>
      <c r="Q983" s="476"/>
      <c r="R983" s="1002"/>
      <c r="S983" s="1002"/>
      <c r="T983" s="476"/>
      <c r="U983" s="476"/>
      <c r="V983" s="1002"/>
      <c r="W983" s="476"/>
      <c r="X983" s="476"/>
      <c r="Y983" s="476"/>
      <c r="Z983" s="476"/>
      <c r="AA983" s="476"/>
    </row>
    <row r="984" spans="1:27" ht="15" customHeight="1">
      <c r="A984" s="476"/>
      <c r="B984" s="476"/>
      <c r="C984" s="1001"/>
      <c r="D984" s="1002"/>
      <c r="E984" s="476"/>
      <c r="F984" s="1002"/>
      <c r="G984" s="1003"/>
      <c r="H984" s="1002"/>
      <c r="I984" s="1002"/>
      <c r="J984" s="1002"/>
      <c r="K984" s="1002"/>
      <c r="L984" s="1002"/>
      <c r="M984" s="1002"/>
      <c r="N984" s="1002"/>
      <c r="O984" s="476"/>
      <c r="P984" s="1002"/>
      <c r="Q984" s="476"/>
      <c r="R984" s="1002"/>
      <c r="S984" s="1002"/>
      <c r="T984" s="476"/>
      <c r="U984" s="476"/>
      <c r="V984" s="1002"/>
      <c r="W984" s="476"/>
      <c r="X984" s="476"/>
      <c r="Y984" s="476"/>
      <c r="Z984" s="476"/>
      <c r="AA984" s="476"/>
    </row>
    <row r="985" spans="1:27" ht="15" customHeight="1">
      <c r="A985" s="476"/>
      <c r="B985" s="476"/>
      <c r="C985" s="1001"/>
      <c r="D985" s="1002"/>
      <c r="E985" s="476"/>
      <c r="F985" s="1002"/>
      <c r="G985" s="1003"/>
      <c r="H985" s="1002"/>
      <c r="I985" s="1002"/>
      <c r="J985" s="1002"/>
      <c r="K985" s="1002"/>
      <c r="L985" s="1002"/>
      <c r="M985" s="1002"/>
      <c r="N985" s="1002"/>
      <c r="O985" s="476"/>
      <c r="P985" s="1002"/>
      <c r="Q985" s="476"/>
      <c r="R985" s="1002"/>
      <c r="S985" s="1002"/>
      <c r="T985" s="476"/>
      <c r="U985" s="476"/>
      <c r="V985" s="1002"/>
      <c r="W985" s="476"/>
      <c r="X985" s="476"/>
      <c r="Y985" s="476"/>
      <c r="Z985" s="476"/>
      <c r="AA985" s="476"/>
    </row>
    <row r="986" spans="1:27" ht="15" customHeight="1">
      <c r="A986" s="476"/>
      <c r="B986" s="476"/>
      <c r="C986" s="1001"/>
      <c r="D986" s="1002"/>
      <c r="E986" s="476"/>
      <c r="F986" s="1002"/>
      <c r="G986" s="1003"/>
      <c r="H986" s="1002"/>
      <c r="I986" s="1002"/>
      <c r="J986" s="1002"/>
      <c r="K986" s="1002"/>
      <c r="L986" s="1002"/>
      <c r="M986" s="1002"/>
      <c r="N986" s="1002"/>
      <c r="O986" s="476"/>
      <c r="P986" s="1002"/>
      <c r="Q986" s="476"/>
      <c r="R986" s="1002"/>
      <c r="S986" s="1002"/>
      <c r="T986" s="476"/>
      <c r="U986" s="476"/>
      <c r="V986" s="1002"/>
      <c r="W986" s="476"/>
      <c r="X986" s="476"/>
      <c r="Y986" s="476"/>
      <c r="Z986" s="476"/>
      <c r="AA986" s="476"/>
    </row>
    <row r="987" spans="1:27" ht="15" customHeight="1">
      <c r="A987" s="476"/>
      <c r="B987" s="476"/>
      <c r="C987" s="1001"/>
      <c r="D987" s="1002"/>
      <c r="E987" s="476"/>
      <c r="F987" s="1002"/>
      <c r="G987" s="1003"/>
      <c r="H987" s="1002"/>
      <c r="I987" s="1002"/>
      <c r="J987" s="1002"/>
      <c r="K987" s="1002"/>
      <c r="L987" s="1002"/>
      <c r="M987" s="1002"/>
      <c r="N987" s="1002"/>
      <c r="O987" s="476"/>
      <c r="P987" s="1002"/>
      <c r="Q987" s="476"/>
      <c r="R987" s="1002"/>
      <c r="S987" s="1002"/>
      <c r="T987" s="476"/>
      <c r="U987" s="476"/>
      <c r="V987" s="1002"/>
      <c r="W987" s="476"/>
      <c r="X987" s="476"/>
      <c r="Y987" s="476"/>
      <c r="Z987" s="476"/>
      <c r="AA987" s="476"/>
    </row>
    <row r="988" spans="1:27" ht="15" customHeight="1">
      <c r="A988" s="476"/>
      <c r="B988" s="476"/>
      <c r="C988" s="1001"/>
      <c r="D988" s="1002"/>
      <c r="E988" s="476"/>
      <c r="F988" s="1002"/>
      <c r="G988" s="1003"/>
      <c r="H988" s="1002"/>
      <c r="I988" s="1002"/>
      <c r="J988" s="1002"/>
      <c r="K988" s="1002"/>
      <c r="L988" s="1002"/>
      <c r="M988" s="1002"/>
      <c r="N988" s="1002"/>
      <c r="O988" s="476"/>
      <c r="P988" s="1002"/>
      <c r="Q988" s="476"/>
      <c r="R988" s="1002"/>
      <c r="S988" s="1002"/>
      <c r="T988" s="476"/>
      <c r="U988" s="476"/>
      <c r="V988" s="1002"/>
      <c r="W988" s="476"/>
      <c r="X988" s="476"/>
      <c r="Y988" s="476"/>
      <c r="Z988" s="476"/>
      <c r="AA988" s="476"/>
    </row>
    <row r="989" spans="1:27" ht="15" customHeight="1">
      <c r="A989" s="476"/>
      <c r="B989" s="476"/>
      <c r="C989" s="1001"/>
      <c r="D989" s="1002"/>
      <c r="E989" s="476"/>
      <c r="F989" s="1002"/>
      <c r="G989" s="1003"/>
      <c r="H989" s="1002"/>
      <c r="I989" s="1002"/>
      <c r="J989" s="1002"/>
      <c r="K989" s="1002"/>
      <c r="L989" s="1002"/>
      <c r="M989" s="1002"/>
      <c r="N989" s="1002"/>
      <c r="O989" s="476"/>
      <c r="P989" s="1002"/>
      <c r="Q989" s="476"/>
      <c r="R989" s="1002"/>
      <c r="S989" s="1002"/>
      <c r="T989" s="476"/>
      <c r="U989" s="476"/>
      <c r="V989" s="1002"/>
      <c r="W989" s="476"/>
      <c r="X989" s="476"/>
      <c r="Y989" s="476"/>
      <c r="Z989" s="476"/>
      <c r="AA989" s="476"/>
    </row>
    <row r="990" spans="1:27" ht="15" customHeight="1">
      <c r="A990" s="476"/>
      <c r="B990" s="476"/>
      <c r="C990" s="1001"/>
      <c r="D990" s="1002"/>
      <c r="E990" s="476"/>
      <c r="F990" s="1002"/>
      <c r="G990" s="1003"/>
      <c r="H990" s="1002"/>
      <c r="I990" s="1002"/>
      <c r="J990" s="1002"/>
      <c r="K990" s="1002"/>
      <c r="L990" s="1002"/>
      <c r="M990" s="1002"/>
      <c r="N990" s="1002"/>
      <c r="O990" s="476"/>
      <c r="P990" s="1002"/>
      <c r="Q990" s="476"/>
      <c r="R990" s="1002"/>
      <c r="S990" s="1002"/>
      <c r="T990" s="476"/>
      <c r="U990" s="476"/>
      <c r="V990" s="1002"/>
      <c r="W990" s="476"/>
      <c r="X990" s="476"/>
      <c r="Y990" s="476"/>
      <c r="Z990" s="476"/>
      <c r="AA990" s="476"/>
    </row>
    <row r="991" spans="1:27" ht="15" customHeight="1">
      <c r="A991" s="476"/>
      <c r="B991" s="476"/>
      <c r="C991" s="1001"/>
      <c r="D991" s="1002"/>
      <c r="E991" s="476"/>
      <c r="F991" s="1002"/>
      <c r="G991" s="1003"/>
      <c r="H991" s="1002"/>
      <c r="I991" s="1002"/>
      <c r="J991" s="1002"/>
      <c r="K991" s="1002"/>
      <c r="L991" s="1002"/>
      <c r="M991" s="1002"/>
      <c r="N991" s="1002"/>
      <c r="O991" s="476"/>
      <c r="P991" s="1002"/>
      <c r="Q991" s="476"/>
      <c r="R991" s="1002"/>
      <c r="S991" s="1002"/>
      <c r="T991" s="476"/>
      <c r="U991" s="476"/>
      <c r="V991" s="1002"/>
      <c r="W991" s="476"/>
      <c r="X991" s="476"/>
      <c r="Y991" s="476"/>
      <c r="Z991" s="476"/>
      <c r="AA991" s="476"/>
    </row>
    <row r="992" spans="1:27" ht="15" customHeight="1">
      <c r="A992" s="476"/>
      <c r="B992" s="476"/>
      <c r="C992" s="1001"/>
      <c r="D992" s="1002"/>
      <c r="E992" s="476"/>
      <c r="F992" s="1002"/>
      <c r="G992" s="1003"/>
      <c r="H992" s="1002"/>
      <c r="I992" s="1002"/>
      <c r="J992" s="1002"/>
      <c r="K992" s="1002"/>
      <c r="L992" s="1002"/>
      <c r="M992" s="1002"/>
      <c r="N992" s="1002"/>
      <c r="O992" s="476"/>
      <c r="P992" s="1002"/>
      <c r="Q992" s="476"/>
      <c r="R992" s="1002"/>
      <c r="S992" s="1002"/>
      <c r="T992" s="476"/>
      <c r="U992" s="476"/>
      <c r="V992" s="1002"/>
      <c r="W992" s="476"/>
      <c r="X992" s="476"/>
      <c r="Y992" s="476"/>
      <c r="Z992" s="476"/>
      <c r="AA992" s="476"/>
    </row>
    <row r="993" spans="1:27" ht="15" customHeight="1">
      <c r="A993" s="476"/>
      <c r="B993" s="476"/>
      <c r="C993" s="1001"/>
      <c r="D993" s="1002"/>
      <c r="E993" s="476"/>
      <c r="F993" s="1002"/>
      <c r="G993" s="1003"/>
      <c r="H993" s="1002"/>
      <c r="I993" s="1002"/>
      <c r="J993" s="1002"/>
      <c r="K993" s="1002"/>
      <c r="L993" s="1002"/>
      <c r="M993" s="1002"/>
      <c r="N993" s="1002"/>
      <c r="O993" s="476"/>
      <c r="P993" s="1002"/>
      <c r="Q993" s="476"/>
      <c r="R993" s="1002"/>
      <c r="S993" s="1002"/>
      <c r="T993" s="476"/>
      <c r="U993" s="476"/>
      <c r="V993" s="1002"/>
      <c r="W993" s="476"/>
      <c r="X993" s="476"/>
      <c r="Y993" s="476"/>
      <c r="Z993" s="476"/>
      <c r="AA993" s="476"/>
    </row>
    <row r="994" spans="1:27" ht="15" customHeight="1">
      <c r="A994" s="476"/>
      <c r="B994" s="476"/>
      <c r="C994" s="1001"/>
      <c r="D994" s="1002"/>
      <c r="E994" s="476"/>
      <c r="F994" s="1002"/>
      <c r="G994" s="1003"/>
      <c r="H994" s="1002"/>
      <c r="I994" s="1002"/>
      <c r="J994" s="1002"/>
      <c r="K994" s="1002"/>
      <c r="L994" s="1002"/>
      <c r="M994" s="1002"/>
      <c r="N994" s="1002"/>
      <c r="O994" s="476"/>
      <c r="P994" s="1002"/>
      <c r="Q994" s="476"/>
      <c r="R994" s="1002"/>
      <c r="S994" s="1002"/>
      <c r="T994" s="476"/>
      <c r="U994" s="476"/>
      <c r="V994" s="1002"/>
      <c r="W994" s="476"/>
      <c r="X994" s="476"/>
      <c r="Y994" s="476"/>
      <c r="Z994" s="476"/>
      <c r="AA994" s="476"/>
    </row>
    <row r="995" spans="1:27" ht="15" customHeight="1">
      <c r="A995" s="476"/>
      <c r="B995" s="476"/>
      <c r="C995" s="1001"/>
      <c r="D995" s="1002"/>
      <c r="E995" s="476"/>
      <c r="F995" s="1002"/>
      <c r="G995" s="1003"/>
      <c r="H995" s="1002"/>
      <c r="I995" s="1002"/>
      <c r="J995" s="1002"/>
      <c r="K995" s="1002"/>
      <c r="L995" s="1002"/>
      <c r="M995" s="1002"/>
      <c r="N995" s="1002"/>
      <c r="O995" s="476"/>
      <c r="P995" s="1002"/>
      <c r="Q995" s="476"/>
      <c r="R995" s="1002"/>
      <c r="S995" s="1002"/>
      <c r="T995" s="476"/>
      <c r="U995" s="476"/>
      <c r="V995" s="1002"/>
      <c r="W995" s="476"/>
      <c r="X995" s="476"/>
      <c r="Y995" s="476"/>
      <c r="Z995" s="476"/>
      <c r="AA995" s="476"/>
    </row>
    <row r="996" spans="1:27" ht="15" customHeight="1">
      <c r="A996" s="476"/>
      <c r="B996" s="476"/>
      <c r="C996" s="1001"/>
      <c r="D996" s="1002"/>
      <c r="E996" s="476"/>
      <c r="F996" s="1002"/>
      <c r="G996" s="1003"/>
      <c r="H996" s="1002"/>
      <c r="I996" s="1002"/>
      <c r="J996" s="1002"/>
      <c r="K996" s="1002"/>
      <c r="L996" s="1002"/>
      <c r="M996" s="1002"/>
      <c r="N996" s="1002"/>
      <c r="O996" s="476"/>
      <c r="P996" s="1002"/>
      <c r="Q996" s="476"/>
      <c r="R996" s="1002"/>
      <c r="S996" s="1002"/>
      <c r="T996" s="476"/>
      <c r="U996" s="476"/>
      <c r="V996" s="1002"/>
      <c r="W996" s="476"/>
      <c r="X996" s="476"/>
      <c r="Y996" s="476"/>
      <c r="Z996" s="476"/>
      <c r="AA996" s="476"/>
    </row>
    <row r="997" spans="1:27" ht="15" customHeight="1">
      <c r="A997" s="476"/>
      <c r="B997" s="476"/>
      <c r="C997" s="1001"/>
      <c r="D997" s="1002"/>
      <c r="E997" s="476"/>
      <c r="F997" s="1002"/>
      <c r="G997" s="1003"/>
      <c r="H997" s="1002"/>
      <c r="I997" s="1002"/>
      <c r="J997" s="1002"/>
      <c r="K997" s="1002"/>
      <c r="L997" s="1002"/>
      <c r="M997" s="1002"/>
      <c r="N997" s="1002"/>
      <c r="O997" s="476"/>
      <c r="P997" s="1002"/>
      <c r="Q997" s="476"/>
      <c r="R997" s="1002"/>
      <c r="S997" s="1002"/>
      <c r="T997" s="476"/>
      <c r="U997" s="476"/>
      <c r="V997" s="1002"/>
      <c r="W997" s="476"/>
      <c r="X997" s="476"/>
      <c r="Y997" s="476"/>
      <c r="Z997" s="476"/>
      <c r="AA997" s="476"/>
    </row>
  </sheetData>
  <sheetProtection algorithmName="SHA-512" hashValue="rTg44GouLwnsPDj1eRLGH9mb5Qqkm4wBK/Dlb7qSzFyatMPE0cw9oDTHluqQ0s2e9bZ4F2r+XsB/WB2OvCeUmw==" saltValue="IMwlZaOnISSaT/i62m5+uw==" spinCount="100000" sheet="1" formatColumns="0" autoFilter="0"/>
  <autoFilter ref="A1:W77" xr:uid="{00000000-0009-0000-0000-000001000000}"/>
  <conditionalFormatting sqref="L2:L77">
    <cfRule type="cellIs" dxfId="380" priority="83" operator="equal">
      <formula>"HUBB"</formula>
    </cfRule>
    <cfRule type="cellIs" dxfId="379" priority="84" operator="equal">
      <formula>"ROSS"</formula>
    </cfRule>
    <cfRule type="cellIs" dxfId="378" priority="85" operator="equal">
      <formula>"COBB"</formula>
    </cfRule>
  </conditionalFormatting>
  <conditionalFormatting sqref="M1:M37 M39:M52 M54:M1048576">
    <cfRule type="cellIs" dxfId="377" priority="30" operator="equal">
      <formula>"800 SLOW - MALE"</formula>
    </cfRule>
  </conditionalFormatting>
  <conditionalFormatting sqref="M2:M77">
    <cfRule type="cellIs" dxfId="376" priority="4" operator="equal">
      <formula>"500 SLOW - MV"</formula>
    </cfRule>
    <cfRule type="cellIs" dxfId="375" priority="5" operator="equal">
      <formula>"500 FAST - MALE"</formula>
    </cfRule>
    <cfRule type="cellIs" dxfId="374" priority="6" operator="equal">
      <formula>"500 SLOW - MX"</formula>
    </cfRule>
    <cfRule type="cellIs" dxfId="373" priority="7" operator="equal">
      <formula>"EFFICIENCY PLUS_M77"</formula>
    </cfRule>
    <cfRule type="cellIs" dxfId="372" priority="8" operator="equal">
      <formula>"AP95 - 344  JBS"</formula>
    </cfRule>
    <cfRule type="cellIs" dxfId="371" priority="9" operator="equal">
      <formula>"500 SLOW - MALE JBS"</formula>
    </cfRule>
    <cfRule type="cellIs" dxfId="370" priority="10" operator="equal">
      <formula>"AP95 - 344"</formula>
    </cfRule>
    <cfRule type="cellIs" dxfId="369" priority="11" operator="equal">
      <formula>"800 SLOW CDP4 - MALE"</formula>
    </cfRule>
    <cfRule type="cellIs" dxfId="368" priority="12" operator="equal">
      <formula>"800 SLOW CDP4 - MX"</formula>
    </cfRule>
    <cfRule type="cellIs" dxfId="367" priority="13" operator="equal">
      <formula>"500 SLOW - MALE"</formula>
    </cfRule>
  </conditionalFormatting>
  <conditionalFormatting sqref="M15">
    <cfRule type="cellIs" dxfId="366" priority="70" operator="equal">
      <formula>"CDP4 SF - MALE"</formula>
    </cfRule>
    <cfRule type="cellIs" dxfId="365" priority="71" operator="equal">
      <formula>"CDP4 SF - MX"</formula>
    </cfRule>
    <cfRule type="cellIs" dxfId="364" priority="72" operator="equal">
      <formula>"800 SLOW - MX"</formula>
    </cfRule>
  </conditionalFormatting>
  <conditionalFormatting sqref="M19:M20">
    <cfRule type="cellIs" dxfId="363" priority="44" operator="equal">
      <formula>"CDP4 SF - MALE"</formula>
    </cfRule>
    <cfRule type="cellIs" dxfId="362" priority="45" operator="equal">
      <formula>"CDP4 SF - MX"</formula>
    </cfRule>
    <cfRule type="cellIs" dxfId="361" priority="46" operator="equal">
      <formula>"800 SLOW - MX"</formula>
    </cfRule>
  </conditionalFormatting>
  <conditionalFormatting sqref="M23:M28">
    <cfRule type="cellIs" dxfId="360" priority="128" operator="equal">
      <formula>"800 SLOW - MX"</formula>
    </cfRule>
  </conditionalFormatting>
  <conditionalFormatting sqref="M31:M33">
    <cfRule type="cellIs" dxfId="359" priority="33" operator="equal">
      <formula>"800 SLOW - MX"</formula>
    </cfRule>
  </conditionalFormatting>
  <conditionalFormatting sqref="M32">
    <cfRule type="cellIs" dxfId="358" priority="31" operator="equal">
      <formula>"CDP4 SF - MALE"</formula>
    </cfRule>
    <cfRule type="cellIs" dxfId="357" priority="32" operator="equal">
      <formula>"CDP4 SF - MX"</formula>
    </cfRule>
  </conditionalFormatting>
  <conditionalFormatting sqref="M38">
    <cfRule type="cellIs" dxfId="356" priority="14" operator="equal">
      <formula>"CDP4 SF - MALE"</formula>
    </cfRule>
    <cfRule type="cellIs" dxfId="355" priority="15" operator="equal">
      <formula>"CDP4 SF - MX"</formula>
    </cfRule>
    <cfRule type="cellIs" dxfId="354" priority="16" operator="equal">
      <formula>"800 SLOW - MX"</formula>
    </cfRule>
  </conditionalFormatting>
  <conditionalFormatting sqref="M41">
    <cfRule type="cellIs" dxfId="353" priority="100" operator="equal">
      <formula>"800 SLOW - MX"</formula>
    </cfRule>
  </conditionalFormatting>
  <conditionalFormatting sqref="M53">
    <cfRule type="cellIs" dxfId="352" priority="1" operator="equal">
      <formula>"CDP4 SF - MALE"</formula>
    </cfRule>
    <cfRule type="cellIs" dxfId="351" priority="2" operator="equal">
      <formula>"CDP4 SF - MX"</formula>
    </cfRule>
    <cfRule type="cellIs" dxfId="350" priority="3" operator="equal">
      <formula>"800 SLOW - MX"</formula>
    </cfRule>
  </conditionalFormatting>
  <conditionalFormatting sqref="Q4:R5">
    <cfRule type="expression" dxfId="349" priority="169">
      <formula>$Q4=VLOOKUP($Q4,#REF!,1,0)</formula>
    </cfRule>
  </conditionalFormatting>
  <conditionalFormatting sqref="Q9:R10">
    <cfRule type="expression" dxfId="348" priority="170">
      <formula>$Q9=VLOOKUP($Q9,#REF!,1,0)</formula>
    </cfRule>
  </conditionalFormatting>
  <conditionalFormatting sqref="Q35:R36">
    <cfRule type="expression" dxfId="347" priority="168">
      <formula>$Q35=VLOOKUP($Q35,#REF!,1,0)</formula>
    </cfRule>
  </conditionalFormatting>
  <printOptions horizontalCentered="1"/>
  <pageMargins left="0" right="0" top="0.59055118110236227" bottom="0" header="0" footer="0"/>
  <pageSetup scale="27" fitToHeight="0" orientation="landscape" horizontalDpi="4294967293" r:id="rId5"/>
  <headerFooter>
    <oddFooter>&amp;L&amp;D&amp;T</oddFooter>
  </headerFooter>
  <drawing r:id="rId6"/>
  <legacyDrawing r:id="rId7"/>
  <extLst>
    <ext xmlns:x15="http://schemas.microsoft.com/office/spreadsheetml/2010/11/main" uri="{7E03D99C-DC04-49d9-9315-930204A7B6E9}">
      <x15:timelineRefs>
        <x15:timelineRef r:id="rId8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E796-8DB0-435E-ADDB-2D342FB7DC98}">
  <sheetPr codeName="Planilha9">
    <tabColor rgb="FF15E18E"/>
    <pageSetUpPr fitToPage="1"/>
  </sheetPr>
  <dimension ref="A1:W72"/>
  <sheetViews>
    <sheetView showGridLines="0" topLeftCell="B1" zoomScale="70" zoomScaleNormal="70" workbookViewId="0">
      <selection activeCell="G9" sqref="G9"/>
    </sheetView>
  </sheetViews>
  <sheetFormatPr defaultColWidth="9.09765625" defaultRowHeight="15.6"/>
  <cols>
    <col min="1" max="1" width="15" style="1017" customWidth="1"/>
    <col min="2" max="2" width="21.69921875" style="1017" customWidth="1"/>
    <col min="3" max="3" width="22.3984375" style="1017" bestFit="1" customWidth="1"/>
    <col min="4" max="4" width="13.59765625" style="1017" customWidth="1"/>
    <col min="5" max="5" width="9.8984375" style="1017" customWidth="1"/>
    <col min="6" max="6" width="13.59765625" style="1017" customWidth="1"/>
    <col min="7" max="7" width="24.69921875" style="1017" customWidth="1"/>
    <col min="8" max="8" width="13.59765625" style="1023" customWidth="1"/>
    <col min="9" max="9" width="13.59765625" style="1017" customWidth="1"/>
    <col min="10" max="10" width="9.69921875" style="1017" customWidth="1"/>
    <col min="11" max="12" width="13.59765625" style="1017" customWidth="1"/>
    <col min="13" max="13" width="21.09765625" style="1017" bestFit="1" customWidth="1"/>
    <col min="14" max="14" width="19" style="1017" bestFit="1" customWidth="1"/>
    <col min="15" max="16" width="13.59765625" style="1017" customWidth="1"/>
    <col min="17" max="17" width="23.296875" style="1017" bestFit="1" customWidth="1"/>
    <col min="18" max="19" width="13.59765625" style="1017" customWidth="1"/>
    <col min="20" max="20" width="19.59765625" style="1017" bestFit="1" customWidth="1"/>
    <col min="21" max="23" width="13.59765625" style="1017" customWidth="1"/>
    <col min="24" max="16384" width="9.09765625" style="1017"/>
  </cols>
  <sheetData>
    <row r="1" spans="1:23" s="454" customFormat="1" ht="31.2">
      <c r="A1" s="448" t="s">
        <v>0</v>
      </c>
      <c r="B1" s="448" t="s">
        <v>1</v>
      </c>
      <c r="C1" s="448" t="s">
        <v>2</v>
      </c>
      <c r="D1" s="448" t="s">
        <v>3</v>
      </c>
      <c r="E1" s="797" t="s">
        <v>4</v>
      </c>
      <c r="F1" s="449" t="s">
        <v>5</v>
      </c>
      <c r="G1" s="448" t="s">
        <v>6</v>
      </c>
      <c r="H1" s="448" t="s">
        <v>7</v>
      </c>
      <c r="I1" s="448" t="s">
        <v>8</v>
      </c>
      <c r="J1" s="448" t="s">
        <v>9</v>
      </c>
      <c r="K1" s="448" t="s">
        <v>10</v>
      </c>
      <c r="L1" s="797" t="s">
        <v>11</v>
      </c>
      <c r="M1" s="448" t="s">
        <v>346</v>
      </c>
      <c r="N1" s="450" t="s">
        <v>13</v>
      </c>
      <c r="O1" s="448" t="s">
        <v>3</v>
      </c>
      <c r="P1" s="449" t="s">
        <v>5</v>
      </c>
      <c r="Q1" s="448" t="s">
        <v>6</v>
      </c>
      <c r="R1" s="448" t="s">
        <v>7</v>
      </c>
      <c r="S1" s="451" t="s">
        <v>8</v>
      </c>
      <c r="T1" s="448" t="s">
        <v>14</v>
      </c>
      <c r="U1" s="448" t="s">
        <v>15</v>
      </c>
      <c r="V1" s="452" t="s">
        <v>10</v>
      </c>
      <c r="W1" s="453" t="s">
        <v>16</v>
      </c>
    </row>
    <row r="2" spans="1:23" ht="16.2">
      <c r="A2" s="467" t="s">
        <v>347</v>
      </c>
      <c r="B2" s="978">
        <v>46053</v>
      </c>
      <c r="C2" s="979">
        <v>46051</v>
      </c>
      <c r="D2" s="1099">
        <v>700026</v>
      </c>
      <c r="E2" s="468">
        <f t="shared" ref="E2:E4" ca="1" si="0">IF((TODAY()-C2)/7&gt;T2,T2,(TODAY()-C2)/7)</f>
        <v>34.714285714285715</v>
      </c>
      <c r="F2" s="468" t="str">
        <f>IFERROR(VLOOKUP(G2,Recria[[Granja Recria]:[Emp+CC]],4,0),"")</f>
        <v>136_2441</v>
      </c>
      <c r="G2" s="980" t="s">
        <v>348</v>
      </c>
      <c r="H2" s="981" t="str">
        <f>IFERROR(VLOOKUP(G2,Recria[[Granja Recria]:[Núcleo]],2,0),"")</f>
        <v>(N1)</v>
      </c>
      <c r="I2" s="1100">
        <v>35000</v>
      </c>
      <c r="J2" s="467" t="s">
        <v>60</v>
      </c>
      <c r="K2" s="467">
        <v>30</v>
      </c>
      <c r="L2" s="803" t="str">
        <f>VLOOKUP(M2,Raca_Linhagem[],2,0)</f>
        <v>COBB</v>
      </c>
      <c r="M2" s="803" t="s">
        <v>21</v>
      </c>
      <c r="N2" s="1008">
        <f t="shared" ref="N2:N17" si="1">C2+(22*7)-7</f>
        <v>46198</v>
      </c>
      <c r="O2" s="1009">
        <v>730026</v>
      </c>
      <c r="P2" s="1010" t="str">
        <f>IFERROR(VLOOKUP(Q2,Producao[[Granja Produção]:[Emp+CC]],4,0),"")</f>
        <v>136_2445</v>
      </c>
      <c r="Q2" s="1011" t="s">
        <v>349</v>
      </c>
      <c r="R2" s="1010">
        <f>IFERROR(VLOOKUP(Q2,Producao[[Granja Produção]:[Núcleo]],2,0),"")</f>
        <v>0</v>
      </c>
      <c r="S2" s="1012">
        <f t="shared" ref="S2:S17" si="2">I2*0.955</f>
        <v>33425</v>
      </c>
      <c r="T2" s="1013">
        <f t="shared" ref="T2:T17" si="3">C2+(U2*7)-1</f>
        <v>46512</v>
      </c>
      <c r="U2" s="1014">
        <v>66</v>
      </c>
      <c r="V2" s="1015">
        <f t="shared" ref="V2:V9" si="4">N10-T2</f>
        <v>53</v>
      </c>
      <c r="W2" s="1016">
        <f t="shared" ref="W2:W13" si="5">IFERROR(T2+V2," ")</f>
        <v>46565</v>
      </c>
    </row>
    <row r="3" spans="1:23" ht="16.2">
      <c r="A3" s="467" t="s">
        <v>347</v>
      </c>
      <c r="B3" s="978">
        <v>46081</v>
      </c>
      <c r="C3" s="979">
        <v>46079</v>
      </c>
      <c r="D3" s="1099">
        <v>700126</v>
      </c>
      <c r="E3" s="468">
        <f t="shared" ca="1" si="0"/>
        <v>30.714285714285715</v>
      </c>
      <c r="F3" s="468" t="str">
        <f>IFERROR(VLOOKUP(G3,Recria[[Granja Recria]:[Emp+CC]],4,0),"")</f>
        <v>136_2442</v>
      </c>
      <c r="G3" s="980" t="s">
        <v>350</v>
      </c>
      <c r="H3" s="981" t="str">
        <f>IFERROR(VLOOKUP(G3,Recria[[Granja Recria]:[Núcleo]],2,0),"")</f>
        <v>(N2)</v>
      </c>
      <c r="I3" s="1100">
        <v>35000</v>
      </c>
      <c r="J3" s="467" t="s">
        <v>60</v>
      </c>
      <c r="K3" s="467">
        <v>50</v>
      </c>
      <c r="L3" s="803" t="str">
        <f>VLOOKUP(M3,Raca_Linhagem[],2,0)</f>
        <v>COBB</v>
      </c>
      <c r="M3" s="803" t="s">
        <v>21</v>
      </c>
      <c r="N3" s="1008">
        <f t="shared" si="1"/>
        <v>46226</v>
      </c>
      <c r="O3" s="1009">
        <v>730126</v>
      </c>
      <c r="P3" s="1010" t="str">
        <f>IFERROR(VLOOKUP(Q3,Producao[[Granja Produção]:[Emp+CC]],4,0),"")</f>
        <v>136_2446</v>
      </c>
      <c r="Q3" s="1011" t="s">
        <v>351</v>
      </c>
      <c r="R3" s="1010">
        <f>IFERROR(VLOOKUP(Q3,Producao[[Granja Produção]:[Núcleo]],2,0),"")</f>
        <v>0</v>
      </c>
      <c r="S3" s="1012">
        <f t="shared" si="2"/>
        <v>33425</v>
      </c>
      <c r="T3" s="1013">
        <f t="shared" si="3"/>
        <v>46547</v>
      </c>
      <c r="U3" s="1014">
        <v>67</v>
      </c>
      <c r="V3" s="1015">
        <f t="shared" si="4"/>
        <v>68</v>
      </c>
      <c r="W3" s="1016">
        <f t="shared" si="5"/>
        <v>46615</v>
      </c>
    </row>
    <row r="4" spans="1:23" ht="16.2">
      <c r="A4" s="467" t="s">
        <v>347</v>
      </c>
      <c r="B4" s="978">
        <v>46130</v>
      </c>
      <c r="C4" s="979">
        <v>46128</v>
      </c>
      <c r="D4" s="1099">
        <v>700226</v>
      </c>
      <c r="E4" s="468">
        <f t="shared" ca="1" si="0"/>
        <v>23.714285714285715</v>
      </c>
      <c r="F4" s="468" t="str">
        <f>IFERROR(VLOOKUP(G4,Recria[[Granja Recria]:[Emp+CC]],4,0),"")</f>
        <v>136_2443</v>
      </c>
      <c r="G4" s="980" t="s">
        <v>352</v>
      </c>
      <c r="H4" s="981" t="str">
        <f>IFERROR(VLOOKUP(G4,Recria[[Granja Recria]:[Núcleo]],2,0),"")</f>
        <v>(N3)</v>
      </c>
      <c r="I4" s="1100">
        <v>35000</v>
      </c>
      <c r="J4" s="467" t="s">
        <v>60</v>
      </c>
      <c r="K4" s="467">
        <v>31</v>
      </c>
      <c r="L4" s="803" t="str">
        <f>VLOOKUP(M4,Raca_Linhagem[],2,0)</f>
        <v>COBB</v>
      </c>
      <c r="M4" s="803" t="s">
        <v>21</v>
      </c>
      <c r="N4" s="1008">
        <f t="shared" si="1"/>
        <v>46275</v>
      </c>
      <c r="O4" s="1009">
        <v>730226</v>
      </c>
      <c r="P4" s="1010" t="str">
        <f>IFERROR(VLOOKUP(Q4,Producao[[Granja Produção]:[Emp+CC]],4,0),"")</f>
        <v>136_2450</v>
      </c>
      <c r="Q4" s="1011" t="s">
        <v>357</v>
      </c>
      <c r="R4" s="1010">
        <f>IFERROR(VLOOKUP(Q4,Producao[[Granja Produção]:[Núcleo]],2,0),"")</f>
        <v>0</v>
      </c>
      <c r="S4" s="1012">
        <f t="shared" si="2"/>
        <v>33425</v>
      </c>
      <c r="T4" s="1013">
        <f t="shared" si="3"/>
        <v>46596</v>
      </c>
      <c r="U4" s="1014">
        <v>67</v>
      </c>
      <c r="V4" s="1015">
        <f t="shared" si="4"/>
        <v>54</v>
      </c>
      <c r="W4" s="1016">
        <f t="shared" si="5"/>
        <v>46650</v>
      </c>
    </row>
    <row r="5" spans="1:23" ht="16.2">
      <c r="A5" s="467" t="s">
        <v>347</v>
      </c>
      <c r="B5" s="978">
        <v>46172</v>
      </c>
      <c r="C5" s="979">
        <v>46170</v>
      </c>
      <c r="D5" s="1099">
        <v>700326</v>
      </c>
      <c r="E5" s="468">
        <f t="shared" ref="E5:E7" ca="1" si="6">IF((TODAY()-C5)/7&gt;T5,T5,(TODAY()-C5)/7)</f>
        <v>17.714285714285715</v>
      </c>
      <c r="F5" s="468" t="str">
        <f>IFERROR(VLOOKUP(G5,Recria[[Granja Recria]:[Emp+CC]],4,0),"")</f>
        <v>136_2444</v>
      </c>
      <c r="G5" s="980" t="s">
        <v>354</v>
      </c>
      <c r="H5" s="981" t="str">
        <f>IFERROR(VLOOKUP(G5,Recria[[Granja Recria]:[Núcleo]],2,0),"")</f>
        <v>(N4)</v>
      </c>
      <c r="I5" s="1100">
        <v>35000</v>
      </c>
      <c r="J5" s="467" t="s">
        <v>60</v>
      </c>
      <c r="K5" s="467">
        <v>25</v>
      </c>
      <c r="L5" s="803" t="str">
        <f>VLOOKUP(M5,Raca_Linhagem[],2,0)</f>
        <v>COBB</v>
      </c>
      <c r="M5" s="803" t="s">
        <v>21</v>
      </c>
      <c r="N5" s="1008">
        <f t="shared" si="1"/>
        <v>46317</v>
      </c>
      <c r="O5" s="1009">
        <v>730426</v>
      </c>
      <c r="P5" s="1010" t="str">
        <f>IFERROR(VLOOKUP(Q5,Producao[[Granja Produção]:[Emp+CC]],4,0),"")</f>
        <v>136_2447</v>
      </c>
      <c r="Q5" s="1011" t="s">
        <v>353</v>
      </c>
      <c r="R5" s="1010">
        <f>IFERROR(VLOOKUP(Q5,Producao[[Granja Produção]:[Núcleo]],2,0),"")</f>
        <v>0</v>
      </c>
      <c r="S5" s="1012">
        <f t="shared" si="2"/>
        <v>33425</v>
      </c>
      <c r="T5" s="1013">
        <f t="shared" si="3"/>
        <v>46652</v>
      </c>
      <c r="U5" s="1014">
        <v>69</v>
      </c>
      <c r="V5" s="1015">
        <f t="shared" si="4"/>
        <v>39</v>
      </c>
      <c r="W5" s="1016">
        <f t="shared" si="5"/>
        <v>46691</v>
      </c>
    </row>
    <row r="6" spans="1:23" ht="16.2">
      <c r="A6" s="467" t="s">
        <v>347</v>
      </c>
      <c r="B6" s="978">
        <f t="shared" ref="B6:B13" si="7">N2+K2</f>
        <v>46228</v>
      </c>
      <c r="C6" s="979">
        <v>46226</v>
      </c>
      <c r="D6" s="1099">
        <v>700426</v>
      </c>
      <c r="E6" s="468">
        <f t="shared" ca="1" si="6"/>
        <v>9.7142857142857135</v>
      </c>
      <c r="F6" s="468" t="str">
        <f>IFERROR(VLOOKUP(G6,Recria[[Granja Recria]:[Emp+CC]],4,0),"")</f>
        <v>136_2441</v>
      </c>
      <c r="G6" s="980" t="s">
        <v>348</v>
      </c>
      <c r="H6" s="981" t="str">
        <f>IFERROR(VLOOKUP(G6,Recria[[Granja Recria]:[Núcleo]],2,0),"")</f>
        <v>(N1)</v>
      </c>
      <c r="I6" s="1100">
        <v>35000</v>
      </c>
      <c r="J6" s="467" t="s">
        <v>45</v>
      </c>
      <c r="K6" s="467">
        <v>45</v>
      </c>
      <c r="L6" s="803" t="str">
        <f>VLOOKUP(M6,Raca_Linhagem[],2,0)</f>
        <v>COBB</v>
      </c>
      <c r="M6" s="803" t="s">
        <v>112</v>
      </c>
      <c r="N6" s="1008">
        <f t="shared" si="1"/>
        <v>46373</v>
      </c>
      <c r="O6" s="1009">
        <v>730526</v>
      </c>
      <c r="P6" s="1010" t="str">
        <f>IFERROR(VLOOKUP(Q6,Producao[[Granja Produção]:[Emp+CC]],4,0),"")</f>
        <v>136_2448</v>
      </c>
      <c r="Q6" s="1011" t="s">
        <v>355</v>
      </c>
      <c r="R6" s="1010">
        <f>IFERROR(VLOOKUP(Q6,Producao[[Granja Produção]:[Núcleo]],2,0),"")</f>
        <v>0</v>
      </c>
      <c r="S6" s="1012">
        <f t="shared" si="2"/>
        <v>33425</v>
      </c>
      <c r="T6" s="1013">
        <f t="shared" si="3"/>
        <v>46694</v>
      </c>
      <c r="U6" s="1014">
        <v>67</v>
      </c>
      <c r="V6" s="1015">
        <f t="shared" si="4"/>
        <v>48</v>
      </c>
      <c r="W6" s="1016">
        <f t="shared" si="5"/>
        <v>46742</v>
      </c>
    </row>
    <row r="7" spans="1:23" ht="16.2">
      <c r="A7" s="1233" t="s">
        <v>347</v>
      </c>
      <c r="B7" s="1234">
        <f t="shared" si="7"/>
        <v>46276</v>
      </c>
      <c r="C7" s="1235">
        <f t="shared" ref="C7:C17" si="8">B7</f>
        <v>46276</v>
      </c>
      <c r="D7" s="1236">
        <v>700526</v>
      </c>
      <c r="E7" s="1237">
        <f t="shared" ca="1" si="6"/>
        <v>2.5714285714285716</v>
      </c>
      <c r="F7" s="1237" t="str">
        <f>IFERROR(VLOOKUP(G7,Recria[[Granja Recria]:[Emp+CC]],4,0),"")</f>
        <v>136_2442</v>
      </c>
      <c r="G7" s="1238" t="s">
        <v>350</v>
      </c>
      <c r="H7" s="1239" t="str">
        <f>IFERROR(VLOOKUP(G7,Recria[[Granja Recria]:[Núcleo]],2,0),"")</f>
        <v>(N2)</v>
      </c>
      <c r="I7" s="1240">
        <v>35000</v>
      </c>
      <c r="J7" s="1233" t="s">
        <v>45</v>
      </c>
      <c r="K7" s="1233">
        <v>45</v>
      </c>
      <c r="L7" s="803" t="str">
        <f>VLOOKUP(M7,Raca_Linhagem[],2,0)</f>
        <v>COBB</v>
      </c>
      <c r="M7" s="803" t="s">
        <v>319</v>
      </c>
      <c r="N7" s="1008">
        <f t="shared" si="1"/>
        <v>46423</v>
      </c>
      <c r="O7" s="1009">
        <v>730127</v>
      </c>
      <c r="P7" s="1010" t="str">
        <f>IFERROR(VLOOKUP(Q7,Producao[[Granja Produção]:[Emp+CC]],4,0),"")</f>
        <v>136_2449</v>
      </c>
      <c r="Q7" s="1011" t="s">
        <v>356</v>
      </c>
      <c r="R7" s="1010">
        <f>IFERROR(VLOOKUP(Q7,Producao[[Granja Produção]:[Núcleo]],2,0),"")</f>
        <v>0</v>
      </c>
      <c r="S7" s="1012">
        <f t="shared" si="2"/>
        <v>33425</v>
      </c>
      <c r="T7" s="1013">
        <f t="shared" si="3"/>
        <v>46744</v>
      </c>
      <c r="U7" s="1014">
        <v>67</v>
      </c>
      <c r="V7" s="1015">
        <f t="shared" si="4"/>
        <v>53</v>
      </c>
      <c r="W7" s="1016">
        <f t="shared" si="5"/>
        <v>46797</v>
      </c>
    </row>
    <row r="8" spans="1:23" ht="16.2">
      <c r="A8" s="1344" t="s">
        <v>347</v>
      </c>
      <c r="B8" s="1345">
        <f>N4+K4</f>
        <v>46306</v>
      </c>
      <c r="C8" s="1346">
        <f t="shared" si="8"/>
        <v>46306</v>
      </c>
      <c r="D8" s="1347">
        <v>700626</v>
      </c>
      <c r="E8" s="1348" t="s">
        <v>1740</v>
      </c>
      <c r="F8" s="1349" t="str">
        <f>IFERROR(VLOOKUP(G8,Recria[[Granja Recria]:[Emp+CC]],4,0),"")</f>
        <v>136_2443</v>
      </c>
      <c r="G8" s="1350" t="s">
        <v>352</v>
      </c>
      <c r="H8" s="1351" t="str">
        <f>IFERROR(VLOOKUP(G8,Recria[[Granja Recria]:[Núcleo]],2,0),"")</f>
        <v>(N3)</v>
      </c>
      <c r="I8" s="1352">
        <v>35000</v>
      </c>
      <c r="J8" s="1344" t="s">
        <v>45</v>
      </c>
      <c r="K8" s="1344">
        <v>50</v>
      </c>
      <c r="L8" s="1253" t="str">
        <f>VLOOKUP(M8,Raca_Linhagem[],2,0)</f>
        <v>COBB</v>
      </c>
      <c r="M8" s="1253" t="s">
        <v>319</v>
      </c>
      <c r="N8" s="1353">
        <f t="shared" si="1"/>
        <v>46453</v>
      </c>
      <c r="O8" s="1347">
        <v>730227</v>
      </c>
      <c r="P8" s="1354" t="str">
        <f>IFERROR(VLOOKUP(Q8,Producao[[Granja Produção]:[Emp+CC]],4,0),"")</f>
        <v>136_2451</v>
      </c>
      <c r="Q8" s="1355" t="s">
        <v>358</v>
      </c>
      <c r="R8" s="1354">
        <f>IFERROR(VLOOKUP(Q8,Producao[[Granja Produção]:[Núcleo]],2,0),"")</f>
        <v>0</v>
      </c>
      <c r="S8" s="1356">
        <f t="shared" si="2"/>
        <v>33425</v>
      </c>
      <c r="T8" s="1357">
        <f t="shared" si="3"/>
        <v>46781</v>
      </c>
      <c r="U8" s="1358">
        <v>68</v>
      </c>
      <c r="V8" s="1359">
        <f t="shared" si="4"/>
        <v>51</v>
      </c>
      <c r="W8" s="1360">
        <f t="shared" si="5"/>
        <v>46832</v>
      </c>
    </row>
    <row r="9" spans="1:23" ht="16.2">
      <c r="A9" s="987" t="s">
        <v>347</v>
      </c>
      <c r="B9" s="988">
        <f>N5+K5</f>
        <v>46342</v>
      </c>
      <c r="C9" s="989">
        <f t="shared" si="8"/>
        <v>46342</v>
      </c>
      <c r="D9" s="1082">
        <v>700726</v>
      </c>
      <c r="E9" s="1019">
        <v>153545</v>
      </c>
      <c r="F9" s="1018">
        <f t="shared" ref="F9:F17" si="9">B9-B8</f>
        <v>36</v>
      </c>
      <c r="G9" s="992" t="s">
        <v>354</v>
      </c>
      <c r="H9" s="993" t="str">
        <f>IFERROR(VLOOKUP(G9,Recria[[Granja Recria]:[Núcleo]],2,0),"")</f>
        <v>(N4)</v>
      </c>
      <c r="I9" s="1020">
        <v>35000</v>
      </c>
      <c r="J9" s="467" t="s">
        <v>45</v>
      </c>
      <c r="K9" s="467">
        <v>55</v>
      </c>
      <c r="L9" s="803" t="str">
        <f>VLOOKUP(M9,Raca_Linhagem[],2,0)</f>
        <v>COBB</v>
      </c>
      <c r="M9" s="803" t="s">
        <v>21</v>
      </c>
      <c r="N9" s="1008">
        <f t="shared" si="1"/>
        <v>46489</v>
      </c>
      <c r="O9" s="1009">
        <v>730327</v>
      </c>
      <c r="P9" s="1010" t="str">
        <f>IFERROR(VLOOKUP(Q9,Producao[[Granja Produção]:[Emp+CC]],4,0),"")</f>
        <v>136_2452</v>
      </c>
      <c r="Q9" s="1011" t="s">
        <v>359</v>
      </c>
      <c r="R9" s="1010">
        <f>IFERROR(VLOOKUP(Q9,Producao[[Granja Produção]:[Núcleo]],2,0),"")</f>
        <v>0</v>
      </c>
      <c r="S9" s="1012">
        <f t="shared" si="2"/>
        <v>33425</v>
      </c>
      <c r="T9" s="1013">
        <f t="shared" si="3"/>
        <v>46824</v>
      </c>
      <c r="U9" s="1014">
        <v>69</v>
      </c>
      <c r="V9" s="1015">
        <f t="shared" si="4"/>
        <v>49</v>
      </c>
      <c r="W9" s="1016">
        <f t="shared" si="5"/>
        <v>46873</v>
      </c>
    </row>
    <row r="10" spans="1:23" ht="16.2">
      <c r="A10" s="987" t="s">
        <v>347</v>
      </c>
      <c r="B10" s="978">
        <f t="shared" si="7"/>
        <v>46418</v>
      </c>
      <c r="C10" s="989">
        <f t="shared" si="8"/>
        <v>46418</v>
      </c>
      <c r="D10" s="1082">
        <v>700127</v>
      </c>
      <c r="E10" s="990"/>
      <c r="F10" s="1018">
        <f t="shared" si="9"/>
        <v>76</v>
      </c>
      <c r="G10" s="992" t="s">
        <v>348</v>
      </c>
      <c r="H10" s="993" t="str">
        <f>IFERROR(VLOOKUP(G10,Recria[[Granja Recria]:[Núcleo]],2,0),"")</f>
        <v>(N1)</v>
      </c>
      <c r="I10" s="1020">
        <v>35000</v>
      </c>
      <c r="J10" s="987" t="s">
        <v>60</v>
      </c>
      <c r="K10" s="987">
        <v>30</v>
      </c>
      <c r="L10" s="803" t="str">
        <f>VLOOKUP(M10,Raca_Linhagem[],2,0)</f>
        <v>COBB</v>
      </c>
      <c r="M10" s="803" t="s">
        <v>21</v>
      </c>
      <c r="N10" s="1008">
        <f t="shared" si="1"/>
        <v>46565</v>
      </c>
      <c r="O10" s="1009">
        <v>730427</v>
      </c>
      <c r="P10" s="1010" t="str">
        <f>IFERROR(VLOOKUP(Q10,Producao[[Granja Produção]:[Emp+CC]],4,0),"")</f>
        <v>136_2445</v>
      </c>
      <c r="Q10" s="1011" t="s">
        <v>349</v>
      </c>
      <c r="R10" s="1010">
        <f>IFERROR(VLOOKUP(Q10,Producao[[Granja Produção]:[Núcleo]],2,0),"")</f>
        <v>0</v>
      </c>
      <c r="S10" s="1012">
        <f t="shared" si="2"/>
        <v>33425</v>
      </c>
      <c r="T10" s="1013">
        <f t="shared" si="3"/>
        <v>46886</v>
      </c>
      <c r="U10" s="1014">
        <v>67</v>
      </c>
      <c r="V10" s="1015"/>
      <c r="W10" s="1016">
        <f t="shared" si="5"/>
        <v>46886</v>
      </c>
    </row>
    <row r="11" spans="1:23" ht="16.2">
      <c r="A11" s="987" t="s">
        <v>347</v>
      </c>
      <c r="B11" s="978">
        <f t="shared" si="7"/>
        <v>46468</v>
      </c>
      <c r="C11" s="989">
        <f t="shared" si="8"/>
        <v>46468</v>
      </c>
      <c r="D11" s="1082">
        <v>700227</v>
      </c>
      <c r="E11" s="990"/>
      <c r="F11" s="1018">
        <f t="shared" si="9"/>
        <v>50</v>
      </c>
      <c r="G11" s="992" t="s">
        <v>350</v>
      </c>
      <c r="H11" s="993" t="str">
        <f>IFERROR(VLOOKUP(G11,Recria[[Granja Recria]:[Núcleo]],2,0),"")</f>
        <v>(N2)</v>
      </c>
      <c r="I11" s="1020">
        <v>35000</v>
      </c>
      <c r="J11" s="987" t="s">
        <v>60</v>
      </c>
      <c r="K11" s="987">
        <v>35</v>
      </c>
      <c r="L11" s="803" t="str">
        <f>VLOOKUP(M11,Raca_Linhagem[],2,0)</f>
        <v>ROSS</v>
      </c>
      <c r="M11" s="812" t="s">
        <v>26</v>
      </c>
      <c r="N11" s="1008">
        <f t="shared" si="1"/>
        <v>46615</v>
      </c>
      <c r="O11" s="1009">
        <v>730527</v>
      </c>
      <c r="P11" s="1010" t="str">
        <f>IFERROR(VLOOKUP(Q11,Producao[[Granja Produção]:[Emp+CC]],4,0),"")</f>
        <v>136_2446</v>
      </c>
      <c r="Q11" s="1011" t="s">
        <v>351</v>
      </c>
      <c r="R11" s="1010">
        <f>IFERROR(VLOOKUP(Q11,Producao[[Granja Produção]:[Núcleo]],2,0),"")</f>
        <v>0</v>
      </c>
      <c r="S11" s="1012">
        <f t="shared" si="2"/>
        <v>33425</v>
      </c>
      <c r="T11" s="1013">
        <f t="shared" si="3"/>
        <v>46936</v>
      </c>
      <c r="U11" s="1014">
        <v>67</v>
      </c>
      <c r="V11" s="1015"/>
      <c r="W11" s="1016">
        <f t="shared" si="5"/>
        <v>46936</v>
      </c>
    </row>
    <row r="12" spans="1:23" ht="16.2">
      <c r="A12" s="987" t="s">
        <v>347</v>
      </c>
      <c r="B12" s="978">
        <f t="shared" si="7"/>
        <v>46503</v>
      </c>
      <c r="C12" s="989">
        <f t="shared" si="8"/>
        <v>46503</v>
      </c>
      <c r="D12" s="1082">
        <v>700327</v>
      </c>
      <c r="E12" s="990"/>
      <c r="F12" s="1018">
        <f t="shared" si="9"/>
        <v>35</v>
      </c>
      <c r="G12" s="992" t="s">
        <v>352</v>
      </c>
      <c r="H12" s="993" t="str">
        <f>IFERROR(VLOOKUP(G12,Recria[[Granja Recria]:[Núcleo]],2,0),"")</f>
        <v>(N3)</v>
      </c>
      <c r="I12" s="1020">
        <v>35000</v>
      </c>
      <c r="J12" s="987" t="s">
        <v>60</v>
      </c>
      <c r="K12" s="987">
        <v>35</v>
      </c>
      <c r="L12" s="803" t="str">
        <f>VLOOKUP(M12,Raca_Linhagem[],2,0)</f>
        <v>COBB</v>
      </c>
      <c r="M12" s="803" t="s">
        <v>21</v>
      </c>
      <c r="N12" s="1008">
        <f t="shared" si="1"/>
        <v>46650</v>
      </c>
      <c r="O12" s="1009">
        <v>730627</v>
      </c>
      <c r="P12" s="1010" t="str">
        <f>IFERROR(VLOOKUP(Q12,Producao[[Granja Produção]:[Emp+CC]],4,0),"")</f>
        <v>136_2450</v>
      </c>
      <c r="Q12" s="1011" t="s">
        <v>357</v>
      </c>
      <c r="R12" s="1010">
        <f>IFERROR(VLOOKUP(Q12,Producao[[Granja Produção]:[Núcleo]],2,0),"")</f>
        <v>0</v>
      </c>
      <c r="S12" s="1012">
        <f t="shared" si="2"/>
        <v>33425</v>
      </c>
      <c r="T12" s="1013">
        <f t="shared" si="3"/>
        <v>46971</v>
      </c>
      <c r="U12" s="1014">
        <v>67</v>
      </c>
      <c r="V12" s="1015"/>
      <c r="W12" s="1016">
        <f t="shared" si="5"/>
        <v>46971</v>
      </c>
    </row>
    <row r="13" spans="1:23" ht="16.2">
      <c r="A13" s="987" t="s">
        <v>347</v>
      </c>
      <c r="B13" s="978">
        <f t="shared" si="7"/>
        <v>46544</v>
      </c>
      <c r="C13" s="989">
        <f t="shared" si="8"/>
        <v>46544</v>
      </c>
      <c r="D13" s="1082">
        <v>700427</v>
      </c>
      <c r="E13" s="990"/>
      <c r="F13" s="1018">
        <f t="shared" si="9"/>
        <v>41</v>
      </c>
      <c r="G13" s="992" t="s">
        <v>354</v>
      </c>
      <c r="H13" s="993" t="str">
        <f>IFERROR(VLOOKUP(G13,Recria[[Granja Recria]:[Núcleo]],2,0),"")</f>
        <v>(N4)</v>
      </c>
      <c r="I13" s="1020">
        <v>35000</v>
      </c>
      <c r="J13" s="987" t="s">
        <v>60</v>
      </c>
      <c r="K13" s="987">
        <v>35</v>
      </c>
      <c r="L13" s="803" t="str">
        <f>VLOOKUP(M13,Raca_Linhagem[],2,0)</f>
        <v>ROSS</v>
      </c>
      <c r="M13" s="812" t="s">
        <v>26</v>
      </c>
      <c r="N13" s="1008">
        <f t="shared" si="1"/>
        <v>46691</v>
      </c>
      <c r="O13" s="1009">
        <v>730727</v>
      </c>
      <c r="P13" s="1010" t="str">
        <f>IFERROR(VLOOKUP(Q13,Producao[[Granja Produção]:[Emp+CC]],4,0),"")</f>
        <v>136_2447</v>
      </c>
      <c r="Q13" s="1011" t="s">
        <v>353</v>
      </c>
      <c r="R13" s="1010">
        <f>IFERROR(VLOOKUP(Q13,Producao[[Granja Produção]:[Núcleo]],2,0),"")</f>
        <v>0</v>
      </c>
      <c r="S13" s="1012">
        <f t="shared" si="2"/>
        <v>33425</v>
      </c>
      <c r="T13" s="1013">
        <f t="shared" si="3"/>
        <v>47012</v>
      </c>
      <c r="U13" s="1014">
        <v>67</v>
      </c>
      <c r="V13" s="1015"/>
      <c r="W13" s="1016">
        <f t="shared" si="5"/>
        <v>47012</v>
      </c>
    </row>
    <row r="14" spans="1:23" ht="16.2">
      <c r="A14" s="987" t="s">
        <v>347</v>
      </c>
      <c r="B14" s="988">
        <f>N10+K10</f>
        <v>46595</v>
      </c>
      <c r="C14" s="989">
        <f t="shared" si="8"/>
        <v>46595</v>
      </c>
      <c r="D14" s="1082">
        <v>700527</v>
      </c>
      <c r="E14" s="990"/>
      <c r="F14" s="1018">
        <f t="shared" si="9"/>
        <v>51</v>
      </c>
      <c r="G14" s="992" t="s">
        <v>348</v>
      </c>
      <c r="H14" s="993" t="str">
        <f>IFERROR(VLOOKUP(G14,Recria[[Granja Recria]:[Núcleo]],2,0),"")</f>
        <v>(N1)</v>
      </c>
      <c r="I14" s="1020">
        <v>35000</v>
      </c>
      <c r="J14" s="987"/>
      <c r="K14" s="987"/>
      <c r="L14" s="803" t="str">
        <f>VLOOKUP(M14,Raca_Linhagem[],2,0)</f>
        <v>COBB</v>
      </c>
      <c r="M14" s="803" t="s">
        <v>21</v>
      </c>
      <c r="N14" s="1008">
        <f t="shared" si="1"/>
        <v>46742</v>
      </c>
      <c r="O14" s="1009">
        <v>730827</v>
      </c>
      <c r="P14" s="1010" t="str">
        <f>IFERROR(VLOOKUP(Q14,Producao[[Granja Produção]:[Emp+CC]],4,0),"")</f>
        <v>136_2448</v>
      </c>
      <c r="Q14" s="1011" t="s">
        <v>355</v>
      </c>
      <c r="R14" s="1010">
        <f>IFERROR(VLOOKUP(Q14,Producao[[Granja Produção]:[Núcleo]],2,0),"")</f>
        <v>0</v>
      </c>
      <c r="S14" s="1012">
        <f t="shared" si="2"/>
        <v>33425</v>
      </c>
      <c r="T14" s="1013">
        <f t="shared" si="3"/>
        <v>47063</v>
      </c>
      <c r="U14" s="1014">
        <v>67</v>
      </c>
      <c r="V14" s="1015"/>
      <c r="W14" s="1016">
        <f>IFERROR(T14+V14," ")</f>
        <v>47063</v>
      </c>
    </row>
    <row r="15" spans="1:23" ht="16.2">
      <c r="A15" s="987" t="s">
        <v>347</v>
      </c>
      <c r="B15" s="988">
        <f>N11+K11</f>
        <v>46650</v>
      </c>
      <c r="C15" s="989">
        <f t="shared" si="8"/>
        <v>46650</v>
      </c>
      <c r="D15" s="1082">
        <v>700627</v>
      </c>
      <c r="E15" s="990"/>
      <c r="F15" s="1018">
        <f t="shared" si="9"/>
        <v>55</v>
      </c>
      <c r="G15" s="992" t="s">
        <v>350</v>
      </c>
      <c r="H15" s="993" t="str">
        <f>IFERROR(VLOOKUP(G15,Recria[[Granja Recria]:[Núcleo]],2,0),"")</f>
        <v>(N2)</v>
      </c>
      <c r="I15" s="1020">
        <v>35000</v>
      </c>
      <c r="J15" s="987"/>
      <c r="K15" s="987"/>
      <c r="L15" s="803" t="str">
        <f>VLOOKUP(M15,Raca_Linhagem[],2,0)</f>
        <v>ROSS</v>
      </c>
      <c r="M15" s="812" t="s">
        <v>26</v>
      </c>
      <c r="N15" s="1008">
        <f t="shared" si="1"/>
        <v>46797</v>
      </c>
      <c r="O15" s="1009"/>
      <c r="P15" s="1010" t="str">
        <f>IFERROR(VLOOKUP(Q15,Producao[[Granja Produção]:[Emp+CC]],4,0),"")</f>
        <v>136_2449</v>
      </c>
      <c r="Q15" s="1011" t="s">
        <v>356</v>
      </c>
      <c r="R15" s="1010">
        <f>IFERROR(VLOOKUP(Q15,Producao[[Granja Produção]:[Núcleo]],2,0),"")</f>
        <v>0</v>
      </c>
      <c r="S15" s="1012">
        <f t="shared" si="2"/>
        <v>33425</v>
      </c>
      <c r="T15" s="1013">
        <f t="shared" si="3"/>
        <v>47118</v>
      </c>
      <c r="U15" s="1014">
        <v>67</v>
      </c>
      <c r="V15" s="1015"/>
      <c r="W15" s="1016">
        <f>IFERROR(T15+V15," ")</f>
        <v>47118</v>
      </c>
    </row>
    <row r="16" spans="1:23" ht="16.2">
      <c r="A16" s="987" t="s">
        <v>347</v>
      </c>
      <c r="B16" s="988">
        <f>N12+K12</f>
        <v>46685</v>
      </c>
      <c r="C16" s="989">
        <f t="shared" si="8"/>
        <v>46685</v>
      </c>
      <c r="D16" s="1082">
        <v>700727</v>
      </c>
      <c r="E16" s="990"/>
      <c r="F16" s="1018">
        <f t="shared" si="9"/>
        <v>35</v>
      </c>
      <c r="G16" s="992" t="s">
        <v>352</v>
      </c>
      <c r="H16" s="993" t="str">
        <f>IFERROR(VLOOKUP(G16,Recria[[Granja Recria]:[Núcleo]],2,0),"")</f>
        <v>(N3)</v>
      </c>
      <c r="I16" s="1020">
        <v>35000</v>
      </c>
      <c r="J16" s="987"/>
      <c r="K16" s="987"/>
      <c r="L16" s="803" t="str">
        <f>VLOOKUP(M16,Raca_Linhagem[],2,0)</f>
        <v>COBB</v>
      </c>
      <c r="M16" s="803" t="s">
        <v>21</v>
      </c>
      <c r="N16" s="1008">
        <f t="shared" si="1"/>
        <v>46832</v>
      </c>
      <c r="O16" s="1009"/>
      <c r="P16" s="1010" t="str">
        <f>IFERROR(VLOOKUP(Q16,Producao[[Granja Produção]:[Emp+CC]],4,0),"")</f>
        <v>136_2451</v>
      </c>
      <c r="Q16" s="1011" t="s">
        <v>358</v>
      </c>
      <c r="R16" s="1010">
        <f>IFERROR(VLOOKUP(Q16,Producao[[Granja Produção]:[Núcleo]],2,0),"")</f>
        <v>0</v>
      </c>
      <c r="S16" s="1012">
        <f t="shared" si="2"/>
        <v>33425</v>
      </c>
      <c r="T16" s="1013">
        <f t="shared" si="3"/>
        <v>47153</v>
      </c>
      <c r="U16" s="1014">
        <v>67</v>
      </c>
      <c r="V16" s="1015"/>
      <c r="W16" s="1016">
        <f>IFERROR(T16+V16," ")</f>
        <v>47153</v>
      </c>
    </row>
    <row r="17" spans="1:23" ht="16.2">
      <c r="A17" s="987" t="s">
        <v>347</v>
      </c>
      <c r="B17" s="988">
        <f>N13+K13</f>
        <v>46726</v>
      </c>
      <c r="C17" s="989">
        <f t="shared" si="8"/>
        <v>46726</v>
      </c>
      <c r="D17" s="1082">
        <v>700827</v>
      </c>
      <c r="E17" s="990"/>
      <c r="F17" s="1018">
        <f t="shared" si="9"/>
        <v>41</v>
      </c>
      <c r="G17" s="992" t="s">
        <v>354</v>
      </c>
      <c r="H17" s="993" t="str">
        <f>IFERROR(VLOOKUP(G17,Recria[[Granja Recria]:[Núcleo]],2,0),"")</f>
        <v>(N4)</v>
      </c>
      <c r="I17" s="1020">
        <v>35000</v>
      </c>
      <c r="J17" s="987"/>
      <c r="K17" s="987"/>
      <c r="L17" s="803" t="str">
        <f>VLOOKUP(M17,Raca_Linhagem[],2,0)</f>
        <v>ROSS</v>
      </c>
      <c r="M17" s="812" t="s">
        <v>26</v>
      </c>
      <c r="N17" s="1008">
        <f t="shared" si="1"/>
        <v>46873</v>
      </c>
      <c r="O17" s="1009"/>
      <c r="P17" s="1010" t="str">
        <f>IFERROR(VLOOKUP(Q17,Producao[[Granja Produção]:[Emp+CC]],4,0),"")</f>
        <v>136_2452</v>
      </c>
      <c r="Q17" s="1011" t="s">
        <v>359</v>
      </c>
      <c r="R17" s="1010">
        <f>IFERROR(VLOOKUP(Q17,Producao[[Granja Produção]:[Núcleo]],2,0),"")</f>
        <v>0</v>
      </c>
      <c r="S17" s="1012">
        <f t="shared" si="2"/>
        <v>33425</v>
      </c>
      <c r="T17" s="1013">
        <f t="shared" si="3"/>
        <v>47194</v>
      </c>
      <c r="U17" s="1014">
        <v>67</v>
      </c>
      <c r="V17" s="1015"/>
      <c r="W17" s="1016">
        <f>IFERROR(T17+V17," ")</f>
        <v>47194</v>
      </c>
    </row>
    <row r="23" spans="1:23" ht="24">
      <c r="A23" s="1021" t="s">
        <v>360</v>
      </c>
      <c r="B23" s="1022"/>
      <c r="C23" s="1022"/>
    </row>
    <row r="24" spans="1:23">
      <c r="K24" s="454"/>
      <c r="L24" s="454"/>
      <c r="M24" s="454"/>
    </row>
    <row r="25" spans="1:23">
      <c r="K25" s="454"/>
      <c r="L25" s="454"/>
      <c r="M25" s="454"/>
    </row>
    <row r="26" spans="1:23">
      <c r="K26" s="454"/>
      <c r="L26" s="454"/>
      <c r="M26" s="454"/>
    </row>
    <row r="27" spans="1:23">
      <c r="K27" s="454"/>
      <c r="L27" s="454"/>
      <c r="M27" s="454"/>
    </row>
    <row r="28" spans="1:23">
      <c r="K28" s="454"/>
      <c r="L28" s="454"/>
      <c r="M28" s="454"/>
    </row>
    <row r="29" spans="1:23">
      <c r="K29" s="454"/>
      <c r="L29" s="454"/>
      <c r="M29" s="454"/>
    </row>
    <row r="30" spans="1:23">
      <c r="K30" s="454"/>
      <c r="L30" s="454"/>
      <c r="M30" s="454"/>
    </row>
    <row r="31" spans="1:23">
      <c r="K31" s="454"/>
      <c r="L31" s="454"/>
      <c r="M31" s="454"/>
    </row>
    <row r="32" spans="1:23" ht="18" customHeight="1">
      <c r="I32" s="1004"/>
      <c r="J32" s="477"/>
      <c r="K32" s="477"/>
      <c r="L32" s="477"/>
      <c r="M32" s="477"/>
      <c r="N32" s="1004"/>
      <c r="O32" s="477"/>
      <c r="P32" s="477"/>
    </row>
    <row r="33" spans="1:20" ht="17.399999999999999">
      <c r="A33" s="454"/>
      <c r="B33" s="454"/>
      <c r="C33" s="454"/>
      <c r="D33" s="454"/>
      <c r="G33" s="454"/>
      <c r="H33" s="1005"/>
      <c r="L33" s="454"/>
      <c r="M33" s="454"/>
      <c r="N33" s="454"/>
      <c r="O33" s="477"/>
      <c r="P33" s="477"/>
    </row>
    <row r="34" spans="1:20">
      <c r="A34" s="478"/>
      <c r="B34" s="478"/>
      <c r="C34" s="478"/>
      <c r="D34" s="478"/>
      <c r="G34" s="454"/>
      <c r="H34" s="1005"/>
      <c r="L34" s="454"/>
      <c r="M34" s="454"/>
      <c r="N34" s="454"/>
      <c r="O34" s="454"/>
      <c r="P34" s="454"/>
    </row>
    <row r="35" spans="1:20" ht="17.399999999999999">
      <c r="A35" s="250" t="s">
        <v>341</v>
      </c>
      <c r="B35" s="250" t="s">
        <v>342</v>
      </c>
      <c r="C35"/>
      <c r="D35" s="454"/>
      <c r="E35" s="454"/>
      <c r="F35" s="454"/>
      <c r="G35" s="454"/>
      <c r="H35" s="1005"/>
      <c r="L35" s="454"/>
      <c r="M35" s="454"/>
      <c r="N35" s="454"/>
      <c r="O35" s="454"/>
      <c r="P35" s="454"/>
    </row>
    <row r="36" spans="1:20" ht="17.399999999999999">
      <c r="A36" s="250" t="s">
        <v>343</v>
      </c>
      <c r="B36" s="112" t="s">
        <v>267</v>
      </c>
      <c r="C36"/>
      <c r="D36" s="454"/>
      <c r="E36" s="454"/>
      <c r="F36" s="454"/>
      <c r="G36" s="454"/>
      <c r="H36" s="1005"/>
      <c r="L36" s="454"/>
      <c r="M36" s="454"/>
      <c r="N36" s="454"/>
      <c r="O36" s="454"/>
      <c r="P36" s="454"/>
    </row>
    <row r="37" spans="1:20" ht="17.399999999999999">
      <c r="A37" s="112" t="s">
        <v>270</v>
      </c>
      <c r="B37" s="256">
        <v>35000</v>
      </c>
      <c r="C37"/>
      <c r="D37" s="454"/>
      <c r="E37" s="454"/>
      <c r="F37" s="454"/>
      <c r="G37" s="454"/>
      <c r="H37" s="1005"/>
      <c r="I37" s="454"/>
      <c r="J37" s="454"/>
      <c r="K37" s="454"/>
      <c r="L37" s="454"/>
      <c r="M37" s="454"/>
      <c r="N37" s="454"/>
      <c r="O37" s="477"/>
      <c r="P37" s="454"/>
    </row>
    <row r="38" spans="1:20" ht="17.399999999999999">
      <c r="A38" s="112" t="s">
        <v>271</v>
      </c>
      <c r="B38" s="256">
        <v>35000</v>
      </c>
      <c r="C38"/>
      <c r="D38" s="454"/>
      <c r="E38" s="454"/>
      <c r="F38" s="454"/>
      <c r="G38" s="454"/>
      <c r="H38" s="1005"/>
      <c r="I38" s="454"/>
      <c r="J38" s="454"/>
      <c r="K38" s="454"/>
      <c r="L38" s="454"/>
      <c r="M38" s="454"/>
      <c r="N38" s="454"/>
      <c r="O38" s="477"/>
      <c r="P38" s="454"/>
    </row>
    <row r="39" spans="1:20" ht="17.399999999999999">
      <c r="A39" s="112" t="s">
        <v>273</v>
      </c>
      <c r="B39" s="256">
        <v>35000</v>
      </c>
      <c r="C39"/>
      <c r="D39" s="454"/>
      <c r="E39" s="454"/>
      <c r="F39" s="454"/>
      <c r="G39" s="454"/>
      <c r="H39" s="1005"/>
      <c r="I39" s="454"/>
      <c r="J39" s="454"/>
      <c r="K39" s="454"/>
      <c r="L39" s="454"/>
      <c r="M39" s="454"/>
      <c r="N39" s="454"/>
      <c r="O39" s="817"/>
      <c r="P39" s="454"/>
    </row>
    <row r="40" spans="1:20" ht="17.399999999999999">
      <c r="A40" s="112" t="s">
        <v>274</v>
      </c>
      <c r="B40" s="256">
        <v>35000</v>
      </c>
      <c r="C40"/>
      <c r="D40" s="454"/>
      <c r="E40" s="454"/>
      <c r="F40" s="454"/>
      <c r="G40" s="454"/>
      <c r="H40" s="1005"/>
      <c r="I40" s="454"/>
      <c r="J40" s="454"/>
      <c r="K40" s="454"/>
      <c r="L40" s="454"/>
      <c r="M40" s="454"/>
      <c r="N40" s="454"/>
      <c r="O40" s="817"/>
      <c r="P40" s="454"/>
    </row>
    <row r="41" spans="1:20" ht="17.399999999999999">
      <c r="A41" s="112" t="s">
        <v>276</v>
      </c>
      <c r="B41" s="256">
        <v>35000</v>
      </c>
      <c r="C41"/>
      <c r="D41" s="454"/>
      <c r="E41" s="454"/>
      <c r="F41" s="454"/>
      <c r="G41" s="454"/>
      <c r="H41" s="1005"/>
      <c r="I41" s="454"/>
      <c r="J41" s="454"/>
      <c r="K41" s="454"/>
      <c r="L41" s="454"/>
      <c r="M41" s="454"/>
      <c r="N41" s="454"/>
      <c r="O41" s="478"/>
      <c r="P41" s="478"/>
    </row>
    <row r="42" spans="1:20" ht="17.399999999999999">
      <c r="A42" s="112" t="s">
        <v>277</v>
      </c>
      <c r="B42" s="256">
        <v>35000</v>
      </c>
      <c r="C42"/>
      <c r="D42" s="454"/>
      <c r="E42" s="454"/>
      <c r="F42" s="454"/>
      <c r="G42" s="454"/>
      <c r="H42" s="1005"/>
      <c r="L42" s="454"/>
      <c r="M42" s="454"/>
      <c r="N42" s="454"/>
      <c r="O42" s="477"/>
      <c r="P42" s="477"/>
    </row>
    <row r="43" spans="1:20" ht="17.399999999999999">
      <c r="A43" s="112" t="s">
        <v>279</v>
      </c>
      <c r="B43" s="256">
        <v>35000</v>
      </c>
      <c r="C43"/>
      <c r="D43" s="454"/>
      <c r="E43" s="454"/>
      <c r="F43" s="454"/>
      <c r="G43" s="454"/>
      <c r="H43" s="1005"/>
      <c r="L43" s="454"/>
      <c r="M43" s="454"/>
      <c r="N43" s="454"/>
      <c r="O43" s="477"/>
      <c r="P43" s="477"/>
    </row>
    <row r="44" spans="1:20" ht="17.399999999999999">
      <c r="A44" s="112" t="s">
        <v>280</v>
      </c>
      <c r="B44" s="256">
        <v>35000</v>
      </c>
      <c r="C44"/>
      <c r="D44" s="454"/>
      <c r="E44" s="454"/>
      <c r="F44" s="454"/>
      <c r="G44" s="454"/>
      <c r="H44" s="1005"/>
      <c r="L44" s="454"/>
      <c r="M44" s="454"/>
      <c r="N44" s="454"/>
      <c r="O44" s="477"/>
      <c r="P44" s="477"/>
      <c r="Q44" s="454"/>
      <c r="R44" s="454"/>
      <c r="S44" s="454"/>
      <c r="T44" s="454"/>
    </row>
    <row r="45" spans="1:20" ht="17.399999999999999">
      <c r="A45" s="112" t="s">
        <v>282</v>
      </c>
      <c r="B45" s="256">
        <v>280000</v>
      </c>
      <c r="C45"/>
      <c r="D45" s="454"/>
      <c r="E45" s="454"/>
      <c r="F45" s="454"/>
      <c r="G45" s="454"/>
      <c r="H45" s="1005"/>
      <c r="L45" s="454"/>
      <c r="M45" s="454"/>
      <c r="N45" s="454"/>
      <c r="O45" s="477"/>
      <c r="P45" s="477"/>
      <c r="Q45" s="454"/>
      <c r="R45" s="454"/>
      <c r="S45" s="454"/>
      <c r="T45" s="454"/>
    </row>
    <row r="46" spans="1:20" ht="17.399999999999999">
      <c r="A46"/>
      <c r="B46"/>
      <c r="C46"/>
      <c r="D46" s="454"/>
      <c r="E46" s="454"/>
      <c r="F46" s="454"/>
      <c r="G46" s="454"/>
      <c r="H46" s="1005"/>
      <c r="I46" s="454"/>
      <c r="J46" s="454"/>
      <c r="K46" s="454"/>
      <c r="L46" s="454"/>
      <c r="M46" s="454"/>
      <c r="N46" s="454"/>
      <c r="O46" s="477"/>
      <c r="P46" s="477"/>
      <c r="Q46" s="454"/>
      <c r="R46" s="454"/>
      <c r="S46" s="454"/>
      <c r="T46" s="454"/>
    </row>
    <row r="47" spans="1:20" ht="17.399999999999999">
      <c r="A47"/>
      <c r="B47"/>
      <c r="C47"/>
      <c r="D47" s="454"/>
      <c r="E47" s="454"/>
      <c r="F47" s="454"/>
      <c r="G47" s="454"/>
      <c r="H47" s="1005"/>
      <c r="I47" s="454"/>
      <c r="J47" s="454"/>
      <c r="K47" s="454"/>
      <c r="L47" s="454"/>
      <c r="M47" s="1024"/>
      <c r="Q47" s="454"/>
      <c r="R47" s="454"/>
    </row>
    <row r="48" spans="1:20" ht="17.399999999999999">
      <c r="A48"/>
      <c r="B48"/>
      <c r="C48"/>
      <c r="D48" s="454"/>
      <c r="E48" s="454"/>
      <c r="F48" s="454"/>
      <c r="L48" s="1024"/>
      <c r="M48" s="1024"/>
    </row>
    <row r="49" spans="1:13" ht="17.399999999999999">
      <c r="A49"/>
      <c r="B49"/>
      <c r="C49"/>
      <c r="D49" s="454"/>
      <c r="E49" s="454"/>
      <c r="F49" s="454"/>
      <c r="L49" s="1024"/>
      <c r="M49" s="1024"/>
    </row>
    <row r="50" spans="1:13" ht="17.399999999999999">
      <c r="A50" s="817"/>
      <c r="B50" s="818"/>
      <c r="C50" s="818"/>
      <c r="D50" s="818"/>
      <c r="E50" s="454"/>
      <c r="F50" s="454"/>
      <c r="L50" s="1024"/>
      <c r="M50" s="1024"/>
    </row>
    <row r="51" spans="1:13" ht="17.399999999999999">
      <c r="A51" s="817"/>
      <c r="B51" s="818"/>
      <c r="C51" s="818"/>
      <c r="D51" s="818"/>
      <c r="E51" s="454"/>
      <c r="F51" s="454"/>
      <c r="L51" s="1024"/>
      <c r="M51" s="1024"/>
    </row>
    <row r="52" spans="1:13" ht="17.399999999999999">
      <c r="A52" s="817"/>
      <c r="B52" s="818"/>
      <c r="C52" s="818"/>
      <c r="D52" s="818"/>
      <c r="E52" s="454"/>
      <c r="F52" s="454"/>
      <c r="L52" s="1024"/>
      <c r="M52" s="1024"/>
    </row>
    <row r="53" spans="1:13" ht="17.399999999999999">
      <c r="A53" s="817" t="s">
        <v>345</v>
      </c>
      <c r="B53" s="817" t="s">
        <v>342</v>
      </c>
      <c r="C53" s="817"/>
      <c r="L53" s="1024"/>
      <c r="M53" s="1024"/>
    </row>
    <row r="54" spans="1:13" ht="17.399999999999999">
      <c r="A54" s="817" t="s">
        <v>11</v>
      </c>
      <c r="B54" s="817" t="s">
        <v>267</v>
      </c>
      <c r="C54" s="817" t="s">
        <v>268</v>
      </c>
      <c r="L54" s="1024"/>
      <c r="M54" s="1024"/>
    </row>
    <row r="55" spans="1:13" ht="17.399999999999999">
      <c r="A55" s="897" t="s">
        <v>283</v>
      </c>
      <c r="B55" s="818">
        <v>280000</v>
      </c>
      <c r="C55" s="818">
        <v>280000</v>
      </c>
    </row>
    <row r="56" spans="1:13" ht="17.399999999999999">
      <c r="A56" s="897" t="s">
        <v>282</v>
      </c>
      <c r="B56" s="818">
        <v>280000</v>
      </c>
      <c r="C56" s="818">
        <v>280000</v>
      </c>
    </row>
    <row r="61" spans="1:13" ht="17.399999999999999">
      <c r="A61" s="817" t="s">
        <v>345</v>
      </c>
      <c r="B61" s="817" t="s">
        <v>342</v>
      </c>
      <c r="C61" s="817"/>
    </row>
    <row r="62" spans="1:13" ht="17.399999999999999">
      <c r="A62" s="817" t="s">
        <v>11</v>
      </c>
      <c r="B62" s="817" t="s">
        <v>267</v>
      </c>
      <c r="C62" s="817" t="s">
        <v>268</v>
      </c>
    </row>
    <row r="63" spans="1:13" ht="17.399999999999999">
      <c r="A63" s="897" t="s">
        <v>283</v>
      </c>
      <c r="B63" s="1007">
        <v>1</v>
      </c>
      <c r="C63" s="1007">
        <v>1</v>
      </c>
    </row>
    <row r="64" spans="1:13" ht="17.399999999999999">
      <c r="A64" s="897" t="s">
        <v>282</v>
      </c>
      <c r="B64" s="1007">
        <v>1</v>
      </c>
      <c r="C64" s="1007">
        <v>1</v>
      </c>
    </row>
    <row r="69" spans="1:4" ht="17.399999999999999">
      <c r="A69" s="817" t="s">
        <v>361</v>
      </c>
      <c r="B69" s="817"/>
      <c r="C69" s="817" t="s">
        <v>342</v>
      </c>
      <c r="D69" s="817"/>
    </row>
    <row r="70" spans="1:4" ht="17.399999999999999">
      <c r="A70" s="817" t="s">
        <v>11</v>
      </c>
      <c r="B70" s="817" t="s">
        <v>346</v>
      </c>
      <c r="C70" s="817" t="s">
        <v>267</v>
      </c>
      <c r="D70" s="817" t="s">
        <v>268</v>
      </c>
    </row>
    <row r="71" spans="1:4" ht="17.399999999999999">
      <c r="A71" s="817" t="s">
        <v>283</v>
      </c>
      <c r="B71" s="817" t="s">
        <v>21</v>
      </c>
      <c r="C71" s="818">
        <v>280000</v>
      </c>
      <c r="D71" s="818">
        <v>280000</v>
      </c>
    </row>
    <row r="72" spans="1:4" ht="17.399999999999999">
      <c r="A72" s="817" t="s">
        <v>282</v>
      </c>
      <c r="B72" s="817"/>
      <c r="C72" s="818">
        <v>280000</v>
      </c>
      <c r="D72" s="818">
        <v>280000</v>
      </c>
    </row>
  </sheetData>
  <sheetProtection algorithmName="SHA-512" hashValue="LSrj+rq3HIiCSXmVXcRxBlF4JiIr1LhZMEWWtZnWzDrBXQ8t4MIYGAmYZit26omsH+ln7RYuw4JsAxPfudgSvw==" saltValue="1fvuB5JQZyivKpb27gPWGA==" spinCount="100000" sheet="1" formatColumns="0" autoFilter="0"/>
  <autoFilter ref="A1:W17" xr:uid="{9C824C59-4CF0-4629-8F13-89E652646F84}"/>
  <conditionalFormatting sqref="L2:L17">
    <cfRule type="cellIs" dxfId="346" priority="45" operator="equal">
      <formula>"HUBB"</formula>
    </cfRule>
    <cfRule type="cellIs" dxfId="345" priority="46" operator="equal">
      <formula>"ROSS"</formula>
    </cfRule>
    <cfRule type="cellIs" dxfId="344" priority="47" operator="equal">
      <formula>"COBB"</formula>
    </cfRule>
  </conditionalFormatting>
  <conditionalFormatting sqref="M2:M17">
    <cfRule type="cellIs" dxfId="343" priority="1" operator="equal">
      <formula>"800 SLOW - MALE"</formula>
    </cfRule>
    <cfRule type="cellIs" dxfId="342" priority="5" operator="equal">
      <formula>"500 SLOW - MV"</formula>
    </cfRule>
    <cfRule type="cellIs" dxfId="341" priority="6" operator="equal">
      <formula>"500 FAST - MALE"</formula>
    </cfRule>
    <cfRule type="cellIs" dxfId="340" priority="7" operator="equal">
      <formula>"500 SLOW - MX"</formula>
    </cfRule>
    <cfRule type="cellIs" dxfId="339" priority="8" operator="equal">
      <formula>"EFFICIENCY PLUS_M77"</formula>
    </cfRule>
    <cfRule type="cellIs" dxfId="338" priority="9" operator="equal">
      <formula>"AP95 - 344  JBS"</formula>
    </cfRule>
    <cfRule type="cellIs" dxfId="337" priority="10" operator="equal">
      <formula>"500 SLOW - MALE JBS"</formula>
    </cfRule>
    <cfRule type="cellIs" dxfId="336" priority="11" operator="equal">
      <formula>"AP95 - 344"</formula>
    </cfRule>
    <cfRule type="cellIs" dxfId="335" priority="12" operator="equal">
      <formula>"800 SLOW CDP4 - MALE"</formula>
    </cfRule>
    <cfRule type="cellIs" dxfId="334" priority="13" operator="equal">
      <formula>"800 SLOW CDP4 - MX"</formula>
    </cfRule>
    <cfRule type="cellIs" dxfId="333" priority="14" operator="equal">
      <formula>"500 SLOW - MALE"</formula>
    </cfRule>
  </conditionalFormatting>
  <pageMargins left="0.51181102362204722" right="0.51181102362204722" top="0.78740157480314965" bottom="0.78740157480314965" header="0.31496062992125984" footer="0.31496062992125984"/>
  <pageSetup paperSize="9" scale="65" orientation="landscape" horizontalDpi="4294967293" r:id="rId5"/>
  <drawing r:id="rId6"/>
  <legacyDrawing r:id="rId7"/>
  <extLst>
    <ext xmlns:x15="http://schemas.microsoft.com/office/spreadsheetml/2010/11/main" uri="{7E03D99C-DC04-49d9-9315-930204A7B6E9}">
      <x15:timelineRefs>
        <x15:timelineRef r:id="rId8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6B90-F510-4A98-897D-587EA8C0DB2D}">
  <sheetPr codeName="Planilha4">
    <tabColor rgb="FFFF0000"/>
    <pageSetUpPr fitToPage="1"/>
  </sheetPr>
  <dimension ref="A1:AA328"/>
  <sheetViews>
    <sheetView showGridLines="0" topLeftCell="G1" zoomScale="70" zoomScaleNormal="70" zoomScaleSheetLayoutView="70" workbookViewId="0">
      <pane ySplit="1" topLeftCell="A133" activePane="bottomLeft" state="frozen"/>
      <selection activeCell="A106" sqref="A106:XFD106"/>
      <selection pane="bottomLeft" activeCell="J186" sqref="J186"/>
    </sheetView>
  </sheetViews>
  <sheetFormatPr defaultColWidth="14.3984375" defaultRowHeight="15" customHeight="1"/>
  <cols>
    <col min="1" max="1" width="6.3984375" customWidth="1"/>
    <col min="2" max="2" width="19" bestFit="1" customWidth="1"/>
    <col min="3" max="3" width="21.3984375" hidden="1" customWidth="1"/>
    <col min="4" max="4" width="24.69921875" bestFit="1" customWidth="1"/>
    <col min="5" max="5" width="18.296875" customWidth="1"/>
    <col min="6" max="6" width="8" customWidth="1"/>
    <col min="7" max="7" width="13.3984375" customWidth="1"/>
    <col min="8" max="8" width="28" bestFit="1" customWidth="1"/>
    <col min="9" max="9" width="14.09765625" bestFit="1" customWidth="1"/>
    <col min="10" max="11" width="15.3984375" bestFit="1" customWidth="1"/>
    <col min="12" max="12" width="25.296875" bestFit="1" customWidth="1"/>
    <col min="13" max="13" width="24.296875" customWidth="1"/>
    <col min="14" max="14" width="22.3984375" customWidth="1"/>
    <col min="15" max="15" width="11.3984375" customWidth="1"/>
    <col min="16" max="16" width="14" style="200" bestFit="1" customWidth="1"/>
    <col min="17" max="17" width="34" style="223" bestFit="1" customWidth="1"/>
    <col min="18" max="18" width="20.09765625" bestFit="1" customWidth="1"/>
    <col min="19" max="20" width="15" bestFit="1" customWidth="1"/>
    <col min="21" max="21" width="9.3984375" bestFit="1" customWidth="1"/>
    <col min="22" max="22" width="13.3984375" customWidth="1"/>
    <col min="23" max="23" width="38.8984375" bestFit="1" customWidth="1"/>
    <col min="24" max="24" width="13.09765625" bestFit="1" customWidth="1"/>
    <col min="25" max="25" width="10.09765625" bestFit="1" customWidth="1"/>
  </cols>
  <sheetData>
    <row r="1" spans="1:24" ht="18.75" customHeight="1">
      <c r="A1" s="7" t="s">
        <v>0</v>
      </c>
      <c r="B1" s="7" t="s">
        <v>1</v>
      </c>
      <c r="C1" s="7" t="s">
        <v>342</v>
      </c>
      <c r="D1" s="7" t="s">
        <v>2</v>
      </c>
      <c r="E1" s="7" t="s">
        <v>3</v>
      </c>
      <c r="F1" s="7" t="s">
        <v>362</v>
      </c>
      <c r="G1" s="8" t="s">
        <v>5</v>
      </c>
      <c r="H1" s="7" t="s">
        <v>293</v>
      </c>
      <c r="I1" s="7" t="s">
        <v>8</v>
      </c>
      <c r="J1" s="7" t="s">
        <v>9</v>
      </c>
      <c r="K1" s="7" t="s">
        <v>10</v>
      </c>
      <c r="L1" s="7" t="s">
        <v>346</v>
      </c>
      <c r="M1" s="9" t="s">
        <v>13</v>
      </c>
      <c r="N1" s="9" t="s">
        <v>363</v>
      </c>
      <c r="O1" s="7" t="s">
        <v>3</v>
      </c>
      <c r="P1" s="8" t="s">
        <v>5</v>
      </c>
      <c r="Q1" s="217" t="s">
        <v>295</v>
      </c>
      <c r="R1" s="10" t="s">
        <v>8</v>
      </c>
      <c r="S1" s="7" t="s">
        <v>14</v>
      </c>
      <c r="T1" s="7" t="s">
        <v>15</v>
      </c>
      <c r="U1" s="6" t="s">
        <v>10</v>
      </c>
      <c r="V1" s="1" t="s">
        <v>16</v>
      </c>
    </row>
    <row r="2" spans="1:24" ht="14.25" customHeight="1">
      <c r="A2" s="25" t="s">
        <v>17</v>
      </c>
      <c r="B2" s="24">
        <v>45392</v>
      </c>
      <c r="C2" s="25">
        <f>YEAR(B2)</f>
        <v>2024</v>
      </c>
      <c r="D2" s="30">
        <v>45393</v>
      </c>
      <c r="E2" s="26" t="s">
        <v>364</v>
      </c>
      <c r="F2" s="27">
        <f t="shared" ref="F2:F65" ca="1" si="0">IF((TODAY()-D2)/7&gt;T2,T2,(TODAY()-D2)/7)</f>
        <v>69</v>
      </c>
      <c r="G2" s="27" t="str">
        <f>IFERROR(VLOOKUP(H2,Encerrados!#REF!,3,FALSE),
IFERROR(VLOOKUP(H2,Encerrados!#REF!,3,FALSE),
IFERROR(VLOOKUP(H2,Encerrados!#REF!,3,FALSE),
IFERROR(VLOOKUP(H2,Encerrados!#REF!,3,FALSE),"-"))))</f>
        <v>-</v>
      </c>
      <c r="H2" s="28" t="s">
        <v>89</v>
      </c>
      <c r="I2" s="29"/>
      <c r="J2" s="25" t="s">
        <v>20</v>
      </c>
      <c r="K2" s="25">
        <v>26</v>
      </c>
      <c r="L2" s="11" t="s">
        <v>365</v>
      </c>
      <c r="M2" s="21">
        <f t="shared" ref="M2:M54" si="1">D2+(22*7)-7</f>
        <v>45540</v>
      </c>
      <c r="N2" s="21">
        <f t="shared" ref="N2:N55" si="2">D2+24*7</f>
        <v>45561</v>
      </c>
      <c r="O2" s="20" t="s">
        <v>366</v>
      </c>
      <c r="P2" s="20" t="str">
        <f>IFERROR(VLOOKUP(Q2,Encerrados!#REF!,3,FALSE),
IFERROR(VLOOKUP(Q2,Encerrados!#REF!,3,FALSE),
IFERROR(VLOOKUP(Q2,Encerrados!#REF!,3,FALSE),
IFERROR(VLOOKUP(Q2,Encerrados!#REF!,3,FALSE),"-"))))</f>
        <v>-</v>
      </c>
      <c r="Q2" s="183" t="s">
        <v>93</v>
      </c>
      <c r="R2" s="22">
        <v>15376</v>
      </c>
      <c r="S2" s="159">
        <f>D2+(T2*7)-1</f>
        <v>45875</v>
      </c>
      <c r="T2" s="160">
        <v>69</v>
      </c>
      <c r="U2" s="59">
        <f>M111-S2</f>
        <v>57</v>
      </c>
      <c r="V2" s="60">
        <f>IFERROR(S2+U2," ")</f>
        <v>45932</v>
      </c>
      <c r="W2" t="str">
        <f>VLOOKUP(Q2,Q49:Q189,1,0)</f>
        <v>Faxinal 2 - SC</v>
      </c>
    </row>
    <row r="3" spans="1:24" ht="14.25" customHeight="1">
      <c r="A3" s="15" t="s">
        <v>17</v>
      </c>
      <c r="B3" s="24">
        <v>45426</v>
      </c>
      <c r="C3" s="25">
        <f t="shared" ref="C3:C55" si="3">YEAR(B3)</f>
        <v>2024</v>
      </c>
      <c r="D3" s="14">
        <v>45428</v>
      </c>
      <c r="E3" s="16" t="s">
        <v>367</v>
      </c>
      <c r="F3" s="17">
        <f t="shared" ca="1" si="0"/>
        <v>68</v>
      </c>
      <c r="G3" s="17" t="str">
        <f>IFERROR(VLOOKUP(H3,Encerrados!#REF!,3,FALSE),
IFERROR(VLOOKUP(H3,Encerrados!#REF!,3,FALSE),
IFERROR(VLOOKUP(H3,Encerrados!#REF!,3,FALSE),
IFERROR(VLOOKUP(H3,Encerrados!#REF!,3,FALSE),"-"))))</f>
        <v>-</v>
      </c>
      <c r="H3" s="28" t="s">
        <v>115</v>
      </c>
      <c r="I3" s="29">
        <v>63000</v>
      </c>
      <c r="J3" s="25" t="s">
        <v>45</v>
      </c>
      <c r="K3" s="25">
        <f>B64-M3</f>
        <v>68</v>
      </c>
      <c r="L3" s="12" t="s">
        <v>368</v>
      </c>
      <c r="M3" s="21">
        <f t="shared" si="1"/>
        <v>45575</v>
      </c>
      <c r="N3" s="21">
        <f t="shared" si="2"/>
        <v>45596</v>
      </c>
      <c r="O3" s="20" t="s">
        <v>369</v>
      </c>
      <c r="P3" s="20" t="str">
        <f>IFERROR(VLOOKUP(Q3,Encerrados!#REF!,3,FALSE),
IFERROR(VLOOKUP(Q3,Encerrados!#REF!,3,FALSE),
IFERROR(VLOOKUP(Q3,Encerrados!#REF!,3,FALSE),
IFERROR(VLOOKUP(Q3,Encerrados!#REF!,3,FALSE),"-"))))</f>
        <v>-</v>
      </c>
      <c r="Q3" s="183" t="s">
        <v>99</v>
      </c>
      <c r="R3" s="22">
        <v>58048</v>
      </c>
      <c r="S3" s="159">
        <f t="shared" ref="S3:S66" si="4">D3+(T3*7)-1</f>
        <v>45903</v>
      </c>
      <c r="T3" s="160">
        <v>68</v>
      </c>
      <c r="U3" s="59">
        <f>M112-S3</f>
        <v>29</v>
      </c>
      <c r="V3" s="60">
        <f t="shared" ref="V3:V66" si="5">IFERROR(S3+U3," ")</f>
        <v>45932</v>
      </c>
      <c r="W3" t="str">
        <f>VLOOKUP(Q3,Q52:Q175,1,0)</f>
        <v>Nona Tere - PR</v>
      </c>
    </row>
    <row r="4" spans="1:24" ht="14.25" customHeight="1">
      <c r="A4" s="15" t="s">
        <v>17</v>
      </c>
      <c r="B4" s="24">
        <v>45423</v>
      </c>
      <c r="C4" s="25">
        <f t="shared" si="3"/>
        <v>2024</v>
      </c>
      <c r="D4" s="14">
        <v>45421</v>
      </c>
      <c r="E4" s="16" t="s">
        <v>370</v>
      </c>
      <c r="F4" s="17">
        <f t="shared" ca="1" si="0"/>
        <v>72</v>
      </c>
      <c r="G4" s="17" t="str">
        <f>IFERROR(VLOOKUP(H4,Encerrados!#REF!,3,FALSE),
IFERROR(VLOOKUP(H4,Encerrados!#REF!,3,FALSE),
IFERROR(VLOOKUP(H4,Encerrados!#REF!,3,FALSE),
IFERROR(VLOOKUP(H4,Encerrados!#REF!,3,FALSE),"-"))))</f>
        <v>-</v>
      </c>
      <c r="H4" s="28" t="s">
        <v>132</v>
      </c>
      <c r="I4" s="29">
        <v>36000</v>
      </c>
      <c r="J4" s="25" t="s">
        <v>45</v>
      </c>
      <c r="K4" s="25">
        <v>57</v>
      </c>
      <c r="L4" s="11" t="s">
        <v>365</v>
      </c>
      <c r="M4" s="21">
        <f t="shared" si="1"/>
        <v>45568</v>
      </c>
      <c r="N4" s="21">
        <f t="shared" si="2"/>
        <v>45589</v>
      </c>
      <c r="O4" s="20" t="s">
        <v>371</v>
      </c>
      <c r="P4" s="20" t="str">
        <f>IFERROR(VLOOKUP(Q4,Encerrados!#REF!,3,FALSE),
IFERROR(VLOOKUP(Q4,Encerrados!#REF!,3,FALSE),
IFERROR(VLOOKUP(Q4,Encerrados!#REF!,3,FALSE),
IFERROR(VLOOKUP(Q4,Encerrados!#REF!,3,FALSE),"-"))))</f>
        <v>-</v>
      </c>
      <c r="Q4" s="183" t="s">
        <v>105</v>
      </c>
      <c r="R4" s="22">
        <f>32780+362</f>
        <v>33142</v>
      </c>
      <c r="S4" s="159">
        <f t="shared" si="4"/>
        <v>45924</v>
      </c>
      <c r="T4" s="160">
        <v>72</v>
      </c>
      <c r="U4" s="59">
        <f>M115-S4</f>
        <v>29</v>
      </c>
      <c r="V4" s="60">
        <f t="shared" si="5"/>
        <v>45953</v>
      </c>
      <c r="W4" t="str">
        <f>VLOOKUP(Q4,Q54:Q178,1,0)</f>
        <v>São Miguel - PR</v>
      </c>
    </row>
    <row r="5" spans="1:24" ht="14.25" customHeight="1">
      <c r="A5" s="15" t="s">
        <v>17</v>
      </c>
      <c r="B5" s="24">
        <v>45428</v>
      </c>
      <c r="C5" s="25">
        <f t="shared" si="3"/>
        <v>2024</v>
      </c>
      <c r="D5" s="14">
        <v>45428</v>
      </c>
      <c r="E5" s="16" t="s">
        <v>372</v>
      </c>
      <c r="F5" s="17">
        <f t="shared" ca="1" si="0"/>
        <v>71</v>
      </c>
      <c r="G5" s="17" t="str">
        <f>IFERROR(VLOOKUP(H5,Encerrados!#REF!,3,FALSE),
IFERROR(VLOOKUP(H5,Encerrados!#REF!,3,FALSE),
IFERROR(VLOOKUP(H5,Encerrados!#REF!,3,FALSE),
IFERROR(VLOOKUP(H5,Encerrados!#REF!,3,FALSE),"-"))))</f>
        <v>-</v>
      </c>
      <c r="H5" s="28" t="s">
        <v>104</v>
      </c>
      <c r="I5" s="29">
        <v>66000</v>
      </c>
      <c r="J5" s="25" t="s">
        <v>60</v>
      </c>
      <c r="K5" s="25">
        <v>26</v>
      </c>
      <c r="L5" s="11" t="s">
        <v>365</v>
      </c>
      <c r="M5" s="21">
        <f t="shared" si="1"/>
        <v>45575</v>
      </c>
      <c r="N5" s="21">
        <f t="shared" si="2"/>
        <v>45596</v>
      </c>
      <c r="O5" s="20" t="s">
        <v>371</v>
      </c>
      <c r="P5" s="20" t="str">
        <f>IFERROR(VLOOKUP(Q5,Encerrados!#REF!,3,FALSE),
IFERROR(VLOOKUP(Q5,Encerrados!#REF!,3,FALSE),
IFERROR(VLOOKUP(Q5,Encerrados!#REF!,3,FALSE),
IFERROR(VLOOKUP(Q5,Encerrados!#REF!,3,FALSE),"-"))))</f>
        <v>-</v>
      </c>
      <c r="Q5" s="183" t="s">
        <v>105</v>
      </c>
      <c r="R5" s="22">
        <v>7220</v>
      </c>
      <c r="S5" s="159">
        <f t="shared" si="4"/>
        <v>45924</v>
      </c>
      <c r="T5" s="160">
        <v>71</v>
      </c>
      <c r="U5" s="59">
        <f>M115-S4</f>
        <v>29</v>
      </c>
      <c r="V5" s="60">
        <f t="shared" si="5"/>
        <v>45953</v>
      </c>
      <c r="W5" t="str">
        <f>VLOOKUP(Q5,Q55:Q190,1,0)</f>
        <v>São Miguel - PR</v>
      </c>
      <c r="X5" s="132">
        <f t="shared" ref="X5:X68" si="6">N5</f>
        <v>45596</v>
      </c>
    </row>
    <row r="6" spans="1:24" ht="14.25" customHeight="1">
      <c r="A6" s="15" t="s">
        <v>17</v>
      </c>
      <c r="B6" s="24">
        <v>45428</v>
      </c>
      <c r="C6" s="25">
        <f t="shared" si="3"/>
        <v>2024</v>
      </c>
      <c r="D6" s="14">
        <v>45428</v>
      </c>
      <c r="E6" s="16" t="s">
        <v>372</v>
      </c>
      <c r="F6" s="17">
        <f t="shared" ca="1" si="0"/>
        <v>66</v>
      </c>
      <c r="G6" s="17" t="str">
        <f>IFERROR(VLOOKUP(H6,Encerrados!#REF!,3,FALSE),
IFERROR(VLOOKUP(H6,Encerrados!#REF!,3,FALSE),
IFERROR(VLOOKUP(H6,Encerrados!#REF!,3,FALSE),
IFERROR(VLOOKUP(H6,Encerrados!#REF!,3,FALSE),"-"))))</f>
        <v>-</v>
      </c>
      <c r="H6" s="28" t="s">
        <v>104</v>
      </c>
      <c r="I6" s="29"/>
      <c r="J6" s="25" t="s">
        <v>60</v>
      </c>
      <c r="K6" s="25">
        <v>26</v>
      </c>
      <c r="L6" s="11" t="s">
        <v>365</v>
      </c>
      <c r="M6" s="21">
        <f t="shared" si="1"/>
        <v>45575</v>
      </c>
      <c r="N6" s="21">
        <f t="shared" si="2"/>
        <v>45596</v>
      </c>
      <c r="O6" s="20" t="s">
        <v>373</v>
      </c>
      <c r="P6" s="20" t="str">
        <f>IFERROR(VLOOKUP(Q6,Encerrados!#REF!,3,FALSE),
IFERROR(VLOOKUP(Q6,Encerrados!#REF!,3,FALSE),
IFERROR(VLOOKUP(Q6,Encerrados!#REF!,3,FALSE),
IFERROR(VLOOKUP(Q6,Encerrados!#REF!,3,FALSE),"-"))))</f>
        <v>-</v>
      </c>
      <c r="Q6" s="183" t="s">
        <v>87</v>
      </c>
      <c r="R6" s="22">
        <v>56416</v>
      </c>
      <c r="S6" s="159">
        <f t="shared" si="4"/>
        <v>45889</v>
      </c>
      <c r="T6" s="160">
        <v>66</v>
      </c>
      <c r="U6" s="59">
        <f>M105-S6</f>
        <v>36</v>
      </c>
      <c r="V6" s="60">
        <f t="shared" si="5"/>
        <v>45925</v>
      </c>
      <c r="W6" t="str">
        <f>VLOOKUP(Q6,Q56:Q181,1,0)</f>
        <v>Renascença 1 - PR</v>
      </c>
      <c r="X6" s="132">
        <f t="shared" si="6"/>
        <v>45596</v>
      </c>
    </row>
    <row r="7" spans="1:24" ht="13.5" customHeight="1">
      <c r="A7" s="25" t="s">
        <v>17</v>
      </c>
      <c r="B7" s="24">
        <v>45442</v>
      </c>
      <c r="C7" s="25">
        <f t="shared" si="3"/>
        <v>2024</v>
      </c>
      <c r="D7" s="30">
        <v>45442</v>
      </c>
      <c r="E7" s="16" t="s">
        <v>374</v>
      </c>
      <c r="F7" s="27">
        <f t="shared" ca="1" si="0"/>
        <v>69</v>
      </c>
      <c r="G7" s="27" t="str">
        <f>IFERROR(VLOOKUP(H7,Encerrados!#REF!,3,FALSE),
IFERROR(VLOOKUP(H7,Encerrados!#REF!,3,FALSE),
IFERROR(VLOOKUP(H7,Encerrados!#REF!,3,FALSE),
IFERROR(VLOOKUP(H7,Encerrados!#REF!,3,FALSE),"-"))))</f>
        <v>-</v>
      </c>
      <c r="H7" s="28" t="s">
        <v>375</v>
      </c>
      <c r="I7" s="29">
        <v>42000</v>
      </c>
      <c r="J7" s="25" t="s">
        <v>60</v>
      </c>
      <c r="K7" s="25">
        <v>19</v>
      </c>
      <c r="L7" s="38" t="s">
        <v>376</v>
      </c>
      <c r="M7" s="21">
        <f t="shared" si="1"/>
        <v>45589</v>
      </c>
      <c r="N7" s="21">
        <f t="shared" si="2"/>
        <v>45610</v>
      </c>
      <c r="O7" s="20" t="s">
        <v>377</v>
      </c>
      <c r="P7" s="20" t="str">
        <f>IFERROR(VLOOKUP(Q7,Encerrados!#REF!,3,FALSE),
IFERROR(VLOOKUP(Q7,Encerrados!#REF!,3,FALSE),
IFERROR(VLOOKUP(Q7,Encerrados!#REF!,3,FALSE),
IFERROR(VLOOKUP(Q7,Encerrados!#REF!,3,FALSE),"-"))))</f>
        <v>-</v>
      </c>
      <c r="Q7" s="183" t="s">
        <v>113</v>
      </c>
      <c r="R7" s="22">
        <v>40620</v>
      </c>
      <c r="S7" s="159">
        <f t="shared" si="4"/>
        <v>45924</v>
      </c>
      <c r="T7" s="160">
        <v>69</v>
      </c>
      <c r="U7" s="59">
        <f>M119-S7</f>
        <v>29</v>
      </c>
      <c r="V7" s="60">
        <f t="shared" si="5"/>
        <v>45953</v>
      </c>
      <c r="W7" t="str">
        <f>VLOOKUP(Q7,Q57:Q190,1,0)</f>
        <v>Bom sucesso 4 - PR</v>
      </c>
      <c r="X7" s="132">
        <f t="shared" si="6"/>
        <v>45610</v>
      </c>
    </row>
    <row r="8" spans="1:24" ht="14.25" customHeight="1">
      <c r="A8" s="25" t="s">
        <v>17</v>
      </c>
      <c r="B8" s="24">
        <v>45442</v>
      </c>
      <c r="C8" s="25">
        <f t="shared" si="3"/>
        <v>2024</v>
      </c>
      <c r="D8" s="30">
        <v>45442</v>
      </c>
      <c r="E8" s="16" t="s">
        <v>378</v>
      </c>
      <c r="F8" s="27">
        <f t="shared" ca="1" si="0"/>
        <v>66</v>
      </c>
      <c r="G8" s="27" t="str">
        <f>IFERROR(VLOOKUP(H8,Encerrados!#REF!,3,FALSE),
IFERROR(VLOOKUP(H8,Encerrados!#REF!,3,FALSE),
IFERROR(VLOOKUP(H8,Encerrados!#REF!,3,FALSE),
IFERROR(VLOOKUP(H8,Encerrados!#REF!,3,FALSE),"-"))))</f>
        <v>-</v>
      </c>
      <c r="H8" s="28" t="s">
        <v>120</v>
      </c>
      <c r="I8" s="29">
        <v>50000</v>
      </c>
      <c r="J8" s="25" t="s">
        <v>45</v>
      </c>
      <c r="K8" s="25">
        <v>49</v>
      </c>
      <c r="L8" s="12" t="s">
        <v>368</v>
      </c>
      <c r="M8" s="21">
        <f t="shared" si="1"/>
        <v>45589</v>
      </c>
      <c r="N8" s="21">
        <f t="shared" si="2"/>
        <v>45610</v>
      </c>
      <c r="O8" s="20" t="s">
        <v>379</v>
      </c>
      <c r="P8" s="20" t="str">
        <f>IFERROR(VLOOKUP(Q8,Encerrados!#REF!,3,FALSE),
IFERROR(VLOOKUP(Q8,Encerrados!#REF!,3,FALSE),
IFERROR(VLOOKUP(Q8,Encerrados!#REF!,3,FALSE),
IFERROR(VLOOKUP(Q8,Encerrados!#REF!,3,FALSE),"-"))))</f>
        <v>-</v>
      </c>
      <c r="Q8" s="183" t="s">
        <v>121</v>
      </c>
      <c r="R8" s="22">
        <v>47680</v>
      </c>
      <c r="S8" s="159">
        <f t="shared" si="4"/>
        <v>45903</v>
      </c>
      <c r="T8" s="160">
        <v>66</v>
      </c>
      <c r="U8" s="59">
        <f>M123-S8</f>
        <v>64</v>
      </c>
      <c r="V8" s="60">
        <f t="shared" si="5"/>
        <v>45967</v>
      </c>
      <c r="W8" t="str">
        <f>VLOOKUP(Q8,Q58:Q190,1,0)</f>
        <v>Salto Caxias Prod. 2 - PR</v>
      </c>
      <c r="X8" s="132">
        <f t="shared" si="6"/>
        <v>45610</v>
      </c>
    </row>
    <row r="9" spans="1:24" ht="14.25" customHeight="1">
      <c r="A9" s="25" t="s">
        <v>17</v>
      </c>
      <c r="B9" s="24">
        <v>45449</v>
      </c>
      <c r="C9" s="25">
        <f t="shared" si="3"/>
        <v>2024</v>
      </c>
      <c r="D9" s="30">
        <v>45449</v>
      </c>
      <c r="E9" s="26" t="s">
        <v>380</v>
      </c>
      <c r="F9" s="27">
        <f t="shared" ca="1" si="0"/>
        <v>66</v>
      </c>
      <c r="G9" s="27" t="str">
        <f>IFERROR(VLOOKUP(H9,Encerrados!#REF!,3,FALSE),
IFERROR(VLOOKUP(H9,Encerrados!#REF!,3,FALSE),
IFERROR(VLOOKUP(H9,Encerrados!#REF!,3,FALSE),
IFERROR(VLOOKUP(H9,Encerrados!#REF!,3,FALSE),"-"))))</f>
        <v>-</v>
      </c>
      <c r="H9" s="28" t="s">
        <v>129</v>
      </c>
      <c r="I9" s="29">
        <v>37500</v>
      </c>
      <c r="J9" s="25" t="s">
        <v>45</v>
      </c>
      <c r="K9" s="25">
        <v>54</v>
      </c>
      <c r="L9" s="11" t="s">
        <v>381</v>
      </c>
      <c r="M9" s="21">
        <f t="shared" si="1"/>
        <v>45596</v>
      </c>
      <c r="N9" s="21">
        <f t="shared" si="2"/>
        <v>45617</v>
      </c>
      <c r="O9" s="20" t="s">
        <v>382</v>
      </c>
      <c r="P9" s="20" t="str">
        <f>IFERROR(VLOOKUP(Q9,Encerrados!#REF!,3,FALSE),
IFERROR(VLOOKUP(Q9,Encerrados!#REF!,3,FALSE),
IFERROR(VLOOKUP(Q9,Encerrados!#REF!,3,FALSE),
IFERROR(VLOOKUP(Q9,Encerrados!#REF!,3,FALSE),"-"))))</f>
        <v>-</v>
      </c>
      <c r="Q9" s="183" t="s">
        <v>102</v>
      </c>
      <c r="R9" s="22">
        <v>36966</v>
      </c>
      <c r="S9" s="159">
        <f t="shared" si="4"/>
        <v>45910</v>
      </c>
      <c r="T9" s="160">
        <v>66</v>
      </c>
      <c r="U9" s="59">
        <f>M114-S9</f>
        <v>36</v>
      </c>
      <c r="V9" s="60">
        <f t="shared" si="5"/>
        <v>45946</v>
      </c>
      <c r="W9" t="str">
        <f>VLOOKUP(Q9,Q59:Q191,1,0)</f>
        <v>Miotto - PR</v>
      </c>
      <c r="X9" s="132">
        <f t="shared" si="6"/>
        <v>45617</v>
      </c>
    </row>
    <row r="10" spans="1:24" ht="14.25" customHeight="1">
      <c r="A10" s="25" t="s">
        <v>383</v>
      </c>
      <c r="B10" s="24">
        <v>45449</v>
      </c>
      <c r="C10" s="25">
        <f t="shared" si="3"/>
        <v>2024</v>
      </c>
      <c r="D10" s="30">
        <v>45449</v>
      </c>
      <c r="E10" s="26" t="s">
        <v>384</v>
      </c>
      <c r="F10" s="27">
        <f t="shared" ca="1" si="0"/>
        <v>69</v>
      </c>
      <c r="G10" s="27" t="str">
        <f>IFERROR(VLOOKUP(H10,Encerrados!#REF!,3,FALSE),
IFERROR(VLOOKUP(H10,Encerrados!#REF!,3,FALSE),
IFERROR(VLOOKUP(H10,Encerrados!#REF!,3,FALSE),
IFERROR(VLOOKUP(H10,Encerrados!#REF!,3,FALSE),"-"))))</f>
        <v>-</v>
      </c>
      <c r="H10" s="28" t="s">
        <v>385</v>
      </c>
      <c r="I10" s="29">
        <v>80000</v>
      </c>
      <c r="J10" s="25" t="s">
        <v>45</v>
      </c>
      <c r="K10" s="25">
        <v>51</v>
      </c>
      <c r="L10" s="11" t="s">
        <v>365</v>
      </c>
      <c r="M10" s="21">
        <f t="shared" si="1"/>
        <v>45596</v>
      </c>
      <c r="N10" s="21">
        <f t="shared" si="2"/>
        <v>45617</v>
      </c>
      <c r="O10" s="20" t="s">
        <v>386</v>
      </c>
      <c r="P10" s="20" t="str">
        <f>IFERROR(VLOOKUP(Q10,Encerrados!#REF!,3,FALSE),
IFERROR(VLOOKUP(Q10,Encerrados!#REF!,3,FALSE),
IFERROR(VLOOKUP(Q10,Encerrados!#REF!,3,FALSE),
IFERROR(VLOOKUP(Q10,Encerrados!#REF!,3,FALSE),"-"))))</f>
        <v>-</v>
      </c>
      <c r="Q10" s="183" t="s">
        <v>117</v>
      </c>
      <c r="R10" s="22">
        <v>46000</v>
      </c>
      <c r="S10" s="159">
        <f t="shared" si="4"/>
        <v>45931</v>
      </c>
      <c r="T10" s="160">
        <v>69</v>
      </c>
      <c r="U10" s="59">
        <f>M121-S10</f>
        <v>36</v>
      </c>
      <c r="V10" s="60">
        <f t="shared" si="5"/>
        <v>45967</v>
      </c>
      <c r="W10" t="str">
        <f>VLOOKUP(Q10,Q60:Q191,1,0)</f>
        <v>Ponte serrada 2 - SC</v>
      </c>
      <c r="X10" s="132">
        <f t="shared" si="6"/>
        <v>45617</v>
      </c>
    </row>
    <row r="11" spans="1:24" ht="14.25" customHeight="1">
      <c r="A11" s="25" t="s">
        <v>383</v>
      </c>
      <c r="B11" s="24">
        <v>45449</v>
      </c>
      <c r="C11" s="25">
        <f t="shared" si="3"/>
        <v>2024</v>
      </c>
      <c r="D11" s="30">
        <v>45449</v>
      </c>
      <c r="E11" s="26" t="s">
        <v>384</v>
      </c>
      <c r="F11" s="27">
        <f t="shared" ca="1" si="0"/>
        <v>68</v>
      </c>
      <c r="G11" s="27" t="str">
        <f>IFERROR(VLOOKUP(H11,Encerrados!#REF!,3,FALSE),
IFERROR(VLOOKUP(H11,Encerrados!#REF!,3,FALSE),
IFERROR(VLOOKUP(H11,Encerrados!#REF!,3,FALSE),
IFERROR(VLOOKUP(H11,Encerrados!#REF!,3,FALSE),"-"))))</f>
        <v>-</v>
      </c>
      <c r="H11" s="28" t="s">
        <v>385</v>
      </c>
      <c r="I11" s="29"/>
      <c r="J11" s="25" t="s">
        <v>45</v>
      </c>
      <c r="K11" s="25">
        <v>51</v>
      </c>
      <c r="L11" s="11" t="s">
        <v>365</v>
      </c>
      <c r="M11" s="21">
        <f t="shared" si="1"/>
        <v>45596</v>
      </c>
      <c r="N11" s="21">
        <f t="shared" si="2"/>
        <v>45617</v>
      </c>
      <c r="O11" s="20" t="s">
        <v>387</v>
      </c>
      <c r="P11" s="20" t="str">
        <f>IFERROR(VLOOKUP(Q11,Encerrados!#REF!,3,FALSE),
IFERROR(VLOOKUP(Q11,Encerrados!#REF!,3,FALSE),
IFERROR(VLOOKUP(Q11,Encerrados!#REF!,3,FALSE),
IFERROR(VLOOKUP(Q11,Encerrados!#REF!,3,FALSE),"-"))))</f>
        <v>-</v>
      </c>
      <c r="Q11" s="183" t="s">
        <v>126</v>
      </c>
      <c r="R11" s="22">
        <v>30000</v>
      </c>
      <c r="S11" s="159">
        <f t="shared" si="4"/>
        <v>45924</v>
      </c>
      <c r="T11" s="160">
        <v>68</v>
      </c>
      <c r="U11" s="59">
        <f>M125-S11</f>
        <v>50</v>
      </c>
      <c r="V11" s="60">
        <f t="shared" si="5"/>
        <v>45974</v>
      </c>
      <c r="W11" t="str">
        <f>VLOOKUP(Q11,Q61:Q191,1,0)</f>
        <v>Ponte serrada 1 - SC</v>
      </c>
      <c r="X11" s="132">
        <f t="shared" si="6"/>
        <v>45617</v>
      </c>
    </row>
    <row r="12" spans="1:24" ht="14.25" customHeight="1">
      <c r="A12" s="25" t="s">
        <v>17</v>
      </c>
      <c r="B12" s="24">
        <v>45450</v>
      </c>
      <c r="C12" s="25">
        <f t="shared" si="3"/>
        <v>2024</v>
      </c>
      <c r="D12" s="30">
        <v>45449</v>
      </c>
      <c r="E12" s="26" t="s">
        <v>388</v>
      </c>
      <c r="F12" s="27">
        <f t="shared" ca="1" si="0"/>
        <v>67</v>
      </c>
      <c r="G12" s="27" t="str">
        <f>IFERROR(VLOOKUP(H12,Encerrados!#REF!,3,FALSE),
IFERROR(VLOOKUP(H12,Encerrados!#REF!,3,FALSE),
IFERROR(VLOOKUP(H12,Encerrados!#REF!,3,FALSE),
IFERROR(VLOOKUP(H12,Encerrados!#REF!,3,FALSE),"-"))))</f>
        <v>-</v>
      </c>
      <c r="H12" s="28" t="s">
        <v>385</v>
      </c>
      <c r="I12" s="29">
        <v>22000</v>
      </c>
      <c r="J12" s="25" t="s">
        <v>45</v>
      </c>
      <c r="K12" s="25">
        <v>51</v>
      </c>
      <c r="L12" s="11" t="s">
        <v>365</v>
      </c>
      <c r="M12" s="21">
        <f t="shared" si="1"/>
        <v>45596</v>
      </c>
      <c r="N12" s="21">
        <f t="shared" si="2"/>
        <v>45617</v>
      </c>
      <c r="O12" s="20" t="s">
        <v>389</v>
      </c>
      <c r="P12" s="20" t="str">
        <f>IFERROR(VLOOKUP(Q12,Encerrados!#REF!,3,FALSE),
IFERROR(VLOOKUP(Q12,Encerrados!#REF!,3,FALSE),
IFERROR(VLOOKUP(Q12,Encerrados!#REF!,3,FALSE),
IFERROR(VLOOKUP(Q12,Encerrados!#REF!,3,FALSE),"-"))))</f>
        <v>-</v>
      </c>
      <c r="Q12" s="183" t="s">
        <v>109</v>
      </c>
      <c r="R12" s="22">
        <f>I12*0.96</f>
        <v>21120</v>
      </c>
      <c r="S12" s="159">
        <f t="shared" si="4"/>
        <v>45917</v>
      </c>
      <c r="T12" s="160">
        <v>67</v>
      </c>
      <c r="U12" s="59">
        <f>M118-S12</f>
        <v>36</v>
      </c>
      <c r="V12" s="60">
        <f t="shared" si="5"/>
        <v>45953</v>
      </c>
      <c r="W12" t="str">
        <f>VLOOKUP(Q12,Q62:Q192,1,0)</f>
        <v>Tortato - SC</v>
      </c>
      <c r="X12" s="132">
        <f t="shared" si="6"/>
        <v>45617</v>
      </c>
    </row>
    <row r="13" spans="1:24" ht="14.25" customHeight="1">
      <c r="A13" s="25" t="s">
        <v>17</v>
      </c>
      <c r="B13" s="24">
        <v>45454</v>
      </c>
      <c r="C13" s="25">
        <f t="shared" si="3"/>
        <v>2024</v>
      </c>
      <c r="D13" s="30">
        <v>45456</v>
      </c>
      <c r="E13" s="26" t="s">
        <v>390</v>
      </c>
      <c r="F13" s="27">
        <f t="shared" ca="1" si="0"/>
        <v>67</v>
      </c>
      <c r="G13" s="27" t="str">
        <f>IFERROR(VLOOKUP(H13,Encerrados!#REF!,3,FALSE),
IFERROR(VLOOKUP(H13,Encerrados!#REF!,3,FALSE),
IFERROR(VLOOKUP(H13,Encerrados!#REF!,3,FALSE),
IFERROR(VLOOKUP(H13,Encerrados!#REF!,3,FALSE),"-"))))</f>
        <v>-</v>
      </c>
      <c r="H13" s="28" t="s">
        <v>111</v>
      </c>
      <c r="I13" s="29">
        <v>42000</v>
      </c>
      <c r="J13" s="25" t="s">
        <v>48</v>
      </c>
      <c r="K13" s="25">
        <v>12</v>
      </c>
      <c r="L13" s="11" t="s">
        <v>365</v>
      </c>
      <c r="M13" s="21">
        <f>D13+(22*7)-7</f>
        <v>45603</v>
      </c>
      <c r="N13" s="21">
        <f t="shared" si="2"/>
        <v>45624</v>
      </c>
      <c r="O13" s="20" t="s">
        <v>391</v>
      </c>
      <c r="P13" s="20" t="str">
        <f>IFERROR(VLOOKUP(Q13,Encerrados!#REF!,3,FALSE),
IFERROR(VLOOKUP(Q13,Encerrados!#REF!,3,FALSE),
IFERROR(VLOOKUP(Q13,Encerrados!#REF!,3,FALSE),
IFERROR(VLOOKUP(Q13,Encerrados!#REF!,3,FALSE),"-"))))</f>
        <v>-</v>
      </c>
      <c r="Q13" s="183" t="s">
        <v>108</v>
      </c>
      <c r="R13" s="22">
        <v>23000</v>
      </c>
      <c r="S13" s="159">
        <f t="shared" si="4"/>
        <v>45924</v>
      </c>
      <c r="T13" s="160">
        <v>67</v>
      </c>
      <c r="U13" s="59">
        <f>M117-S13</f>
        <v>29</v>
      </c>
      <c r="V13" s="60">
        <f t="shared" si="5"/>
        <v>45953</v>
      </c>
      <c r="W13" t="str">
        <f>VLOOKUP(Q13,Q63:Q195,1,0)</f>
        <v>Fiorin - SC</v>
      </c>
      <c r="X13" s="132">
        <f t="shared" si="6"/>
        <v>45624</v>
      </c>
    </row>
    <row r="14" spans="1:24" ht="14.25" customHeight="1">
      <c r="A14" s="25" t="s">
        <v>17</v>
      </c>
      <c r="B14" s="24">
        <v>45454</v>
      </c>
      <c r="C14" s="25">
        <f t="shared" si="3"/>
        <v>2024</v>
      </c>
      <c r="D14" s="30">
        <v>45456</v>
      </c>
      <c r="E14" s="26" t="s">
        <v>390</v>
      </c>
      <c r="F14" s="27">
        <f t="shared" ca="1" si="0"/>
        <v>66</v>
      </c>
      <c r="G14" s="27" t="str">
        <f>IFERROR(VLOOKUP(H14,Encerrados!#REF!,3,FALSE),
IFERROR(VLOOKUP(H14,Encerrados!#REF!,3,FALSE),
IFERROR(VLOOKUP(H14,Encerrados!#REF!,3,FALSE),
IFERROR(VLOOKUP(H14,Encerrados!#REF!,3,FALSE),"-"))))</f>
        <v>-</v>
      </c>
      <c r="H14" s="28" t="s">
        <v>111</v>
      </c>
      <c r="I14" s="29"/>
      <c r="J14" s="25" t="s">
        <v>48</v>
      </c>
      <c r="K14" s="25">
        <v>12</v>
      </c>
      <c r="L14" s="11" t="s">
        <v>365</v>
      </c>
      <c r="M14" s="21">
        <f t="shared" si="1"/>
        <v>45603</v>
      </c>
      <c r="N14" s="21">
        <f t="shared" si="2"/>
        <v>45624</v>
      </c>
      <c r="O14" s="20" t="s">
        <v>392</v>
      </c>
      <c r="P14" s="20" t="str">
        <f>IFERROR(VLOOKUP(Q14,Encerrados!#REF!,3,FALSE),
IFERROR(VLOOKUP(Q14,Encerrados!#REF!,3,FALSE),
IFERROR(VLOOKUP(Q14,Encerrados!#REF!,3,FALSE),
IFERROR(VLOOKUP(Q14,Encerrados!#REF!,3,FALSE),"-"))))</f>
        <v>-</v>
      </c>
      <c r="Q14" s="183" t="s">
        <v>116</v>
      </c>
      <c r="R14" s="22">
        <v>17000</v>
      </c>
      <c r="S14" s="159">
        <f t="shared" si="4"/>
        <v>45917</v>
      </c>
      <c r="T14" s="160">
        <v>66</v>
      </c>
      <c r="U14" s="59">
        <f>M120-S14</f>
        <v>43</v>
      </c>
      <c r="V14" s="60">
        <f t="shared" si="5"/>
        <v>45960</v>
      </c>
      <c r="W14" t="str">
        <f>VLOOKUP(Q14,Q64:Q195,1,0)</f>
        <v>Faxinal 3 - SC</v>
      </c>
      <c r="X14" s="132">
        <f t="shared" si="6"/>
        <v>45624</v>
      </c>
    </row>
    <row r="15" spans="1:24" ht="14.25" customHeight="1">
      <c r="A15" s="25" t="s">
        <v>17</v>
      </c>
      <c r="B15" s="24">
        <v>45463</v>
      </c>
      <c r="C15" s="25">
        <f t="shared" si="3"/>
        <v>2024</v>
      </c>
      <c r="D15" s="30">
        <v>45463</v>
      </c>
      <c r="E15" s="26" t="s">
        <v>393</v>
      </c>
      <c r="F15" s="27">
        <f t="shared" ca="1" si="0"/>
        <v>68</v>
      </c>
      <c r="G15" s="27" t="str">
        <f>IFERROR(VLOOKUP(H15,Encerrados!#REF!,3,FALSE),
IFERROR(VLOOKUP(H15,Encerrados!#REF!,3,FALSE),
IFERROR(VLOOKUP(H15,Encerrados!#REF!,3,FALSE),
IFERROR(VLOOKUP(H15,Encerrados!#REF!,3,FALSE),"-"))))</f>
        <v>-</v>
      </c>
      <c r="H15" s="28" t="s">
        <v>123</v>
      </c>
      <c r="I15" s="29">
        <v>44000</v>
      </c>
      <c r="J15" s="25" t="s">
        <v>45</v>
      </c>
      <c r="K15" s="25">
        <v>47</v>
      </c>
      <c r="L15" s="12" t="s">
        <v>368</v>
      </c>
      <c r="M15" s="21">
        <f t="shared" si="1"/>
        <v>45610</v>
      </c>
      <c r="N15" s="21">
        <f t="shared" si="2"/>
        <v>45631</v>
      </c>
      <c r="O15" s="20" t="s">
        <v>394</v>
      </c>
      <c r="P15" s="20" t="str">
        <f>IFERROR(VLOOKUP(Q15,Encerrados!#REF!,3,FALSE),
IFERROR(VLOOKUP(Q15,Encerrados!#REF!,3,FALSE),
IFERROR(VLOOKUP(Q15,Encerrados!#REF!,3,FALSE),
IFERROR(VLOOKUP(Q15,Encerrados!#REF!,3,FALSE),"-"))))</f>
        <v>-</v>
      </c>
      <c r="Q15" s="183" t="s">
        <v>395</v>
      </c>
      <c r="R15" s="22">
        <v>42000</v>
      </c>
      <c r="S15" s="159">
        <f t="shared" si="4"/>
        <v>45938</v>
      </c>
      <c r="T15" s="160">
        <v>68</v>
      </c>
      <c r="U15" s="59">
        <f>M134-S15</f>
        <v>50</v>
      </c>
      <c r="V15" s="60">
        <f t="shared" si="5"/>
        <v>45988</v>
      </c>
      <c r="W15" t="str">
        <f>VLOOKUP(Q15,Q65:Q204,1,0)</f>
        <v>Malacarne 2 - PR</v>
      </c>
      <c r="X15" s="132">
        <f t="shared" si="6"/>
        <v>45631</v>
      </c>
    </row>
    <row r="16" spans="1:24" ht="14.25" customHeight="1">
      <c r="A16" s="25" t="s">
        <v>17</v>
      </c>
      <c r="B16" s="24">
        <v>45463</v>
      </c>
      <c r="C16" s="25">
        <f t="shared" si="3"/>
        <v>2024</v>
      </c>
      <c r="D16" s="30">
        <v>45463</v>
      </c>
      <c r="E16" s="26" t="s">
        <v>396</v>
      </c>
      <c r="F16" s="27">
        <f t="shared" ca="1" si="0"/>
        <v>68</v>
      </c>
      <c r="G16" s="27" t="str">
        <f>IFERROR(VLOOKUP(H16,Encerrados!#REF!,3,FALSE),
IFERROR(VLOOKUP(H16,Encerrados!#REF!,3,FALSE),
IFERROR(VLOOKUP(H16,Encerrados!#REF!,3,FALSE),
IFERROR(VLOOKUP(H16,Encerrados!#REF!,3,FALSE),"-"))))</f>
        <v>-</v>
      </c>
      <c r="H16" s="28" t="s">
        <v>107</v>
      </c>
      <c r="I16" s="29">
        <v>45000</v>
      </c>
      <c r="J16" s="25" t="s">
        <v>60</v>
      </c>
      <c r="K16" s="25">
        <v>20</v>
      </c>
      <c r="L16" s="12" t="s">
        <v>368</v>
      </c>
      <c r="M16" s="21">
        <f t="shared" si="1"/>
        <v>45610</v>
      </c>
      <c r="N16" s="21">
        <f t="shared" si="2"/>
        <v>45631</v>
      </c>
      <c r="O16" s="20" t="s">
        <v>394</v>
      </c>
      <c r="P16" s="20" t="str">
        <f>IFERROR(VLOOKUP(Q16,Encerrados!#REF!,3,FALSE),
IFERROR(VLOOKUP(Q16,Encerrados!#REF!,3,FALSE),
IFERROR(VLOOKUP(Q16,Encerrados!#REF!,3,FALSE),
IFERROR(VLOOKUP(Q16,Encerrados!#REF!,3,FALSE),"-"))))</f>
        <v>-</v>
      </c>
      <c r="Q16" s="183" t="s">
        <v>395</v>
      </c>
      <c r="R16" s="22">
        <v>13000</v>
      </c>
      <c r="S16" s="159">
        <f t="shared" si="4"/>
        <v>45938</v>
      </c>
      <c r="T16" s="160">
        <v>68</v>
      </c>
      <c r="U16" s="59">
        <f>M134-S15</f>
        <v>50</v>
      </c>
      <c r="V16" s="60">
        <f t="shared" si="5"/>
        <v>45988</v>
      </c>
      <c r="W16" t="str">
        <f>VLOOKUP(Q16,Q66:Q199,1,0)</f>
        <v>Malacarne 2 - PR</v>
      </c>
      <c r="X16" s="132">
        <f t="shared" si="6"/>
        <v>45631</v>
      </c>
    </row>
    <row r="17" spans="1:24" ht="14.25" customHeight="1">
      <c r="A17" s="25" t="s">
        <v>17</v>
      </c>
      <c r="B17" s="24">
        <v>45463</v>
      </c>
      <c r="C17" s="25">
        <f t="shared" si="3"/>
        <v>2024</v>
      </c>
      <c r="D17" s="30">
        <v>45463</v>
      </c>
      <c r="E17" s="26" t="s">
        <v>396</v>
      </c>
      <c r="F17" s="27">
        <f t="shared" ca="1" si="0"/>
        <v>68</v>
      </c>
      <c r="G17" s="27" t="str">
        <f>IFERROR(VLOOKUP(H17,Encerrados!#REF!,3,FALSE),
IFERROR(VLOOKUP(H17,Encerrados!#REF!,3,FALSE),
IFERROR(VLOOKUP(H17,Encerrados!#REF!,3,FALSE),
IFERROR(VLOOKUP(H17,Encerrados!#REF!,3,FALSE),"-"))))</f>
        <v>-</v>
      </c>
      <c r="H17" s="28" t="s">
        <v>107</v>
      </c>
      <c r="I17" s="29"/>
      <c r="J17" s="25" t="s">
        <v>60</v>
      </c>
      <c r="K17" s="25">
        <v>20</v>
      </c>
      <c r="L17" s="12" t="s">
        <v>368</v>
      </c>
      <c r="M17" s="21">
        <f t="shared" si="1"/>
        <v>45610</v>
      </c>
      <c r="N17" s="21">
        <f t="shared" si="2"/>
        <v>45631</v>
      </c>
      <c r="O17" s="20" t="s">
        <v>397</v>
      </c>
      <c r="P17" s="20" t="str">
        <f>IFERROR(VLOOKUP(Q17,Encerrados!#REF!,3,FALSE),
IFERROR(VLOOKUP(Q17,Encerrados!#REF!,3,FALSE),
IFERROR(VLOOKUP(Q17,Encerrados!#REF!,3,FALSE),
IFERROR(VLOOKUP(Q17,Encerrados!#REF!,3,FALSE),"-"))))</f>
        <v>-</v>
      </c>
      <c r="Q17" s="183" t="s">
        <v>127</v>
      </c>
      <c r="R17" s="22">
        <v>30000</v>
      </c>
      <c r="S17" s="159">
        <f t="shared" si="4"/>
        <v>45938</v>
      </c>
      <c r="T17" s="160">
        <v>68</v>
      </c>
      <c r="U17" s="59">
        <f>M126-S17</f>
        <v>36</v>
      </c>
      <c r="V17" s="60">
        <f t="shared" si="5"/>
        <v>45974</v>
      </c>
      <c r="W17" t="str">
        <f>VLOOKUP(Q17,Q67:Q198,1,0)</f>
        <v>São José - PR</v>
      </c>
      <c r="X17" s="132">
        <f t="shared" si="6"/>
        <v>45631</v>
      </c>
    </row>
    <row r="18" spans="1:24" ht="14.25" customHeight="1">
      <c r="A18" s="25" t="s">
        <v>17</v>
      </c>
      <c r="B18" s="24">
        <v>45471</v>
      </c>
      <c r="C18" s="25">
        <f t="shared" si="3"/>
        <v>2024</v>
      </c>
      <c r="D18" s="30">
        <v>45470</v>
      </c>
      <c r="E18" s="26" t="s">
        <v>398</v>
      </c>
      <c r="F18" s="27">
        <f t="shared" ca="1" si="0"/>
        <v>66</v>
      </c>
      <c r="G18" s="27" t="str">
        <f>IFERROR(VLOOKUP(H18,Encerrados!#REF!,3,FALSE),
IFERROR(VLOOKUP(H18,Encerrados!#REF!,3,FALSE),
IFERROR(VLOOKUP(H18,Encerrados!#REF!,3,FALSE),
IFERROR(VLOOKUP(H18,Encerrados!#REF!,3,FALSE),"-"))))</f>
        <v>-</v>
      </c>
      <c r="H18" s="28" t="s">
        <v>135</v>
      </c>
      <c r="I18" s="29">
        <v>24000</v>
      </c>
      <c r="J18" s="25" t="s">
        <v>60</v>
      </c>
      <c r="K18" s="25">
        <v>14</v>
      </c>
      <c r="L18" s="11" t="s">
        <v>365</v>
      </c>
      <c r="M18" s="21">
        <f t="shared" si="1"/>
        <v>45617</v>
      </c>
      <c r="N18" s="21">
        <f t="shared" si="2"/>
        <v>45638</v>
      </c>
      <c r="O18" s="20" t="s">
        <v>398</v>
      </c>
      <c r="P18" s="20" t="str">
        <f>IFERROR(VLOOKUP(Q18,Encerrados!#REF!,3,FALSE),
IFERROR(VLOOKUP(Q18,Encerrados!#REF!,3,FALSE),
IFERROR(VLOOKUP(Q18,Encerrados!#REF!,3,FALSE),
IFERROR(VLOOKUP(Q18,Encerrados!#REF!,3,FALSE),"-"))))</f>
        <v>-</v>
      </c>
      <c r="Q18" s="183" t="s">
        <v>118</v>
      </c>
      <c r="R18" s="22">
        <v>24000</v>
      </c>
      <c r="S18" s="159">
        <f t="shared" si="4"/>
        <v>45931</v>
      </c>
      <c r="T18" s="160">
        <v>66</v>
      </c>
      <c r="U18" s="59">
        <f>M122-S18</f>
        <v>36</v>
      </c>
      <c r="V18" s="60">
        <f t="shared" si="5"/>
        <v>45967</v>
      </c>
      <c r="W18" t="str">
        <f>VLOOKUP(Q18,Q68:Q196,1,0)</f>
        <v>Flor da serra - PR</v>
      </c>
      <c r="X18" s="132">
        <f t="shared" si="6"/>
        <v>45638</v>
      </c>
    </row>
    <row r="19" spans="1:24" ht="14.25" customHeight="1">
      <c r="A19" s="25" t="s">
        <v>17</v>
      </c>
      <c r="B19" s="24">
        <v>45471</v>
      </c>
      <c r="C19" s="25">
        <f t="shared" si="3"/>
        <v>2024</v>
      </c>
      <c r="D19" s="30">
        <v>45470</v>
      </c>
      <c r="E19" s="26" t="s">
        <v>399</v>
      </c>
      <c r="F19" s="27">
        <f t="shared" ca="1" si="0"/>
        <v>66</v>
      </c>
      <c r="G19" s="27" t="str">
        <f>IFERROR(VLOOKUP(H19,Encerrados!#REF!,3,FALSE),
IFERROR(VLOOKUP(H19,Encerrados!#REF!,3,FALSE),
IFERROR(VLOOKUP(H19,Encerrados!#REF!,3,FALSE),
IFERROR(VLOOKUP(H19,Encerrados!#REF!,3,FALSE),"-"))))</f>
        <v>-</v>
      </c>
      <c r="H19" s="28" t="s">
        <v>135</v>
      </c>
      <c r="I19" s="29">
        <v>46000</v>
      </c>
      <c r="J19" s="25" t="s">
        <v>60</v>
      </c>
      <c r="K19" s="25">
        <v>14</v>
      </c>
      <c r="L19" s="11" t="s">
        <v>365</v>
      </c>
      <c r="M19" s="21">
        <f t="shared" si="1"/>
        <v>45617</v>
      </c>
      <c r="N19" s="21">
        <f t="shared" si="2"/>
        <v>45638</v>
      </c>
      <c r="O19" s="20" t="s">
        <v>400</v>
      </c>
      <c r="P19" s="20" t="str">
        <f>IFERROR(VLOOKUP(Q19,Encerrados!#REF!,3,FALSE),
IFERROR(VLOOKUP(Q19,Encerrados!#REF!,3,FALSE),
IFERROR(VLOOKUP(Q19,Encerrados!#REF!,3,FALSE),
IFERROR(VLOOKUP(Q19,Encerrados!#REF!,3,FALSE),"-"))))</f>
        <v>-</v>
      </c>
      <c r="Q19" s="183" t="s">
        <v>130</v>
      </c>
      <c r="R19" s="22">
        <v>42000</v>
      </c>
      <c r="S19" s="159">
        <f t="shared" si="4"/>
        <v>45931</v>
      </c>
      <c r="T19" s="160">
        <v>66</v>
      </c>
      <c r="U19" s="59">
        <f>M127-S19</f>
        <v>43</v>
      </c>
      <c r="V19" s="60">
        <f t="shared" si="5"/>
        <v>45974</v>
      </c>
      <c r="W19" t="str">
        <f>VLOOKUP(Q19,Q69:Q197,1,0)</f>
        <v>Bom sucesso 5 - PR</v>
      </c>
      <c r="X19" s="132">
        <f t="shared" si="6"/>
        <v>45638</v>
      </c>
    </row>
    <row r="20" spans="1:24" ht="14.25" customHeight="1">
      <c r="A20" s="25" t="s">
        <v>17</v>
      </c>
      <c r="B20" s="24">
        <v>45468</v>
      </c>
      <c r="C20" s="25">
        <f t="shared" si="3"/>
        <v>2024</v>
      </c>
      <c r="D20" s="30">
        <v>45470</v>
      </c>
      <c r="E20" s="26" t="s">
        <v>401</v>
      </c>
      <c r="F20" s="27">
        <f t="shared" ca="1" si="0"/>
        <v>69</v>
      </c>
      <c r="G20" s="27" t="str">
        <f>IFERROR(VLOOKUP(H20,Encerrados!#REF!,3,FALSE),
IFERROR(VLOOKUP(H20,Encerrados!#REF!,3,FALSE),
IFERROR(VLOOKUP(H20,Encerrados!#REF!,3,FALSE),
IFERROR(VLOOKUP(H20,Encerrados!#REF!,3,FALSE),"-"))))</f>
        <v>-</v>
      </c>
      <c r="H20" s="28" t="s">
        <v>402</v>
      </c>
      <c r="I20" s="29">
        <v>84000</v>
      </c>
      <c r="J20" s="58" t="s">
        <v>48</v>
      </c>
      <c r="K20" s="25">
        <v>29</v>
      </c>
      <c r="L20" s="11" t="s">
        <v>381</v>
      </c>
      <c r="M20" s="21">
        <f t="shared" si="1"/>
        <v>45617</v>
      </c>
      <c r="N20" s="21">
        <f t="shared" si="2"/>
        <v>45638</v>
      </c>
      <c r="O20" s="20" t="s">
        <v>403</v>
      </c>
      <c r="P20" s="20" t="str">
        <f>IFERROR(VLOOKUP(Q20,Encerrados!#REF!,3,FALSE),
IFERROR(VLOOKUP(Q20,Encerrados!#REF!,3,FALSE),
IFERROR(VLOOKUP(Q20,Encerrados!#REF!,3,FALSE),
IFERROR(VLOOKUP(Q20,Encerrados!#REF!,3,FALSE),"-"))))</f>
        <v>-</v>
      </c>
      <c r="Q20" s="183" t="s">
        <v>146</v>
      </c>
      <c r="R20" s="22">
        <v>63000</v>
      </c>
      <c r="S20" s="159">
        <f t="shared" si="4"/>
        <v>45952</v>
      </c>
      <c r="T20" s="160">
        <v>69</v>
      </c>
      <c r="U20" s="59">
        <f>M138-S20</f>
        <v>43</v>
      </c>
      <c r="V20" s="60">
        <f t="shared" si="5"/>
        <v>45995</v>
      </c>
      <c r="W20" t="str">
        <f>VLOOKUP(Q20,Q70:Q198,1,0)</f>
        <v>Ilha Bella 1 - PR</v>
      </c>
      <c r="X20" s="132">
        <f t="shared" si="6"/>
        <v>45638</v>
      </c>
    </row>
    <row r="21" spans="1:24" ht="14.25" customHeight="1">
      <c r="A21" s="25" t="s">
        <v>17</v>
      </c>
      <c r="B21" s="24">
        <v>45478</v>
      </c>
      <c r="C21" s="25">
        <f t="shared" si="3"/>
        <v>2024</v>
      </c>
      <c r="D21" s="30">
        <v>45477</v>
      </c>
      <c r="E21" s="26" t="s">
        <v>404</v>
      </c>
      <c r="F21" s="27">
        <f t="shared" ca="1" si="0"/>
        <v>68</v>
      </c>
      <c r="G21" s="27" t="str">
        <f>IFERROR(VLOOKUP(H21,Encerrados!#REF!,3,FALSE),
IFERROR(VLOOKUP(H21,Encerrados!#REF!,3,FALSE),
IFERROR(VLOOKUP(H21,Encerrados!#REF!,3,FALSE),
IFERROR(VLOOKUP(H21,Encerrados!#REF!,3,FALSE),"-"))))</f>
        <v>-</v>
      </c>
      <c r="H21" s="28" t="s">
        <v>148</v>
      </c>
      <c r="I21" s="29">
        <v>60000</v>
      </c>
      <c r="J21" s="25" t="s">
        <v>45</v>
      </c>
      <c r="K21" s="25">
        <v>62</v>
      </c>
      <c r="L21" s="38" t="s">
        <v>376</v>
      </c>
      <c r="M21" s="21">
        <f t="shared" si="1"/>
        <v>45624</v>
      </c>
      <c r="N21" s="21">
        <f t="shared" si="2"/>
        <v>45645</v>
      </c>
      <c r="O21" s="20" t="s">
        <v>403</v>
      </c>
      <c r="P21" s="20" t="str">
        <f>IFERROR(VLOOKUP(Q21,Encerrados!#REF!,3,FALSE),
IFERROR(VLOOKUP(Q21,Encerrados!#REF!,3,FALSE),
IFERROR(VLOOKUP(Q21,Encerrados!#REF!,3,FALSE),
IFERROR(VLOOKUP(Q21,Encerrados!#REF!,3,FALSE),"-"))))</f>
        <v>-</v>
      </c>
      <c r="Q21" s="183" t="s">
        <v>146</v>
      </c>
      <c r="R21" s="22">
        <v>15800</v>
      </c>
      <c r="S21" s="159">
        <f t="shared" si="4"/>
        <v>45952</v>
      </c>
      <c r="T21" s="160">
        <v>68</v>
      </c>
      <c r="U21" s="59">
        <f>M137-S20</f>
        <v>43</v>
      </c>
      <c r="V21" s="60">
        <f t="shared" si="5"/>
        <v>45995</v>
      </c>
      <c r="W21" t="str">
        <f>VLOOKUP(Q21,Q71:Q198,1,0)</f>
        <v>Ilha Bella 1 - PR</v>
      </c>
      <c r="X21" s="132">
        <f t="shared" si="6"/>
        <v>45645</v>
      </c>
    </row>
    <row r="22" spans="1:24" ht="14.25" customHeight="1">
      <c r="A22" s="25" t="s">
        <v>17</v>
      </c>
      <c r="B22" s="24">
        <v>45478</v>
      </c>
      <c r="C22" s="25">
        <f t="shared" si="3"/>
        <v>2024</v>
      </c>
      <c r="D22" s="30">
        <v>45477</v>
      </c>
      <c r="E22" s="26" t="s">
        <v>404</v>
      </c>
      <c r="F22" s="27">
        <f t="shared" ca="1" si="0"/>
        <v>64</v>
      </c>
      <c r="G22" s="27" t="str">
        <f>IFERROR(VLOOKUP(H22,Encerrados!#REF!,3,FALSE),
IFERROR(VLOOKUP(H22,Encerrados!#REF!,3,FALSE),
IFERROR(VLOOKUP(H22,Encerrados!#REF!,3,FALSE),
IFERROR(VLOOKUP(H22,Encerrados!#REF!,3,FALSE),"-"))))</f>
        <v>-</v>
      </c>
      <c r="H22" s="28" t="s">
        <v>148</v>
      </c>
      <c r="I22" s="29"/>
      <c r="J22" s="25" t="s">
        <v>45</v>
      </c>
      <c r="K22" s="25">
        <v>62</v>
      </c>
      <c r="L22" s="38" t="s">
        <v>376</v>
      </c>
      <c r="M22" s="21">
        <f t="shared" si="1"/>
        <v>45624</v>
      </c>
      <c r="N22" s="21">
        <f t="shared" si="2"/>
        <v>45645</v>
      </c>
      <c r="O22" s="20" t="s">
        <v>405</v>
      </c>
      <c r="P22" s="20" t="str">
        <f>IFERROR(VLOOKUP(Q22,Encerrados!#REF!,3,FALSE),
IFERROR(VLOOKUP(Q22,Encerrados!#REF!,3,FALSE),
IFERROR(VLOOKUP(Q22,Encerrados!#REF!,3,FALSE),
IFERROR(VLOOKUP(Q22,Encerrados!#REF!,3,FALSE),"-"))))</f>
        <v>-</v>
      </c>
      <c r="Q22" s="183" t="s">
        <v>116</v>
      </c>
      <c r="R22" s="22">
        <v>42000</v>
      </c>
      <c r="S22" s="159">
        <f t="shared" si="4"/>
        <v>45924</v>
      </c>
      <c r="T22" s="160">
        <v>64</v>
      </c>
      <c r="U22" s="59">
        <f>M120-S14</f>
        <v>43</v>
      </c>
      <c r="V22" s="60">
        <f t="shared" si="5"/>
        <v>45967</v>
      </c>
      <c r="W22" t="str">
        <f>VLOOKUP(Q22,Q72:Q200,1,0)</f>
        <v>Faxinal 3 - SC</v>
      </c>
      <c r="X22" s="132">
        <f t="shared" si="6"/>
        <v>45645</v>
      </c>
    </row>
    <row r="23" spans="1:24" ht="14.25" customHeight="1">
      <c r="A23" s="25" t="s">
        <v>17</v>
      </c>
      <c r="B23" s="24">
        <v>45485</v>
      </c>
      <c r="C23" s="25">
        <f t="shared" si="3"/>
        <v>2024</v>
      </c>
      <c r="D23" s="30">
        <v>45484</v>
      </c>
      <c r="E23" s="26" t="s">
        <v>406</v>
      </c>
      <c r="F23" s="27">
        <f t="shared" ca="1" si="0"/>
        <v>67</v>
      </c>
      <c r="G23" s="27" t="str">
        <f>IFERROR(VLOOKUP(H23,Encerrados!#REF!,3,FALSE),
IFERROR(VLOOKUP(H23,Encerrados!#REF!,3,FALSE),
IFERROR(VLOOKUP(H23,Encerrados!#REF!,3,FALSE),
IFERROR(VLOOKUP(H23,Encerrados!#REF!,3,FALSE),"-"))))</f>
        <v>-</v>
      </c>
      <c r="H23" s="28" t="s">
        <v>157</v>
      </c>
      <c r="I23" s="29">
        <v>37500</v>
      </c>
      <c r="J23" s="25" t="s">
        <v>60</v>
      </c>
      <c r="K23" s="25">
        <v>26</v>
      </c>
      <c r="L23" s="11" t="s">
        <v>365</v>
      </c>
      <c r="M23" s="21">
        <f t="shared" si="1"/>
        <v>45631</v>
      </c>
      <c r="N23" s="21">
        <f t="shared" si="2"/>
        <v>45652</v>
      </c>
      <c r="O23" s="20" t="s">
        <v>407</v>
      </c>
      <c r="P23" s="20" t="str">
        <f>IFERROR(VLOOKUP(Q23,Encerrados!#REF!,3,FALSE),
IFERROR(VLOOKUP(Q23,Encerrados!#REF!,3,FALSE),
IFERROR(VLOOKUP(Q23,Encerrados!#REF!,3,FALSE),
IFERROR(VLOOKUP(Q23,Encerrados!#REF!,3,FALSE),"-"))))</f>
        <v>-</v>
      </c>
      <c r="Q23" s="183" t="s">
        <v>194</v>
      </c>
      <c r="R23" s="29">
        <v>36210</v>
      </c>
      <c r="S23" s="317">
        <f t="shared" si="4"/>
        <v>45952</v>
      </c>
      <c r="T23" s="318">
        <v>67</v>
      </c>
      <c r="U23" s="319">
        <f>M163-S23</f>
        <v>50</v>
      </c>
      <c r="V23" s="320">
        <f t="shared" si="5"/>
        <v>46002</v>
      </c>
      <c r="W23" t="str">
        <f>VLOOKUP(Q23,Q73:Q208,1,0)</f>
        <v>Butiá - PR</v>
      </c>
      <c r="X23" s="132">
        <f t="shared" si="6"/>
        <v>45652</v>
      </c>
    </row>
    <row r="24" spans="1:24" ht="14.25" customHeight="1">
      <c r="A24" s="25" t="s">
        <v>17</v>
      </c>
      <c r="B24" s="24">
        <v>45498</v>
      </c>
      <c r="C24" s="25">
        <f t="shared" si="3"/>
        <v>2024</v>
      </c>
      <c r="D24" s="30">
        <v>45498</v>
      </c>
      <c r="E24" s="26" t="s">
        <v>408</v>
      </c>
      <c r="F24" s="27">
        <f t="shared" ca="1" si="0"/>
        <v>67</v>
      </c>
      <c r="G24" s="27" t="str">
        <f>IFERROR(VLOOKUP(H24,Encerrados!#REF!,3,FALSE),
IFERROR(VLOOKUP(H24,Encerrados!#REF!,3,FALSE),
IFERROR(VLOOKUP(H24,Encerrados!#REF!,3,FALSE),
IFERROR(VLOOKUP(H24,Encerrados!#REF!,3,FALSE),"-"))))</f>
        <v>-</v>
      </c>
      <c r="H24" s="28" t="s">
        <v>139</v>
      </c>
      <c r="I24" s="29">
        <v>60000</v>
      </c>
      <c r="J24" s="25" t="s">
        <v>60</v>
      </c>
      <c r="K24" s="25">
        <v>21</v>
      </c>
      <c r="L24" s="11" t="s">
        <v>381</v>
      </c>
      <c r="M24" s="21">
        <f t="shared" si="1"/>
        <v>45645</v>
      </c>
      <c r="N24" s="21">
        <f>D24+24*7</f>
        <v>45666</v>
      </c>
      <c r="O24" s="20" t="s">
        <v>409</v>
      </c>
      <c r="P24" s="20" t="str">
        <f>IFERROR(VLOOKUP(Q24,Encerrados!#REF!,3,FALSE),
IFERROR(VLOOKUP(Q24,Encerrados!#REF!,3,FALSE),
IFERROR(VLOOKUP(Q24,Encerrados!#REF!,3,FALSE),
IFERROR(VLOOKUP(Q24,Encerrados!#REF!,3,FALSE),"-"))))</f>
        <v>-</v>
      </c>
      <c r="Q24" s="183" t="s">
        <v>155</v>
      </c>
      <c r="R24" s="22">
        <v>57024</v>
      </c>
      <c r="S24" s="159">
        <f>D24+(T24*7)-1</f>
        <v>45966</v>
      </c>
      <c r="T24" s="160">
        <v>67</v>
      </c>
      <c r="U24" s="59">
        <f>M141-S24</f>
        <v>50</v>
      </c>
      <c r="V24" s="60">
        <f>IFERROR(S24+U24," ")</f>
        <v>46016</v>
      </c>
      <c r="W24" t="str">
        <f>VLOOKUP(Q24,Q74:Q208,1,0)</f>
        <v>Celso Hoffelder - PR</v>
      </c>
      <c r="X24" s="132">
        <f t="shared" si="6"/>
        <v>45666</v>
      </c>
    </row>
    <row r="25" spans="1:24" ht="14.25" customHeight="1">
      <c r="A25" s="25" t="s">
        <v>17</v>
      </c>
      <c r="B25" s="24">
        <v>45496</v>
      </c>
      <c r="C25" s="25">
        <f t="shared" si="3"/>
        <v>2024</v>
      </c>
      <c r="D25" s="30">
        <v>45498</v>
      </c>
      <c r="E25" s="26" t="s">
        <v>410</v>
      </c>
      <c r="F25" s="27">
        <f t="shared" ca="1" si="0"/>
        <v>65</v>
      </c>
      <c r="G25" s="27" t="str">
        <f>IFERROR(VLOOKUP(H25,Encerrados!#REF!,3,FALSE),
IFERROR(VLOOKUP(H25,Encerrados!#REF!,3,FALSE),
IFERROR(VLOOKUP(H25,Encerrados!#REF!,3,FALSE),
IFERROR(VLOOKUP(H25,Encerrados!#REF!,3,FALSE),"-"))))</f>
        <v>-</v>
      </c>
      <c r="H25" s="28" t="s">
        <v>139</v>
      </c>
      <c r="I25" s="29">
        <v>37500</v>
      </c>
      <c r="J25" s="25" t="s">
        <v>60</v>
      </c>
      <c r="K25" s="25">
        <v>21</v>
      </c>
      <c r="L25" s="11" t="s">
        <v>365</v>
      </c>
      <c r="M25" s="21">
        <f t="shared" si="1"/>
        <v>45645</v>
      </c>
      <c r="N25" s="21">
        <f>D25+24*7</f>
        <v>45666</v>
      </c>
      <c r="O25" s="20" t="s">
        <v>411</v>
      </c>
      <c r="P25" s="20" t="str">
        <f>IFERROR(VLOOKUP(Q25,Encerrados!#REF!,3,FALSE),
IFERROR(VLOOKUP(Q25,Encerrados!#REF!,3,FALSE),
IFERROR(VLOOKUP(Q25,Encerrados!#REF!,3,FALSE),
IFERROR(VLOOKUP(Q25,Encerrados!#REF!,3,FALSE),"-"))))</f>
        <v>-</v>
      </c>
      <c r="Q25" s="183" t="s">
        <v>145</v>
      </c>
      <c r="R25" s="29">
        <v>35084</v>
      </c>
      <c r="S25" s="317">
        <f>D25+(T25*7)-1</f>
        <v>45952</v>
      </c>
      <c r="T25" s="318">
        <v>65</v>
      </c>
      <c r="U25" s="319">
        <f>M137-S25</f>
        <v>43</v>
      </c>
      <c r="V25" s="320">
        <f>IFERROR(S25+U25," ")</f>
        <v>45995</v>
      </c>
      <c r="W25" t="str">
        <f>VLOOKUP(Q25,Q75:Q208,1,0)</f>
        <v>Marafon - PR</v>
      </c>
      <c r="X25" s="132">
        <f t="shared" si="6"/>
        <v>45666</v>
      </c>
    </row>
    <row r="26" spans="1:24" ht="14.25" customHeight="1">
      <c r="A26" s="25" t="s">
        <v>17</v>
      </c>
      <c r="B26" s="24">
        <v>45498</v>
      </c>
      <c r="C26" s="25">
        <f t="shared" si="3"/>
        <v>2024</v>
      </c>
      <c r="D26" s="30">
        <v>45498</v>
      </c>
      <c r="E26" s="26" t="s">
        <v>412</v>
      </c>
      <c r="F26" s="27">
        <f t="shared" ca="1" si="0"/>
        <v>68</v>
      </c>
      <c r="G26" s="27" t="str">
        <f>IFERROR(VLOOKUP(H26,Encerrados!#REF!,3,FALSE),
IFERROR(VLOOKUP(H26,Encerrados!#REF!,3,FALSE),
IFERROR(VLOOKUP(H26,Encerrados!#REF!,3,FALSE),
IFERROR(VLOOKUP(H26,Encerrados!#REF!,3,FALSE),"-"))))</f>
        <v>-</v>
      </c>
      <c r="H26" s="28" t="s">
        <v>151</v>
      </c>
      <c r="I26" s="29">
        <v>42000</v>
      </c>
      <c r="J26" s="25" t="s">
        <v>45</v>
      </c>
      <c r="K26" s="25">
        <v>48</v>
      </c>
      <c r="L26" s="12" t="s">
        <v>368</v>
      </c>
      <c r="M26" s="21">
        <f t="shared" si="1"/>
        <v>45645</v>
      </c>
      <c r="N26" s="21">
        <f t="shared" si="2"/>
        <v>45666</v>
      </c>
      <c r="O26" s="20" t="s">
        <v>413</v>
      </c>
      <c r="P26" s="20" t="str">
        <f>IFERROR(VLOOKUP(Q26,Encerrados!#REF!,3,FALSE),
IFERROR(VLOOKUP(Q26,Encerrados!#REF!,3,FALSE),
IFERROR(VLOOKUP(Q26,Encerrados!#REF!,3,FALSE),
IFERROR(VLOOKUP(Q26,Encerrados!#REF!,3,FALSE),"-"))))</f>
        <v>-</v>
      </c>
      <c r="Q26" s="183" t="s">
        <v>152</v>
      </c>
      <c r="R26" s="22">
        <v>40384</v>
      </c>
      <c r="S26" s="159">
        <f t="shared" si="4"/>
        <v>45973</v>
      </c>
      <c r="T26" s="160">
        <v>68</v>
      </c>
      <c r="U26" s="59">
        <f>M140-S26</f>
        <v>43</v>
      </c>
      <c r="V26" s="60">
        <f t="shared" si="5"/>
        <v>46016</v>
      </c>
      <c r="W26" t="str">
        <f>VLOOKUP(Q26,Q76:Q208,1,0)</f>
        <v>Bela Vista 4 - PR</v>
      </c>
      <c r="X26" s="132">
        <f t="shared" si="6"/>
        <v>45666</v>
      </c>
    </row>
    <row r="27" spans="1:24" ht="14.25" customHeight="1">
      <c r="A27" s="25" t="s">
        <v>17</v>
      </c>
      <c r="B27" s="24">
        <v>45507</v>
      </c>
      <c r="C27" s="25">
        <f t="shared" si="3"/>
        <v>2024</v>
      </c>
      <c r="D27" s="30">
        <v>45505</v>
      </c>
      <c r="E27" s="26" t="s">
        <v>414</v>
      </c>
      <c r="F27" s="27">
        <f t="shared" ca="1" si="0"/>
        <v>68</v>
      </c>
      <c r="G27" s="27" t="str">
        <f>IFERROR(VLOOKUP(H27,Encerrados!#REF!,3,FALSE),
IFERROR(VLOOKUP(H27,Encerrados!#REF!,3,FALSE),
IFERROR(VLOOKUP(H27,Encerrados!#REF!,3,FALSE),
IFERROR(VLOOKUP(H27,Encerrados!#REF!,3,FALSE),"-"))))</f>
        <v>-</v>
      </c>
      <c r="H27" s="28" t="s">
        <v>144</v>
      </c>
      <c r="I27" s="29">
        <v>60000</v>
      </c>
      <c r="J27" s="25" t="s">
        <v>60</v>
      </c>
      <c r="K27" s="25">
        <v>30</v>
      </c>
      <c r="L27" s="11" t="s">
        <v>381</v>
      </c>
      <c r="M27" s="21">
        <f t="shared" si="1"/>
        <v>45652</v>
      </c>
      <c r="N27" s="21">
        <f t="shared" si="2"/>
        <v>45673</v>
      </c>
      <c r="O27" s="20" t="s">
        <v>415</v>
      </c>
      <c r="P27" s="20" t="str">
        <f>IFERROR(VLOOKUP(Q27,Encerrados!#REF!,3,FALSE),
IFERROR(VLOOKUP(Q27,Encerrados!#REF!,3,FALSE),
IFERROR(VLOOKUP(Q27,Encerrados!#REF!,3,FALSE),
IFERROR(VLOOKUP(Q27,Encerrados!#REF!,3,FALSE),"-"))))</f>
        <v>-</v>
      </c>
      <c r="Q27" s="183" t="s">
        <v>163</v>
      </c>
      <c r="R27" s="22">
        <v>57592</v>
      </c>
      <c r="S27" s="159">
        <f t="shared" si="4"/>
        <v>45980</v>
      </c>
      <c r="T27" s="160">
        <v>68</v>
      </c>
      <c r="U27" s="59">
        <f>M146-S27</f>
        <v>50</v>
      </c>
      <c r="V27" s="60">
        <f t="shared" si="5"/>
        <v>46030</v>
      </c>
      <c r="W27" t="str">
        <f>VLOOKUP(Q27,Q77:Q233,1,0)</f>
        <v>Ilha Bella 2 - PR</v>
      </c>
      <c r="X27" s="132">
        <f t="shared" si="6"/>
        <v>45673</v>
      </c>
    </row>
    <row r="28" spans="1:24" ht="13.5" customHeight="1">
      <c r="A28" s="25" t="s">
        <v>17</v>
      </c>
      <c r="B28" s="24">
        <v>45518</v>
      </c>
      <c r="C28" s="25">
        <f t="shared" si="3"/>
        <v>2024</v>
      </c>
      <c r="D28" s="30">
        <v>45519</v>
      </c>
      <c r="E28" s="26" t="s">
        <v>416</v>
      </c>
      <c r="F28" s="27">
        <f t="shared" ca="1" si="0"/>
        <v>67</v>
      </c>
      <c r="G28" s="27" t="str">
        <f>IFERROR(VLOOKUP(H28,Encerrados!#REF!,3,FALSE),
IFERROR(VLOOKUP(H28,Encerrados!#REF!,3,FALSE),
IFERROR(VLOOKUP(H28,Encerrados!#REF!,3,FALSE),
IFERROR(VLOOKUP(H28,Encerrados!#REF!,3,FALSE),"-"))))</f>
        <v>-</v>
      </c>
      <c r="H28" s="28" t="s">
        <v>417</v>
      </c>
      <c r="I28" s="29">
        <v>37500</v>
      </c>
      <c r="J28" s="25" t="s">
        <v>20</v>
      </c>
      <c r="K28" s="20">
        <v>15</v>
      </c>
      <c r="L28" s="11" t="s">
        <v>381</v>
      </c>
      <c r="M28" s="21">
        <f t="shared" si="1"/>
        <v>45666</v>
      </c>
      <c r="N28" s="21">
        <f>D28+24*7</f>
        <v>45687</v>
      </c>
      <c r="O28" s="20" t="s">
        <v>418</v>
      </c>
      <c r="P28" s="20" t="str">
        <f>IFERROR(VLOOKUP(Q28,Encerrados!#REF!,3,FALSE),
IFERROR(VLOOKUP(Q28,Encerrados!#REF!,3,FALSE),
IFERROR(VLOOKUP(Q28,Encerrados!#REF!,3,FALSE),
IFERROR(VLOOKUP(Q28,Encerrados!#REF!,3,FALSE),"-"))))</f>
        <v>-</v>
      </c>
      <c r="Q28" s="183" t="s">
        <v>174</v>
      </c>
      <c r="R28" s="22">
        <v>27541</v>
      </c>
      <c r="S28" s="159">
        <f t="shared" si="4"/>
        <v>45987</v>
      </c>
      <c r="T28" s="160">
        <v>67</v>
      </c>
      <c r="U28" s="59">
        <f>M144-S28</f>
        <v>43</v>
      </c>
      <c r="V28" s="60">
        <f t="shared" si="5"/>
        <v>46030</v>
      </c>
      <c r="W28" t="str">
        <f>VLOOKUP(Q28,Q78:Q202,1,0)</f>
        <v>Erveira - PR</v>
      </c>
      <c r="X28" s="132">
        <f t="shared" si="6"/>
        <v>45687</v>
      </c>
    </row>
    <row r="29" spans="1:24" ht="14.25" customHeight="1">
      <c r="A29" s="25" t="s">
        <v>17</v>
      </c>
      <c r="B29" s="24">
        <v>45524</v>
      </c>
      <c r="C29" s="25">
        <f t="shared" si="3"/>
        <v>2024</v>
      </c>
      <c r="D29" s="30">
        <v>45526</v>
      </c>
      <c r="E29" s="26" t="s">
        <v>419</v>
      </c>
      <c r="F29" s="27">
        <f t="shared" ca="1" si="0"/>
        <v>64</v>
      </c>
      <c r="G29" s="27" t="str">
        <f>IFERROR(VLOOKUP(H29,Encerrados!#REF!,3,FALSE),
IFERROR(VLOOKUP(H29,Encerrados!#REF!,3,FALSE),
IFERROR(VLOOKUP(H29,Encerrados!#REF!,3,FALSE),
IFERROR(VLOOKUP(H29,Encerrados!#REF!,3,FALSE),"-"))))</f>
        <v>-</v>
      </c>
      <c r="H29" s="28" t="s">
        <v>19</v>
      </c>
      <c r="I29" s="29">
        <v>84000</v>
      </c>
      <c r="J29" s="25" t="s">
        <v>60</v>
      </c>
      <c r="K29" s="25">
        <v>29</v>
      </c>
      <c r="L29" s="11" t="s">
        <v>381</v>
      </c>
      <c r="M29" s="21">
        <f t="shared" si="1"/>
        <v>45673</v>
      </c>
      <c r="N29" s="21">
        <f t="shared" si="2"/>
        <v>45694</v>
      </c>
      <c r="O29" s="20" t="s">
        <v>420</v>
      </c>
      <c r="P29" s="20" t="str">
        <f>IFERROR(VLOOKUP(Q29,Encerrados!#REF!,3,FALSE),
IFERROR(VLOOKUP(Q29,Encerrados!#REF!,3,FALSE),
IFERROR(VLOOKUP(Q29,Encerrados!#REF!,3,FALSE),
IFERROR(VLOOKUP(Q29,Encerrados!#REF!,3,FALSE),"-"))))</f>
        <v>-</v>
      </c>
      <c r="Q29" s="183" t="s">
        <v>158</v>
      </c>
      <c r="R29" s="22">
        <v>60112</v>
      </c>
      <c r="S29" s="159">
        <f t="shared" si="4"/>
        <v>45973</v>
      </c>
      <c r="T29" s="160">
        <v>64</v>
      </c>
      <c r="U29" s="59">
        <f>M142-S29</f>
        <v>43</v>
      </c>
      <c r="V29" s="266">
        <f t="shared" si="5"/>
        <v>46016</v>
      </c>
      <c r="W29" t="str">
        <f>VLOOKUP(Q29,Q79:Q204,1,0)</f>
        <v>Renascença 2 - PR</v>
      </c>
      <c r="X29" s="132">
        <f t="shared" si="6"/>
        <v>45694</v>
      </c>
    </row>
    <row r="30" spans="1:24" ht="14.25" customHeight="1">
      <c r="A30" s="25" t="s">
        <v>17</v>
      </c>
      <c r="B30" s="24">
        <v>45524</v>
      </c>
      <c r="C30" s="25">
        <f t="shared" si="3"/>
        <v>2024</v>
      </c>
      <c r="D30" s="30">
        <v>45526</v>
      </c>
      <c r="E30" s="26" t="s">
        <v>419</v>
      </c>
      <c r="F30" s="27">
        <f t="shared" ca="1" si="0"/>
        <v>68</v>
      </c>
      <c r="G30" s="27" t="str">
        <f>IFERROR(VLOOKUP(H30,Encerrados!#REF!,3,FALSE),
IFERROR(VLOOKUP(H30,Encerrados!#REF!,3,FALSE),
IFERROR(VLOOKUP(H30,Encerrados!#REF!,3,FALSE),
IFERROR(VLOOKUP(H30,Encerrados!#REF!,3,FALSE),"-"))))</f>
        <v>-</v>
      </c>
      <c r="H30" s="28" t="s">
        <v>19</v>
      </c>
      <c r="I30" s="29"/>
      <c r="J30" s="25" t="s">
        <v>60</v>
      </c>
      <c r="K30" s="25">
        <v>29</v>
      </c>
      <c r="L30" s="11" t="s">
        <v>381</v>
      </c>
      <c r="M30" s="21">
        <f t="shared" si="1"/>
        <v>45673</v>
      </c>
      <c r="N30" s="21">
        <f t="shared" si="2"/>
        <v>45694</v>
      </c>
      <c r="O30" s="20" t="s">
        <v>421</v>
      </c>
      <c r="P30" s="20" t="str">
        <f>IFERROR(VLOOKUP(Q30,Encerrados!#REF!,3,FALSE),
IFERROR(VLOOKUP(Q30,Encerrados!#REF!,3,FALSE),
IFERROR(VLOOKUP(Q30,Encerrados!#REF!,3,FALSE),
IFERROR(VLOOKUP(Q30,Encerrados!#REF!,3,FALSE),"-"))))</f>
        <v>-</v>
      </c>
      <c r="Q30" s="183" t="s">
        <v>179</v>
      </c>
      <c r="R30" s="22">
        <v>20496</v>
      </c>
      <c r="S30" s="159">
        <f t="shared" si="4"/>
        <v>46001</v>
      </c>
      <c r="T30" s="160">
        <v>68</v>
      </c>
      <c r="U30" s="59">
        <f>M150-S30</f>
        <v>43</v>
      </c>
      <c r="V30" s="266">
        <f t="shared" si="5"/>
        <v>46044</v>
      </c>
      <c r="W30" t="str">
        <f>VLOOKUP(Q30,Q80:Q205,1,0)</f>
        <v>Alto Verê - PR</v>
      </c>
      <c r="X30" s="132">
        <f t="shared" si="6"/>
        <v>45694</v>
      </c>
    </row>
    <row r="31" spans="1:24" ht="14.1" customHeight="1">
      <c r="A31" s="25" t="s">
        <v>17</v>
      </c>
      <c r="B31" s="24">
        <v>45525</v>
      </c>
      <c r="C31" s="25">
        <f t="shared" si="3"/>
        <v>2024</v>
      </c>
      <c r="D31" s="30">
        <v>45526</v>
      </c>
      <c r="E31" s="26" t="s">
        <v>422</v>
      </c>
      <c r="F31" s="27">
        <f t="shared" ca="1" si="0"/>
        <v>68</v>
      </c>
      <c r="G31" s="27" t="str">
        <f>IFERROR(VLOOKUP(H31,Encerrados!#REF!,3,FALSE),
IFERROR(VLOOKUP(H31,Encerrados!#REF!,3,FALSE),
IFERROR(VLOOKUP(H31,Encerrados!#REF!,3,FALSE),
IFERROR(VLOOKUP(H31,Encerrados!#REF!,3,FALSE),"-"))))</f>
        <v>-</v>
      </c>
      <c r="H31" s="28" t="s">
        <v>417</v>
      </c>
      <c r="I31" s="29">
        <v>64000</v>
      </c>
      <c r="J31" s="25" t="s">
        <v>20</v>
      </c>
      <c r="K31" s="25">
        <v>15</v>
      </c>
      <c r="L31" s="12" t="s">
        <v>368</v>
      </c>
      <c r="M31" s="21">
        <f t="shared" si="1"/>
        <v>45673</v>
      </c>
      <c r="N31" s="21">
        <f t="shared" si="2"/>
        <v>45694</v>
      </c>
      <c r="O31" s="20" t="s">
        <v>423</v>
      </c>
      <c r="P31" s="20" t="str">
        <f>IFERROR(VLOOKUP(Q31,Encerrados!#REF!,3,FALSE),
IFERROR(VLOOKUP(Q31,Encerrados!#REF!,3,FALSE),
IFERROR(VLOOKUP(Q31,Encerrados!#REF!,3,FALSE),
IFERROR(VLOOKUP(Q31,Encerrados!#REF!,3,FALSE),"-"))))</f>
        <v>-</v>
      </c>
      <c r="Q31" s="183" t="s">
        <v>179</v>
      </c>
      <c r="R31" s="22">
        <v>6720</v>
      </c>
      <c r="S31" s="159">
        <f t="shared" si="4"/>
        <v>46001</v>
      </c>
      <c r="T31" s="160">
        <v>68</v>
      </c>
      <c r="U31" s="59">
        <f>M150-S30</f>
        <v>43</v>
      </c>
      <c r="V31" s="266">
        <f t="shared" si="5"/>
        <v>46044</v>
      </c>
      <c r="W31" t="str">
        <f>VLOOKUP(Q31,Q81:Q206,1,0)</f>
        <v>Alto Verê - PR</v>
      </c>
      <c r="X31" s="132">
        <f t="shared" si="6"/>
        <v>45694</v>
      </c>
    </row>
    <row r="32" spans="1:24" ht="14.1" customHeight="1">
      <c r="A32" s="25" t="s">
        <v>17</v>
      </c>
      <c r="B32" s="24">
        <v>45525</v>
      </c>
      <c r="C32" s="25">
        <f t="shared" si="3"/>
        <v>2024</v>
      </c>
      <c r="D32" s="30">
        <v>45526</v>
      </c>
      <c r="E32" s="26" t="s">
        <v>422</v>
      </c>
      <c r="F32" s="27">
        <f t="shared" ca="1" si="0"/>
        <v>66</v>
      </c>
      <c r="G32" s="27" t="str">
        <f>IFERROR(VLOOKUP(H32,Encerrados!#REF!,3,FALSE),
IFERROR(VLOOKUP(H32,Encerrados!#REF!,3,FALSE),
IFERROR(VLOOKUP(H32,Encerrados!#REF!,3,FALSE),
IFERROR(VLOOKUP(H32,Encerrados!#REF!,3,FALSE),"-"))))</f>
        <v>-</v>
      </c>
      <c r="H32" s="28" t="s">
        <v>417</v>
      </c>
      <c r="I32" s="29"/>
      <c r="J32" s="25" t="s">
        <v>20</v>
      </c>
      <c r="K32" s="25">
        <v>15</v>
      </c>
      <c r="L32" s="12" t="s">
        <v>368</v>
      </c>
      <c r="M32" s="21">
        <f t="shared" si="1"/>
        <v>45673</v>
      </c>
      <c r="N32" s="21">
        <f t="shared" si="2"/>
        <v>45694</v>
      </c>
      <c r="O32" s="20" t="s">
        <v>424</v>
      </c>
      <c r="P32" s="20" t="str">
        <f>IFERROR(VLOOKUP(Q32,Encerrados!#REF!,3,FALSE),
IFERROR(VLOOKUP(Q32,Encerrados!#REF!,3,FALSE),
IFERROR(VLOOKUP(Q32,Encerrados!#REF!,3,FALSE),
IFERROR(VLOOKUP(Q32,Encerrados!#REF!,3,FALSE),"-"))))</f>
        <v>-</v>
      </c>
      <c r="Q32" s="183" t="s">
        <v>161</v>
      </c>
      <c r="R32" s="22">
        <v>61221</v>
      </c>
      <c r="S32" s="159">
        <f t="shared" si="4"/>
        <v>45987</v>
      </c>
      <c r="T32" s="160">
        <v>66</v>
      </c>
      <c r="U32" s="59">
        <f>M147-S32</f>
        <v>50</v>
      </c>
      <c r="V32" s="266">
        <f t="shared" si="5"/>
        <v>46037</v>
      </c>
      <c r="W32" t="str">
        <f>VLOOKUP(Q32,Q82:Q209,1,0)</f>
        <v>Rossi 2 - PR</v>
      </c>
      <c r="X32" s="132">
        <f t="shared" si="6"/>
        <v>45694</v>
      </c>
    </row>
    <row r="33" spans="1:24" ht="14.25" customHeight="1">
      <c r="A33" s="25" t="s">
        <v>17</v>
      </c>
      <c r="B33" s="24">
        <v>45532</v>
      </c>
      <c r="C33" s="25">
        <f t="shared" si="3"/>
        <v>2024</v>
      </c>
      <c r="D33" s="30">
        <v>45533</v>
      </c>
      <c r="E33" s="26" t="s">
        <v>425</v>
      </c>
      <c r="F33" s="27">
        <f t="shared" ca="1" si="0"/>
        <v>67</v>
      </c>
      <c r="G33" s="27" t="str">
        <f>IFERROR(VLOOKUP(H33,Encerrados!#REF!,3,FALSE),
IFERROR(VLOOKUP(H33,Encerrados!#REF!,3,FALSE),
IFERROR(VLOOKUP(H33,Encerrados!#REF!,3,FALSE),
IFERROR(VLOOKUP(H33,Encerrados!#REF!,3,FALSE),"-"))))</f>
        <v>-</v>
      </c>
      <c r="H33" s="28" t="s">
        <v>303</v>
      </c>
      <c r="I33" s="29">
        <v>42000</v>
      </c>
      <c r="J33" s="25" t="s">
        <v>60</v>
      </c>
      <c r="K33" s="25">
        <v>34</v>
      </c>
      <c r="L33" s="11" t="s">
        <v>365</v>
      </c>
      <c r="M33" s="21">
        <f t="shared" si="1"/>
        <v>45680</v>
      </c>
      <c r="N33" s="21">
        <f t="shared" si="2"/>
        <v>45701</v>
      </c>
      <c r="O33" s="20" t="s">
        <v>426</v>
      </c>
      <c r="P33" s="20" t="str">
        <f>IFERROR(VLOOKUP(Q33,Encerrados!#REF!,3,FALSE),
IFERROR(VLOOKUP(Q33,Encerrados!#REF!,3,FALSE),
IFERROR(VLOOKUP(Q33,Encerrados!#REF!,3,FALSE),
IFERROR(VLOOKUP(Q33,Encerrados!#REF!,3,FALSE),"-"))))</f>
        <v>-</v>
      </c>
      <c r="Q33" s="183" t="s">
        <v>166</v>
      </c>
      <c r="R33" s="22">
        <v>21000</v>
      </c>
      <c r="S33" s="159">
        <f t="shared" si="4"/>
        <v>46001</v>
      </c>
      <c r="T33" s="160">
        <v>67</v>
      </c>
      <c r="U33" s="59">
        <f>M149-S33</f>
        <v>43</v>
      </c>
      <c r="V33" s="266">
        <f t="shared" si="5"/>
        <v>46044</v>
      </c>
      <c r="W33" t="str">
        <f>VLOOKUP(Q33,Q83:Q210,1,0)</f>
        <v>Saade - SC</v>
      </c>
      <c r="X33" s="132">
        <f t="shared" si="6"/>
        <v>45701</v>
      </c>
    </row>
    <row r="34" spans="1:24" ht="14.25" customHeight="1">
      <c r="A34" s="25" t="s">
        <v>17</v>
      </c>
      <c r="B34" s="24">
        <v>45532</v>
      </c>
      <c r="C34" s="25">
        <f t="shared" si="3"/>
        <v>2024</v>
      </c>
      <c r="D34" s="30">
        <v>45533</v>
      </c>
      <c r="E34" s="26" t="s">
        <v>425</v>
      </c>
      <c r="F34" s="27">
        <f t="shared" ca="1" si="0"/>
        <v>66</v>
      </c>
      <c r="G34" s="27" t="str">
        <f>IFERROR(VLOOKUP(H34,Encerrados!#REF!,3,FALSE),
IFERROR(VLOOKUP(H34,Encerrados!#REF!,3,FALSE),
IFERROR(VLOOKUP(H34,Encerrados!#REF!,3,FALSE),
IFERROR(VLOOKUP(H34,Encerrados!#REF!,3,FALSE),"-"))))</f>
        <v>-</v>
      </c>
      <c r="H34" s="28" t="s">
        <v>303</v>
      </c>
      <c r="I34" s="29"/>
      <c r="J34" s="25" t="s">
        <v>60</v>
      </c>
      <c r="K34" s="25">
        <v>34</v>
      </c>
      <c r="L34" s="11" t="s">
        <v>365</v>
      </c>
      <c r="M34" s="21">
        <f t="shared" si="1"/>
        <v>45680</v>
      </c>
      <c r="N34" s="21">
        <f t="shared" si="2"/>
        <v>45701</v>
      </c>
      <c r="O34" s="20" t="s">
        <v>427</v>
      </c>
      <c r="P34" s="20" t="str">
        <f>IFERROR(VLOOKUP(Q34,Encerrados!#REF!,3,FALSE),
IFERROR(VLOOKUP(Q34,Encerrados!#REF!,3,FALSE),
IFERROR(VLOOKUP(Q34,Encerrados!#REF!,3,FALSE),
IFERROR(VLOOKUP(Q34,Encerrados!#REF!,3,FALSE),"-"))))</f>
        <v>-</v>
      </c>
      <c r="Q34" s="183" t="s">
        <v>167</v>
      </c>
      <c r="R34" s="22">
        <v>19000</v>
      </c>
      <c r="S34" s="159">
        <f t="shared" si="4"/>
        <v>45994</v>
      </c>
      <c r="T34" s="160">
        <v>66</v>
      </c>
      <c r="U34" s="59">
        <f>M145-S34</f>
        <v>36</v>
      </c>
      <c r="V34" s="266">
        <f t="shared" si="5"/>
        <v>46030</v>
      </c>
      <c r="W34" t="str">
        <f>VLOOKUP(Q34,Q84:Q211,1,0)</f>
        <v>Biava - PR</v>
      </c>
      <c r="X34" s="132">
        <f t="shared" si="6"/>
        <v>45701</v>
      </c>
    </row>
    <row r="35" spans="1:24" ht="14.25" customHeight="1">
      <c r="A35" s="25" t="s">
        <v>17</v>
      </c>
      <c r="B35" s="24">
        <v>45534</v>
      </c>
      <c r="C35" s="25">
        <f t="shared" si="3"/>
        <v>2024</v>
      </c>
      <c r="D35" s="30">
        <v>45533</v>
      </c>
      <c r="E35" s="26" t="s">
        <v>428</v>
      </c>
      <c r="F35" s="27">
        <f t="shared" ca="1" si="0"/>
        <v>66</v>
      </c>
      <c r="G35" s="27" t="str">
        <f>IFERROR(VLOOKUP(H35,Encerrados!#REF!,3,FALSE),
IFERROR(VLOOKUP(H35,Encerrados!#REF!,3,FALSE),
IFERROR(VLOOKUP(H35,Encerrados!#REF!,3,FALSE),
IFERROR(VLOOKUP(H35,Encerrados!#REF!,3,FALSE),"-"))))</f>
        <v>-</v>
      </c>
      <c r="H35" s="28" t="s">
        <v>429</v>
      </c>
      <c r="I35" s="29">
        <v>60000</v>
      </c>
      <c r="J35" s="25" t="s">
        <v>60</v>
      </c>
      <c r="K35" s="25">
        <v>29</v>
      </c>
      <c r="L35" s="11" t="s">
        <v>365</v>
      </c>
      <c r="M35" s="21">
        <f t="shared" si="1"/>
        <v>45680</v>
      </c>
      <c r="N35" s="21">
        <f t="shared" si="2"/>
        <v>45701</v>
      </c>
      <c r="O35" s="20" t="s">
        <v>427</v>
      </c>
      <c r="P35" s="20" t="str">
        <f>IFERROR(VLOOKUP(Q35,Encerrados!#REF!,3,FALSE),
IFERROR(VLOOKUP(Q35,Encerrados!#REF!,3,FALSE),
IFERROR(VLOOKUP(Q35,Encerrados!#REF!,3,FALSE),
IFERROR(VLOOKUP(Q35,Encerrados!#REF!,3,FALSE),"-"))))</f>
        <v>-</v>
      </c>
      <c r="Q35" s="183" t="s">
        <v>167</v>
      </c>
      <c r="R35" s="22">
        <v>7000</v>
      </c>
      <c r="S35" s="159">
        <f t="shared" si="4"/>
        <v>45994</v>
      </c>
      <c r="T35" s="160">
        <v>66</v>
      </c>
      <c r="U35" s="59">
        <f>M145-S34</f>
        <v>36</v>
      </c>
      <c r="V35" s="266">
        <f t="shared" si="5"/>
        <v>46030</v>
      </c>
      <c r="W35" t="str">
        <f t="shared" ref="W35:W41" si="7">VLOOKUP(Q35,Q85:Q211,1,0)</f>
        <v>Biava - PR</v>
      </c>
      <c r="X35" s="132">
        <f t="shared" si="6"/>
        <v>45701</v>
      </c>
    </row>
    <row r="36" spans="1:24" ht="14.25" customHeight="1">
      <c r="A36" s="25" t="s">
        <v>17</v>
      </c>
      <c r="B36" s="24">
        <v>45534</v>
      </c>
      <c r="C36" s="25">
        <f t="shared" si="3"/>
        <v>2024</v>
      </c>
      <c r="D36" s="30">
        <v>45533</v>
      </c>
      <c r="E36" s="26" t="s">
        <v>428</v>
      </c>
      <c r="F36" s="27">
        <f t="shared" ca="1" si="0"/>
        <v>67</v>
      </c>
      <c r="G36" s="27" t="str">
        <f>IFERROR(VLOOKUP(H36,Encerrados!#REF!,3,FALSE),
IFERROR(VLOOKUP(H36,Encerrados!#REF!,3,FALSE),
IFERROR(VLOOKUP(H36,Encerrados!#REF!,3,FALSE),
IFERROR(VLOOKUP(H36,Encerrados!#REF!,3,FALSE),"-"))))</f>
        <v>-</v>
      </c>
      <c r="H36" s="28" t="s">
        <v>429</v>
      </c>
      <c r="I36" s="29"/>
      <c r="J36" s="25" t="s">
        <v>60</v>
      </c>
      <c r="K36" s="25">
        <v>29</v>
      </c>
      <c r="L36" s="11" t="s">
        <v>365</v>
      </c>
      <c r="M36" s="21">
        <f t="shared" si="1"/>
        <v>45680</v>
      </c>
      <c r="N36" s="21">
        <f t="shared" si="2"/>
        <v>45701</v>
      </c>
      <c r="O36" s="20" t="s">
        <v>430</v>
      </c>
      <c r="P36" s="20" t="str">
        <f>IFERROR(VLOOKUP(Q36,Encerrados!#REF!,3,FALSE),
IFERROR(VLOOKUP(Q36,Encerrados!#REF!,3,FALSE),
IFERROR(VLOOKUP(Q36,Encerrados!#REF!,3,FALSE),
IFERROR(VLOOKUP(Q36,Encerrados!#REF!,3,FALSE),"-"))))</f>
        <v>-</v>
      </c>
      <c r="Q36" s="183" t="s">
        <v>182</v>
      </c>
      <c r="R36" s="22">
        <v>49728</v>
      </c>
      <c r="S36" s="159">
        <f t="shared" si="4"/>
        <v>46001</v>
      </c>
      <c r="T36" s="160">
        <v>67</v>
      </c>
      <c r="U36" s="59">
        <f>M155-S36</f>
        <v>57</v>
      </c>
      <c r="V36" s="266">
        <f t="shared" si="5"/>
        <v>46058</v>
      </c>
      <c r="W36" t="str">
        <f t="shared" si="7"/>
        <v>Km 45 nucleo 2 - PR</v>
      </c>
      <c r="X36" s="132">
        <f t="shared" si="6"/>
        <v>45701</v>
      </c>
    </row>
    <row r="37" spans="1:24" ht="14.25" customHeight="1">
      <c r="A37" s="25" t="s">
        <v>17</v>
      </c>
      <c r="B37" s="24">
        <v>45539</v>
      </c>
      <c r="C37" s="25">
        <f t="shared" si="3"/>
        <v>2024</v>
      </c>
      <c r="D37" s="30">
        <v>45540</v>
      </c>
      <c r="E37" s="26" t="s">
        <v>431</v>
      </c>
      <c r="F37" s="27">
        <f t="shared" ca="1" si="0"/>
        <v>64</v>
      </c>
      <c r="G37" s="27" t="str">
        <f>IFERROR(VLOOKUP(H37,Encerrados!#REF!,3,FALSE),
IFERROR(VLOOKUP(H37,Encerrados!#REF!,3,FALSE),
IFERROR(VLOOKUP(H37,Encerrados!#REF!,3,FALSE),
IFERROR(VLOOKUP(H37,Encerrados!#REF!,3,FALSE),"-"))))</f>
        <v>-</v>
      </c>
      <c r="H37" s="28" t="s">
        <v>59</v>
      </c>
      <c r="I37" s="29">
        <v>60000</v>
      </c>
      <c r="J37" s="25" t="s">
        <v>45</v>
      </c>
      <c r="K37" s="25">
        <v>63</v>
      </c>
      <c r="L37" s="11" t="s">
        <v>365</v>
      </c>
      <c r="M37" s="21">
        <f t="shared" si="1"/>
        <v>45687</v>
      </c>
      <c r="N37" s="21">
        <f t="shared" si="2"/>
        <v>45708</v>
      </c>
      <c r="O37" s="20" t="s">
        <v>432</v>
      </c>
      <c r="P37" s="20" t="str">
        <f>IFERROR(VLOOKUP(Q37,Encerrados!#REF!,3,FALSE),
IFERROR(VLOOKUP(Q37,Encerrados!#REF!,3,FALSE),
IFERROR(VLOOKUP(Q37,Encerrados!#REF!,3,FALSE),
IFERROR(VLOOKUP(Q37,Encerrados!#REF!,3,FALSE),"-"))))</f>
        <v>-</v>
      </c>
      <c r="Q37" s="183" t="s">
        <v>433</v>
      </c>
      <c r="R37" s="22">
        <v>57640</v>
      </c>
      <c r="S37" s="159">
        <f t="shared" si="4"/>
        <v>45987</v>
      </c>
      <c r="T37" s="160">
        <v>64</v>
      </c>
      <c r="U37" s="59">
        <f>M151-S37</f>
        <v>57</v>
      </c>
      <c r="V37" s="266">
        <f t="shared" si="5"/>
        <v>46044</v>
      </c>
      <c r="W37" t="str">
        <f t="shared" si="7"/>
        <v>Malacarne 4 - PR</v>
      </c>
      <c r="X37" s="132">
        <f t="shared" si="6"/>
        <v>45708</v>
      </c>
    </row>
    <row r="38" spans="1:24" ht="14.25" customHeight="1">
      <c r="A38" s="25" t="s">
        <v>17</v>
      </c>
      <c r="B38" s="24">
        <v>45545</v>
      </c>
      <c r="C38" s="25">
        <f t="shared" si="3"/>
        <v>2024</v>
      </c>
      <c r="D38" s="30">
        <v>45547</v>
      </c>
      <c r="E38" s="26" t="s">
        <v>434</v>
      </c>
      <c r="F38" s="27">
        <f t="shared" ca="1" si="0"/>
        <v>66</v>
      </c>
      <c r="G38" s="27" t="str">
        <f>IFERROR(VLOOKUP(H38,Encerrados!#REF!,3,FALSE),
IFERROR(VLOOKUP(H38,Encerrados!#REF!,3,FALSE),
IFERROR(VLOOKUP(H38,Encerrados!#REF!,3,FALSE),
IFERROR(VLOOKUP(H38,Encerrados!#REF!,3,FALSE),"-"))))</f>
        <v>-</v>
      </c>
      <c r="H38" s="28" t="s">
        <v>36</v>
      </c>
      <c r="I38" s="29">
        <v>60000</v>
      </c>
      <c r="J38" s="25" t="s">
        <v>60</v>
      </c>
      <c r="K38" s="25">
        <v>36</v>
      </c>
      <c r="L38" s="11" t="s">
        <v>365</v>
      </c>
      <c r="M38" s="21">
        <f t="shared" si="1"/>
        <v>45694</v>
      </c>
      <c r="N38" s="21">
        <f t="shared" si="2"/>
        <v>45715</v>
      </c>
      <c r="O38" s="20" t="s">
        <v>435</v>
      </c>
      <c r="P38" s="20" t="str">
        <f>IFERROR(VLOOKUP(Q38,Encerrados!#REF!,3,FALSE),
IFERROR(VLOOKUP(Q38,Encerrados!#REF!,3,FALSE),
IFERROR(VLOOKUP(Q38,Encerrados!#REF!,3,FALSE),
IFERROR(VLOOKUP(Q38,Encerrados!#REF!,3,FALSE),"-"))))</f>
        <v>-</v>
      </c>
      <c r="Q38" s="184" t="s">
        <v>436</v>
      </c>
      <c r="R38" s="46">
        <v>56960</v>
      </c>
      <c r="S38" s="47">
        <f t="shared" si="4"/>
        <v>46008</v>
      </c>
      <c r="T38" s="48">
        <v>66</v>
      </c>
      <c r="U38" s="59">
        <f>M152-S38</f>
        <v>43</v>
      </c>
      <c r="V38" s="162">
        <f t="shared" si="5"/>
        <v>46051</v>
      </c>
      <c r="W38" t="str">
        <f t="shared" si="7"/>
        <v>Malacarne 3 - PR</v>
      </c>
      <c r="X38" s="132">
        <f t="shared" si="6"/>
        <v>45715</v>
      </c>
    </row>
    <row r="39" spans="1:24" ht="14.25" customHeight="1">
      <c r="A39" s="25" t="s">
        <v>17</v>
      </c>
      <c r="B39" s="24">
        <v>45554</v>
      </c>
      <c r="C39" s="25">
        <f t="shared" si="3"/>
        <v>2024</v>
      </c>
      <c r="D39" s="30">
        <v>45554</v>
      </c>
      <c r="E39" s="26" t="s">
        <v>437</v>
      </c>
      <c r="F39" s="27">
        <f t="shared" ca="1" si="0"/>
        <v>67</v>
      </c>
      <c r="G39" s="27" t="str">
        <f>IFERROR(VLOOKUP(H39,Encerrados!#REF!,3,FALSE),
IFERROR(VLOOKUP(H39,Encerrados!#REF!,3,FALSE),
IFERROR(VLOOKUP(H39,Encerrados!#REF!,3,FALSE),
IFERROR(VLOOKUP(H39,Encerrados!#REF!,3,FALSE),"-"))))</f>
        <v>-</v>
      </c>
      <c r="H39" s="28" t="s">
        <v>68</v>
      </c>
      <c r="I39" s="29">
        <v>60000</v>
      </c>
      <c r="J39" s="25" t="s">
        <v>45</v>
      </c>
      <c r="K39" s="25">
        <v>57</v>
      </c>
      <c r="L39" s="11" t="s">
        <v>365</v>
      </c>
      <c r="M39" s="21">
        <f t="shared" si="1"/>
        <v>45701</v>
      </c>
      <c r="N39" s="21">
        <f t="shared" si="2"/>
        <v>45722</v>
      </c>
      <c r="O39" s="20" t="s">
        <v>438</v>
      </c>
      <c r="P39" s="20" t="str">
        <f>IFERROR(VLOOKUP(Q39,Encerrados!#REF!,3,FALSE),
IFERROR(VLOOKUP(Q39,Encerrados!#REF!,3,FALSE),
IFERROR(VLOOKUP(Q39,Encerrados!#REF!,3,FALSE),
IFERROR(VLOOKUP(Q39,Encerrados!#REF!,3,FALSE),"-"))))</f>
        <v>-</v>
      </c>
      <c r="Q39" s="184" t="s">
        <v>184</v>
      </c>
      <c r="R39" s="46">
        <v>54992</v>
      </c>
      <c r="S39" s="47">
        <f t="shared" si="4"/>
        <v>46022</v>
      </c>
      <c r="T39" s="48">
        <v>67</v>
      </c>
      <c r="U39" s="59">
        <f>M158-S39</f>
        <v>50</v>
      </c>
      <c r="V39" s="162">
        <f t="shared" si="5"/>
        <v>46072</v>
      </c>
      <c r="W39" t="str">
        <f t="shared" si="7"/>
        <v>Renascença 3 - PR</v>
      </c>
      <c r="X39" s="132">
        <f t="shared" si="6"/>
        <v>45722</v>
      </c>
    </row>
    <row r="40" spans="1:24" ht="13.5" customHeight="1">
      <c r="A40" s="25" t="s">
        <v>17</v>
      </c>
      <c r="B40" s="24">
        <v>45555</v>
      </c>
      <c r="C40" s="25">
        <f t="shared" si="3"/>
        <v>2024</v>
      </c>
      <c r="D40" s="30">
        <v>45554</v>
      </c>
      <c r="E40" s="26" t="s">
        <v>439</v>
      </c>
      <c r="F40" s="27">
        <f t="shared" ca="1" si="0"/>
        <v>65</v>
      </c>
      <c r="G40" s="27" t="str">
        <f>IFERROR(VLOOKUP(H40,Encerrados!#REF!,3,FALSE),
IFERROR(VLOOKUP(H40,Encerrados!#REF!,3,FALSE),
IFERROR(VLOOKUP(H40,Encerrados!#REF!,3,FALSE),
IFERROR(VLOOKUP(H40,Encerrados!#REF!,3,FALSE),"-"))))</f>
        <v>-</v>
      </c>
      <c r="H40" s="28" t="s">
        <v>47</v>
      </c>
      <c r="I40" s="29">
        <v>60000</v>
      </c>
      <c r="J40" s="25" t="s">
        <v>20</v>
      </c>
      <c r="K40" s="25">
        <v>29</v>
      </c>
      <c r="L40" s="38" t="s">
        <v>376</v>
      </c>
      <c r="M40" s="21">
        <f t="shared" si="1"/>
        <v>45701</v>
      </c>
      <c r="N40" s="21">
        <f t="shared" si="2"/>
        <v>45722</v>
      </c>
      <c r="O40" s="20" t="s">
        <v>440</v>
      </c>
      <c r="P40" s="20" t="str">
        <f>IFERROR(VLOOKUP(Q40,Encerrados!#REF!,3,FALSE),
IFERROR(VLOOKUP(Q40,Encerrados!#REF!,3,FALSE),
IFERROR(VLOOKUP(Q40,Encerrados!#REF!,3,FALSE),
IFERROR(VLOOKUP(Q40,Encerrados!#REF!,3,FALSE),"-"))))</f>
        <v>-</v>
      </c>
      <c r="Q40" s="184" t="s">
        <v>170</v>
      </c>
      <c r="R40" s="46">
        <v>39715</v>
      </c>
      <c r="S40" s="47">
        <f t="shared" si="4"/>
        <v>46008</v>
      </c>
      <c r="T40" s="48">
        <v>65</v>
      </c>
      <c r="U40" s="59">
        <f>M153-S40</f>
        <v>43</v>
      </c>
      <c r="V40" s="162">
        <f t="shared" si="5"/>
        <v>46051</v>
      </c>
      <c r="W40" t="str">
        <f t="shared" si="7"/>
        <v>Salto 1 - PR</v>
      </c>
      <c r="X40" s="132">
        <f t="shared" si="6"/>
        <v>45722</v>
      </c>
    </row>
    <row r="41" spans="1:24" ht="14.25" customHeight="1">
      <c r="A41" s="25" t="s">
        <v>17</v>
      </c>
      <c r="B41" s="24">
        <v>45560</v>
      </c>
      <c r="C41" s="25">
        <f>YEAR(B41)</f>
        <v>2024</v>
      </c>
      <c r="D41" s="30">
        <v>45561</v>
      </c>
      <c r="E41" s="26" t="s">
        <v>441</v>
      </c>
      <c r="F41" s="27">
        <f t="shared" ca="1" si="0"/>
        <v>68</v>
      </c>
      <c r="G41" s="27" t="str">
        <f>IFERROR(VLOOKUP(H41,Encerrados!#REF!,3,FALSE),
IFERROR(VLOOKUP(H41,Encerrados!#REF!,3,FALSE),
IFERROR(VLOOKUP(H41,Encerrados!#REF!,3,FALSE),
IFERROR(VLOOKUP(H41,Encerrados!#REF!,3,FALSE),"-"))))</f>
        <v>-</v>
      </c>
      <c r="H41" s="28" t="s">
        <v>44</v>
      </c>
      <c r="I41" s="29">
        <v>42000</v>
      </c>
      <c r="J41" s="25" t="s">
        <v>60</v>
      </c>
      <c r="K41" s="25">
        <v>16</v>
      </c>
      <c r="L41" s="12" t="s">
        <v>368</v>
      </c>
      <c r="M41" s="21">
        <f t="shared" si="1"/>
        <v>45708</v>
      </c>
      <c r="N41" s="21">
        <f t="shared" si="2"/>
        <v>45729</v>
      </c>
      <c r="O41" s="20" t="s">
        <v>442</v>
      </c>
      <c r="P41" s="20" t="str">
        <f>IFERROR(VLOOKUP(Q41,Encerrados!#REF!,3,FALSE),
IFERROR(VLOOKUP(Q41,Encerrados!#REF!,3,FALSE),
IFERROR(VLOOKUP(Q41,Encerrados!#REF!,3,FALSE),
IFERROR(VLOOKUP(Q41,Encerrados!#REF!,3,FALSE),"-"))))</f>
        <v>-</v>
      </c>
      <c r="Q41" s="184" t="s">
        <v>185</v>
      </c>
      <c r="R41" s="46">
        <f>I41*0.96</f>
        <v>40320</v>
      </c>
      <c r="S41" s="47">
        <f t="shared" si="4"/>
        <v>46036</v>
      </c>
      <c r="T41" s="48">
        <v>68</v>
      </c>
      <c r="U41" s="59">
        <f>M164-S41</f>
        <v>50</v>
      </c>
      <c r="V41" s="162">
        <f t="shared" si="5"/>
        <v>46086</v>
      </c>
      <c r="W41" t="str">
        <f t="shared" si="7"/>
        <v>Asa branca - PR</v>
      </c>
      <c r="X41" s="132">
        <f t="shared" si="6"/>
        <v>45729</v>
      </c>
    </row>
    <row r="42" spans="1:24" ht="14.25" customHeight="1">
      <c r="A42" s="25" t="s">
        <v>17</v>
      </c>
      <c r="B42" s="24">
        <v>45566</v>
      </c>
      <c r="C42" s="25">
        <f t="shared" si="3"/>
        <v>2024</v>
      </c>
      <c r="D42" s="30">
        <v>45568</v>
      </c>
      <c r="E42" s="26" t="s">
        <v>443</v>
      </c>
      <c r="F42" s="27">
        <f t="shared" ca="1" si="0"/>
        <v>66</v>
      </c>
      <c r="G42" s="27" t="str">
        <f>IFERROR(VLOOKUP(H42,Encerrados!#REF!,3,FALSE),
IFERROR(VLOOKUP(H42,Encerrados!#REF!,3,FALSE),
IFERROR(VLOOKUP(H42,Encerrados!#REF!,3,FALSE),
IFERROR(VLOOKUP(H42,Encerrados!#REF!,3,FALSE),"-"))))</f>
        <v>-</v>
      </c>
      <c r="H42" s="28" t="s">
        <v>89</v>
      </c>
      <c r="I42" s="29">
        <v>74000</v>
      </c>
      <c r="J42" s="25" t="s">
        <v>45</v>
      </c>
      <c r="K42" s="25">
        <v>56</v>
      </c>
      <c r="L42" s="11" t="s">
        <v>365</v>
      </c>
      <c r="M42" s="21">
        <f t="shared" si="1"/>
        <v>45715</v>
      </c>
      <c r="N42" s="21">
        <f t="shared" si="2"/>
        <v>45736</v>
      </c>
      <c r="O42" s="20" t="s">
        <v>444</v>
      </c>
      <c r="P42" s="20" t="str">
        <f>IFERROR(VLOOKUP(Q42,Encerrados!#REF!,3,FALSE),
IFERROR(VLOOKUP(Q42,Encerrados!#REF!,3,FALSE),
IFERROR(VLOOKUP(Q42,Encerrados!#REF!,3,FALSE),
IFERROR(VLOOKUP(Q42,Encerrados!#REF!,3,FALSE),"-"))))</f>
        <v>-</v>
      </c>
      <c r="Q42" s="184" t="s">
        <v>180</v>
      </c>
      <c r="R42" s="46">
        <v>39780</v>
      </c>
      <c r="S42" s="47">
        <f t="shared" si="4"/>
        <v>46029</v>
      </c>
      <c r="T42" s="48">
        <v>66</v>
      </c>
      <c r="U42" s="59">
        <f>M159-S42</f>
        <v>43</v>
      </c>
      <c r="V42" s="162">
        <f t="shared" si="5"/>
        <v>46072</v>
      </c>
      <c r="W42" t="str">
        <f>VLOOKUP(Q42,Q92:Q222,1,0)</f>
        <v>Bela Vista 3 - PR</v>
      </c>
      <c r="X42" s="132">
        <f t="shared" si="6"/>
        <v>45736</v>
      </c>
    </row>
    <row r="43" spans="1:24" ht="14.25" customHeight="1">
      <c r="A43" s="25" t="s">
        <v>17</v>
      </c>
      <c r="B43" s="24">
        <v>45566</v>
      </c>
      <c r="C43" s="25">
        <f>YEAR(B43)</f>
        <v>2024</v>
      </c>
      <c r="D43" s="30">
        <v>45568</v>
      </c>
      <c r="E43" s="26" t="s">
        <v>443</v>
      </c>
      <c r="F43" s="27">
        <f t="shared" ca="1" si="0"/>
        <v>67</v>
      </c>
      <c r="G43" s="27" t="str">
        <f>IFERROR(VLOOKUP(H43,Encerrados!#REF!,3,FALSE),
IFERROR(VLOOKUP(H43,Encerrados!#REF!,3,FALSE),
IFERROR(VLOOKUP(H43,Encerrados!#REF!,3,FALSE),
IFERROR(VLOOKUP(H43,Encerrados!#REF!,3,FALSE),"-"))))</f>
        <v>-</v>
      </c>
      <c r="H43" s="28" t="s">
        <v>89</v>
      </c>
      <c r="I43" s="29">
        <v>0</v>
      </c>
      <c r="J43" s="25" t="s">
        <v>45</v>
      </c>
      <c r="K43" s="25">
        <v>56</v>
      </c>
      <c r="L43" s="11" t="s">
        <v>365</v>
      </c>
      <c r="M43" s="21">
        <f t="shared" si="1"/>
        <v>45715</v>
      </c>
      <c r="N43" s="21">
        <f t="shared" si="2"/>
        <v>45736</v>
      </c>
      <c r="O43" s="20" t="s">
        <v>445</v>
      </c>
      <c r="P43" s="20" t="str">
        <f>IFERROR(VLOOKUP(Q43,Encerrados!#REF!,3,FALSE),
IFERROR(VLOOKUP(Q43,Encerrados!#REF!,3,FALSE),
IFERROR(VLOOKUP(Q43,Encerrados!#REF!,3,FALSE),
IFERROR(VLOOKUP(Q43,Encerrados!#REF!,3,FALSE),"-"))))</f>
        <v>-</v>
      </c>
      <c r="Q43" s="184" t="s">
        <v>195</v>
      </c>
      <c r="R43" s="46">
        <v>30504</v>
      </c>
      <c r="S43" s="47">
        <f t="shared" si="4"/>
        <v>46036</v>
      </c>
      <c r="T43" s="48">
        <v>67</v>
      </c>
      <c r="U43" s="59">
        <f>M165-S43</f>
        <v>50</v>
      </c>
      <c r="V43" s="162">
        <f t="shared" si="5"/>
        <v>46086</v>
      </c>
      <c r="W43" t="str">
        <f>VLOOKUP(Q43,Q93:Q235,1,0)</f>
        <v>Rossignol - SC</v>
      </c>
      <c r="X43" s="132">
        <f t="shared" si="6"/>
        <v>45736</v>
      </c>
    </row>
    <row r="44" spans="1:24" ht="14.25" customHeight="1">
      <c r="A44" s="25" t="s">
        <v>17</v>
      </c>
      <c r="B44" s="24">
        <v>45567</v>
      </c>
      <c r="C44" s="25">
        <f t="shared" si="3"/>
        <v>2024</v>
      </c>
      <c r="D44" s="30">
        <v>45568</v>
      </c>
      <c r="E44" s="26" t="s">
        <v>446</v>
      </c>
      <c r="F44" s="27">
        <f t="shared" ca="1" si="0"/>
        <v>66</v>
      </c>
      <c r="G44" s="27" t="str">
        <f>IFERROR(VLOOKUP(H44,Encerrados!#REF!,3,FALSE),
IFERROR(VLOOKUP(H44,Encerrados!#REF!,3,FALSE),
IFERROR(VLOOKUP(H44,Encerrados!#REF!,3,FALSE),
IFERROR(VLOOKUP(H44,Encerrados!#REF!,3,FALSE),"-"))))</f>
        <v>-</v>
      </c>
      <c r="H44" s="28" t="s">
        <v>79</v>
      </c>
      <c r="I44" s="29">
        <v>45000</v>
      </c>
      <c r="J44" s="25" t="s">
        <v>45</v>
      </c>
      <c r="K44" s="25">
        <v>58</v>
      </c>
      <c r="L44" s="38" t="s">
        <v>376</v>
      </c>
      <c r="M44" s="21">
        <f t="shared" si="1"/>
        <v>45715</v>
      </c>
      <c r="N44" s="21">
        <f t="shared" si="2"/>
        <v>45736</v>
      </c>
      <c r="O44" s="20" t="s">
        <v>447</v>
      </c>
      <c r="P44" s="20" t="str">
        <f>IFERROR(VLOOKUP(Q44,Encerrados!#REF!,3,FALSE),
IFERROR(VLOOKUP(Q44,Encerrados!#REF!,3,FALSE),
IFERROR(VLOOKUP(Q44,Encerrados!#REF!,3,FALSE),
IFERROR(VLOOKUP(Q44,Encerrados!#REF!,3,FALSE),"-"))))</f>
        <v>-</v>
      </c>
      <c r="Q44" s="184" t="s">
        <v>192</v>
      </c>
      <c r="R44" s="46">
        <v>45984</v>
      </c>
      <c r="S44" s="47">
        <f t="shared" si="4"/>
        <v>46029</v>
      </c>
      <c r="T44" s="48">
        <v>66</v>
      </c>
      <c r="U44" s="59">
        <f>M159-S44</f>
        <v>43</v>
      </c>
      <c r="V44" s="162">
        <f t="shared" si="5"/>
        <v>46072</v>
      </c>
      <c r="W44" t="str">
        <f>VLOOKUP(Q44,Q94:Q218,1,0)</f>
        <v>Bom sucesso 1 - PR</v>
      </c>
      <c r="X44" s="132">
        <f t="shared" si="6"/>
        <v>45736</v>
      </c>
    </row>
    <row r="45" spans="1:24" ht="15.75" customHeight="1">
      <c r="A45" s="25" t="s">
        <v>17</v>
      </c>
      <c r="B45" s="24">
        <v>45577</v>
      </c>
      <c r="C45" s="25">
        <f t="shared" si="3"/>
        <v>2024</v>
      </c>
      <c r="D45" s="30">
        <v>45575</v>
      </c>
      <c r="E45" s="26" t="s">
        <v>446</v>
      </c>
      <c r="F45" s="27">
        <f t="shared" ca="1" si="0"/>
        <v>66</v>
      </c>
      <c r="G45" s="27" t="str">
        <f>IFERROR(VLOOKUP(H45,Encerrados!#REF!,3,FALSE),
IFERROR(VLOOKUP(H45,Encerrados!#REF!,3,FALSE),
IFERROR(VLOOKUP(H45,Encerrados!#REF!,3,FALSE),
IFERROR(VLOOKUP(H45,Encerrados!#REF!,3,FALSE),"-"))))</f>
        <v>-</v>
      </c>
      <c r="H45" s="28" t="s">
        <v>79</v>
      </c>
      <c r="I45" s="29">
        <v>25000</v>
      </c>
      <c r="J45" s="25" t="s">
        <v>45</v>
      </c>
      <c r="K45" s="25">
        <v>58</v>
      </c>
      <c r="L45" s="11" t="s">
        <v>365</v>
      </c>
      <c r="M45" s="21">
        <f t="shared" si="1"/>
        <v>45722</v>
      </c>
      <c r="N45" s="21">
        <f t="shared" si="2"/>
        <v>45743</v>
      </c>
      <c r="O45" s="20" t="s">
        <v>448</v>
      </c>
      <c r="P45" s="20" t="str">
        <f>IFERROR(VLOOKUP(Q45,Encerrados!#REF!,3,FALSE),
IFERROR(VLOOKUP(Q45,Encerrados!#REF!,3,FALSE),
IFERROR(VLOOKUP(Q45,Encerrados!#REF!,3,FALSE),
IFERROR(VLOOKUP(Q45,Encerrados!#REF!,3,FALSE),"-"))))</f>
        <v>-</v>
      </c>
      <c r="Q45" s="184" t="s">
        <v>199</v>
      </c>
      <c r="R45" s="46">
        <v>19320</v>
      </c>
      <c r="S45" s="47">
        <f t="shared" si="4"/>
        <v>46036</v>
      </c>
      <c r="T45" s="48">
        <v>66</v>
      </c>
      <c r="U45" s="59">
        <f>M161-S45</f>
        <v>43</v>
      </c>
      <c r="V45" s="162">
        <f t="shared" si="5"/>
        <v>46079</v>
      </c>
      <c r="W45" t="str">
        <f>VLOOKUP(Q45,Q95:Q219,1,0)</f>
        <v>Saudade - PR</v>
      </c>
      <c r="X45" s="132">
        <f t="shared" si="6"/>
        <v>45743</v>
      </c>
    </row>
    <row r="46" spans="1:24" ht="14.25" customHeight="1">
      <c r="A46" s="25" t="s">
        <v>17</v>
      </c>
      <c r="B46" s="24">
        <v>45577</v>
      </c>
      <c r="C46" s="25">
        <f t="shared" si="3"/>
        <v>2024</v>
      </c>
      <c r="D46" s="30">
        <v>45575</v>
      </c>
      <c r="E46" s="26" t="s">
        <v>175</v>
      </c>
      <c r="F46" s="27">
        <f t="shared" ca="1" si="0"/>
        <v>66</v>
      </c>
      <c r="G46" s="27" t="str">
        <f>IFERROR(VLOOKUP(H46,Encerrados!#REF!,3,FALSE),
IFERROR(VLOOKUP(H46,Encerrados!#REF!,3,FALSE),
IFERROR(VLOOKUP(H46,Encerrados!#REF!,3,FALSE),
IFERROR(VLOOKUP(H46,Encerrados!#REF!,3,FALSE),"-"))))</f>
        <v>-</v>
      </c>
      <c r="H46" s="28" t="s">
        <v>52</v>
      </c>
      <c r="I46" s="29">
        <v>30000</v>
      </c>
      <c r="J46" s="25" t="s">
        <v>60</v>
      </c>
      <c r="K46" s="25">
        <v>22</v>
      </c>
      <c r="L46" s="11" t="s">
        <v>365</v>
      </c>
      <c r="M46" s="21">
        <f t="shared" si="1"/>
        <v>45722</v>
      </c>
      <c r="N46" s="21">
        <f t="shared" si="2"/>
        <v>45743</v>
      </c>
      <c r="O46" s="20" t="s">
        <v>448</v>
      </c>
      <c r="P46" s="20" t="str">
        <f>IFERROR(VLOOKUP(Q46,Encerrados!#REF!,3,FALSE),
IFERROR(VLOOKUP(Q46,Encerrados!#REF!,3,FALSE),
IFERROR(VLOOKUP(Q46,Encerrados!#REF!,3,FALSE),
IFERROR(VLOOKUP(Q46,Encerrados!#REF!,3,FALSE),"-"))))</f>
        <v>-</v>
      </c>
      <c r="Q46" s="184" t="s">
        <v>199</v>
      </c>
      <c r="R46" s="46">
        <v>29488</v>
      </c>
      <c r="S46" s="47">
        <f t="shared" si="4"/>
        <v>46036</v>
      </c>
      <c r="T46" s="48">
        <v>66</v>
      </c>
      <c r="U46" s="59">
        <f>M162-S46</f>
        <v>43</v>
      </c>
      <c r="V46" s="162">
        <f t="shared" si="5"/>
        <v>46079</v>
      </c>
      <c r="W46" t="str">
        <f>VLOOKUP(Q46,Q96:Q220,1,0)</f>
        <v>Saudade - PR</v>
      </c>
      <c r="X46" s="132">
        <f t="shared" si="6"/>
        <v>45743</v>
      </c>
    </row>
    <row r="47" spans="1:24" ht="14.25" customHeight="1">
      <c r="A47" s="25" t="s">
        <v>17</v>
      </c>
      <c r="B47" s="24">
        <v>45577</v>
      </c>
      <c r="C47" s="25">
        <f t="shared" si="3"/>
        <v>2024</v>
      </c>
      <c r="D47" s="30">
        <v>45575</v>
      </c>
      <c r="E47" s="26" t="s">
        <v>449</v>
      </c>
      <c r="F47" s="27">
        <f t="shared" ca="1" si="0"/>
        <v>68</v>
      </c>
      <c r="G47" s="27" t="str">
        <f>IFERROR(VLOOKUP(H47,Encerrados!#REF!,3,FALSE),
IFERROR(VLOOKUP(H47,Encerrados!#REF!,3,FALSE),
IFERROR(VLOOKUP(H47,Encerrados!#REF!,3,FALSE),
IFERROR(VLOOKUP(H47,Encerrados!#REF!,3,FALSE),"-"))))</f>
        <v>-</v>
      </c>
      <c r="H47" s="28" t="s">
        <v>52</v>
      </c>
      <c r="I47" s="29">
        <v>15000</v>
      </c>
      <c r="J47" s="25" t="s">
        <v>60</v>
      </c>
      <c r="K47" s="25">
        <v>22</v>
      </c>
      <c r="L47" s="11" t="s">
        <v>365</v>
      </c>
      <c r="M47" s="21">
        <f t="shared" si="1"/>
        <v>45722</v>
      </c>
      <c r="N47" s="21">
        <f t="shared" si="2"/>
        <v>45743</v>
      </c>
      <c r="O47" s="20" t="s">
        <v>450</v>
      </c>
      <c r="P47" s="20" t="str">
        <f>IFERROR(VLOOKUP(Q47,Encerrados!#REF!,3,FALSE),
IFERROR(VLOOKUP(Q47,Encerrados!#REF!,3,FALSE),
IFERROR(VLOOKUP(Q47,Encerrados!#REF!,3,FALSE),
IFERROR(VLOOKUP(Q47,Encerrados!#REF!,3,FALSE),"-"))))</f>
        <v>-</v>
      </c>
      <c r="Q47" s="184" t="s">
        <v>196</v>
      </c>
      <c r="R47" s="46">
        <v>16810</v>
      </c>
      <c r="S47" s="47">
        <f t="shared" si="4"/>
        <v>46050</v>
      </c>
      <c r="T47" s="48">
        <v>68</v>
      </c>
      <c r="U47" s="59">
        <f>M169-S47</f>
        <v>50</v>
      </c>
      <c r="V47" s="162">
        <f t="shared" si="5"/>
        <v>46100</v>
      </c>
      <c r="W47" t="str">
        <f>VLOOKUP(Q47,Q97:Q224,1,0)</f>
        <v>São Bernardo - PR</v>
      </c>
      <c r="X47" s="132">
        <f t="shared" si="6"/>
        <v>45743</v>
      </c>
    </row>
    <row r="48" spans="1:24" ht="14.25" customHeight="1">
      <c r="A48" s="25" t="s">
        <v>17</v>
      </c>
      <c r="B48" s="24">
        <v>45591</v>
      </c>
      <c r="C48" s="25">
        <f t="shared" si="3"/>
        <v>2024</v>
      </c>
      <c r="D48" s="30">
        <v>45589</v>
      </c>
      <c r="E48" s="26" t="s">
        <v>449</v>
      </c>
      <c r="F48" s="27">
        <f t="shared" ca="1" si="0"/>
        <v>66</v>
      </c>
      <c r="G48" s="27" t="str">
        <f>IFERROR(VLOOKUP(H48,Encerrados!#REF!,3,FALSE),
IFERROR(VLOOKUP(H48,Encerrados!#REF!,3,FALSE),
IFERROR(VLOOKUP(H48,Encerrados!#REF!,3,FALSE),
IFERROR(VLOOKUP(H48,Encerrados!#REF!,3,FALSE),"-"))))</f>
        <v>-</v>
      </c>
      <c r="H48" s="28" t="s">
        <v>75</v>
      </c>
      <c r="I48" s="29">
        <v>15000</v>
      </c>
      <c r="J48" s="25" t="s">
        <v>60</v>
      </c>
      <c r="K48" s="25">
        <v>24</v>
      </c>
      <c r="L48" s="11" t="s">
        <v>365</v>
      </c>
      <c r="M48" s="21">
        <f t="shared" si="1"/>
        <v>45736</v>
      </c>
      <c r="N48" s="21">
        <f t="shared" si="2"/>
        <v>45757</v>
      </c>
      <c r="O48" s="20" t="s">
        <v>450</v>
      </c>
      <c r="P48" s="20" t="str">
        <f>IFERROR(VLOOKUP(Q48,Encerrados!#REF!,3,FALSE),
IFERROR(VLOOKUP(Q48,Encerrados!#REF!,3,FALSE),
IFERROR(VLOOKUP(Q48,Encerrados!#REF!,3,FALSE),
IFERROR(VLOOKUP(Q48,Encerrados!#REF!,3,FALSE),"-"))))</f>
        <v>-</v>
      </c>
      <c r="Q48" s="184" t="s">
        <v>196</v>
      </c>
      <c r="R48" s="46">
        <v>16810</v>
      </c>
      <c r="S48" s="47">
        <f t="shared" si="4"/>
        <v>46050</v>
      </c>
      <c r="T48" s="48">
        <v>66</v>
      </c>
      <c r="U48" s="59">
        <f>M169-S47</f>
        <v>50</v>
      </c>
      <c r="V48" s="162">
        <f t="shared" si="5"/>
        <v>46100</v>
      </c>
      <c r="W48" t="str">
        <f>VLOOKUP(Q48,Q98:Q225,1,0)</f>
        <v>São Bernardo - PR</v>
      </c>
      <c r="X48" s="132">
        <f t="shared" si="6"/>
        <v>45757</v>
      </c>
    </row>
    <row r="49" spans="1:24" ht="14.25" customHeight="1">
      <c r="A49" s="25" t="s">
        <v>17</v>
      </c>
      <c r="B49" s="24">
        <v>45591</v>
      </c>
      <c r="C49" s="25">
        <f t="shared" si="3"/>
        <v>2024</v>
      </c>
      <c r="D49" s="30">
        <v>45589</v>
      </c>
      <c r="E49" s="26" t="s">
        <v>451</v>
      </c>
      <c r="F49" s="27">
        <f t="shared" ca="1" si="0"/>
        <v>64</v>
      </c>
      <c r="G49" s="27" t="str">
        <f>IFERROR(VLOOKUP(H49,Encerrados!#REF!,3,FALSE),
IFERROR(VLOOKUP(H49,Encerrados!#REF!,3,FALSE),
IFERROR(VLOOKUP(H49,Encerrados!#REF!,3,FALSE),
IFERROR(VLOOKUP(H49,Encerrados!#REF!,3,FALSE),"-"))))</f>
        <v>-</v>
      </c>
      <c r="H49" s="28" t="s">
        <v>75</v>
      </c>
      <c r="I49" s="29">
        <v>45000</v>
      </c>
      <c r="J49" s="25" t="s">
        <v>60</v>
      </c>
      <c r="K49" s="25">
        <v>20</v>
      </c>
      <c r="L49" s="11" t="s">
        <v>365</v>
      </c>
      <c r="M49" s="21">
        <f t="shared" si="1"/>
        <v>45736</v>
      </c>
      <c r="N49" s="21">
        <f t="shared" si="2"/>
        <v>45757</v>
      </c>
      <c r="O49" s="20" t="s">
        <v>448</v>
      </c>
      <c r="P49" s="20" t="str">
        <f>IFERROR(VLOOKUP(Q49,Encerrados!#REF!,3,FALSE),
IFERROR(VLOOKUP(Q49,Encerrados!#REF!,3,FALSE),
IFERROR(VLOOKUP(Q49,Encerrados!#REF!,3,FALSE),
IFERROR(VLOOKUP(Q49,Encerrados!#REF!,3,FALSE),"-"))))</f>
        <v>-</v>
      </c>
      <c r="Q49" s="184" t="s">
        <v>199</v>
      </c>
      <c r="R49" s="46">
        <v>42162</v>
      </c>
      <c r="S49" s="47">
        <f t="shared" si="4"/>
        <v>46036</v>
      </c>
      <c r="T49" s="48">
        <v>64</v>
      </c>
      <c r="U49" s="59">
        <f>M161-S45</f>
        <v>43</v>
      </c>
      <c r="V49" s="50">
        <f t="shared" si="5"/>
        <v>46079</v>
      </c>
      <c r="W49" t="str">
        <f>VLOOKUP(Q49,Q99:Q226,1,0)</f>
        <v>Saudade - PR</v>
      </c>
      <c r="X49" s="132">
        <f t="shared" si="6"/>
        <v>45757</v>
      </c>
    </row>
    <row r="50" spans="1:24" ht="14.25" customHeight="1">
      <c r="A50" s="25" t="s">
        <v>17</v>
      </c>
      <c r="B50" s="24">
        <v>45601</v>
      </c>
      <c r="C50" s="25">
        <f t="shared" si="3"/>
        <v>2024</v>
      </c>
      <c r="D50" s="30">
        <v>45603</v>
      </c>
      <c r="E50" s="26" t="s">
        <v>452</v>
      </c>
      <c r="F50" s="27">
        <f t="shared" ca="1" si="0"/>
        <v>66</v>
      </c>
      <c r="G50" s="27" t="str">
        <f>IFERROR(VLOOKUP(H50,Encerrados!#REF!,3,FALSE),
IFERROR(VLOOKUP(H50,Encerrados!#REF!,3,FALSE),
IFERROR(VLOOKUP(H50,Encerrados!#REF!,3,FALSE),
IFERROR(VLOOKUP(H50,Encerrados!#REF!,3,FALSE),"-"))))</f>
        <v>-</v>
      </c>
      <c r="H50" s="28" t="s">
        <v>104</v>
      </c>
      <c r="I50" s="29">
        <v>66000</v>
      </c>
      <c r="J50" s="25" t="s">
        <v>45</v>
      </c>
      <c r="K50" s="25">
        <v>55</v>
      </c>
      <c r="L50" s="11" t="s">
        <v>381</v>
      </c>
      <c r="M50" s="21">
        <f t="shared" si="1"/>
        <v>45750</v>
      </c>
      <c r="N50" s="21">
        <f t="shared" si="2"/>
        <v>45771</v>
      </c>
      <c r="O50" s="20" t="s">
        <v>453</v>
      </c>
      <c r="P50" s="20" t="str">
        <f>IFERROR(VLOOKUP(Q50,Encerrados!#REF!,3,FALSE),
IFERROR(VLOOKUP(Q50,Encerrados!#REF!,3,FALSE),
IFERROR(VLOOKUP(Q50,Encerrados!#REF!,3,FALSE),
IFERROR(VLOOKUP(Q50,Encerrados!#REF!,3,FALSE),"-"))))</f>
        <v>-</v>
      </c>
      <c r="Q50" s="184" t="s">
        <v>200</v>
      </c>
      <c r="R50" s="46">
        <v>36000</v>
      </c>
      <c r="S50" s="47">
        <f t="shared" si="4"/>
        <v>46064</v>
      </c>
      <c r="T50" s="48">
        <v>66</v>
      </c>
      <c r="U50" s="59">
        <f>M169-S50</f>
        <v>36</v>
      </c>
      <c r="V50" s="50">
        <f t="shared" si="5"/>
        <v>46100</v>
      </c>
      <c r="W50" t="str">
        <f>VLOOKUP(Q50,Q100:Q228,1,0)</f>
        <v>Cappellesso - PR</v>
      </c>
      <c r="X50" s="132">
        <f t="shared" si="6"/>
        <v>45771</v>
      </c>
    </row>
    <row r="51" spans="1:24" ht="14.25" customHeight="1">
      <c r="A51" s="25" t="s">
        <v>17</v>
      </c>
      <c r="B51" s="24">
        <v>45601</v>
      </c>
      <c r="C51" s="25">
        <f t="shared" si="3"/>
        <v>2024</v>
      </c>
      <c r="D51" s="30">
        <v>45603</v>
      </c>
      <c r="E51" s="26" t="s">
        <v>452</v>
      </c>
      <c r="F51" s="27">
        <f t="shared" ca="1" si="0"/>
        <v>66</v>
      </c>
      <c r="G51" s="27" t="str">
        <f>IFERROR(VLOOKUP(H51,Encerrados!#REF!,3,FALSE),
IFERROR(VLOOKUP(H51,Encerrados!#REF!,3,FALSE),
IFERROR(VLOOKUP(H51,Encerrados!#REF!,3,FALSE),
IFERROR(VLOOKUP(H51,Encerrados!#REF!,3,FALSE),"-"))))</f>
        <v>-</v>
      </c>
      <c r="H51" s="28" t="s">
        <v>104</v>
      </c>
      <c r="I51" s="29">
        <v>0</v>
      </c>
      <c r="J51" s="25" t="s">
        <v>45</v>
      </c>
      <c r="K51" s="25">
        <v>55</v>
      </c>
      <c r="L51" s="11" t="s">
        <v>381</v>
      </c>
      <c r="M51" s="21">
        <f t="shared" si="1"/>
        <v>45750</v>
      </c>
      <c r="N51" s="21">
        <f t="shared" si="2"/>
        <v>45771</v>
      </c>
      <c r="O51" s="20" t="s">
        <v>454</v>
      </c>
      <c r="P51" s="20" t="str">
        <f>IFERROR(VLOOKUP(Q51,Encerrados!#REF!,3,FALSE),
IFERROR(VLOOKUP(Q51,Encerrados!#REF!,3,FALSE),
IFERROR(VLOOKUP(Q51,Encerrados!#REF!,3,FALSE),
IFERROR(VLOOKUP(Q51,Encerrados!#REF!,3,FALSE),"-"))))</f>
        <v>-</v>
      </c>
      <c r="Q51" s="184" t="s">
        <v>201</v>
      </c>
      <c r="R51" s="46">
        <v>24000</v>
      </c>
      <c r="S51" s="47">
        <f t="shared" si="4"/>
        <v>46064</v>
      </c>
      <c r="T51" s="48">
        <v>66</v>
      </c>
      <c r="U51" s="59">
        <f>M170-S51</f>
        <v>36</v>
      </c>
      <c r="V51" s="50">
        <f t="shared" si="5"/>
        <v>46100</v>
      </c>
      <c r="W51" t="str">
        <f>VLOOKUP(Q51,Q101:Q232,1,0)</f>
        <v>Trevisan - SC</v>
      </c>
      <c r="X51" s="132">
        <f t="shared" si="6"/>
        <v>45771</v>
      </c>
    </row>
    <row r="52" spans="1:24" ht="14.25" customHeight="1">
      <c r="A52" s="25" t="s">
        <v>17</v>
      </c>
      <c r="B52" s="24">
        <v>45608</v>
      </c>
      <c r="C52" s="25">
        <f t="shared" si="3"/>
        <v>2024</v>
      </c>
      <c r="D52" s="30">
        <v>45610</v>
      </c>
      <c r="E52" s="26" t="s">
        <v>455</v>
      </c>
      <c r="F52" s="27">
        <f t="shared" ca="1" si="0"/>
        <v>66</v>
      </c>
      <c r="G52" s="27" t="str">
        <f>IFERROR(VLOOKUP(H52,Encerrados!#REF!,3,FALSE),
IFERROR(VLOOKUP(H52,Encerrados!#REF!,3,FALSE),
IFERROR(VLOOKUP(H52,Encerrados!#REF!,3,FALSE),
IFERROR(VLOOKUP(H52,Encerrados!#REF!,3,FALSE),"-"))))</f>
        <v>-</v>
      </c>
      <c r="H52" s="28" t="s">
        <v>375</v>
      </c>
      <c r="I52" s="29">
        <v>42000</v>
      </c>
      <c r="J52" s="25" t="s">
        <v>20</v>
      </c>
      <c r="K52" s="25">
        <v>23</v>
      </c>
      <c r="L52" s="11" t="s">
        <v>365</v>
      </c>
      <c r="M52" s="21">
        <f t="shared" si="1"/>
        <v>45757</v>
      </c>
      <c r="N52" s="21">
        <f t="shared" si="2"/>
        <v>45778</v>
      </c>
      <c r="O52" s="20" t="s">
        <v>456</v>
      </c>
      <c r="P52" s="20" t="str">
        <f>IFERROR(VLOOKUP(Q52,Encerrados!#REF!,3,FALSE),
IFERROR(VLOOKUP(Q52,Encerrados!#REF!,3,FALSE),
IFERROR(VLOOKUP(Q52,Encerrados!#REF!,3,FALSE),
IFERROR(VLOOKUP(Q52,Encerrados!#REF!,3,FALSE),"-"))))</f>
        <v>-</v>
      </c>
      <c r="Q52" s="184" t="s">
        <v>214</v>
      </c>
      <c r="R52" s="46">
        <v>28000</v>
      </c>
      <c r="S52" s="47">
        <f t="shared" si="4"/>
        <v>46071</v>
      </c>
      <c r="T52" s="48">
        <v>66</v>
      </c>
      <c r="U52" s="59">
        <f>M172-S52</f>
        <v>36</v>
      </c>
      <c r="V52" s="50">
        <f t="shared" si="5"/>
        <v>46107</v>
      </c>
      <c r="W52" t="str">
        <f>VLOOKUP(Q52,Q102:Q233,1,0)</f>
        <v>Itapejara - PR</v>
      </c>
      <c r="X52" s="132">
        <f t="shared" si="6"/>
        <v>45778</v>
      </c>
    </row>
    <row r="53" spans="1:24" ht="14.25" customHeight="1">
      <c r="A53" s="25" t="s">
        <v>17</v>
      </c>
      <c r="B53" s="24">
        <v>45638</v>
      </c>
      <c r="C53" s="25">
        <f t="shared" si="3"/>
        <v>2024</v>
      </c>
      <c r="D53" s="30">
        <v>45610</v>
      </c>
      <c r="E53" s="26" t="s">
        <v>455</v>
      </c>
      <c r="F53" s="27">
        <f t="shared" ca="1" si="0"/>
        <v>66</v>
      </c>
      <c r="G53" s="27" t="str">
        <f>IFERROR(VLOOKUP(H53,Encerrados!#REF!,3,FALSE),
IFERROR(VLOOKUP(H53,Encerrados!#REF!,3,FALSE),
IFERROR(VLOOKUP(H53,Encerrados!#REF!,3,FALSE),
IFERROR(VLOOKUP(H53,Encerrados!#REF!,3,FALSE),"-"))))</f>
        <v>-</v>
      </c>
      <c r="H53" s="28" t="s">
        <v>375</v>
      </c>
      <c r="I53" s="29">
        <v>0</v>
      </c>
      <c r="J53" s="25" t="s">
        <v>20</v>
      </c>
      <c r="K53" s="25">
        <v>23</v>
      </c>
      <c r="L53" s="11" t="s">
        <v>365</v>
      </c>
      <c r="M53" s="21">
        <f t="shared" si="1"/>
        <v>45757</v>
      </c>
      <c r="N53" s="21">
        <f t="shared" si="2"/>
        <v>45778</v>
      </c>
      <c r="O53" s="20" t="s">
        <v>457</v>
      </c>
      <c r="P53" s="20" t="str">
        <f>IFERROR(VLOOKUP(Q53,Encerrados!#REF!,3,FALSE),
IFERROR(VLOOKUP(Q53,Encerrados!#REF!,3,FALSE),
IFERROR(VLOOKUP(Q53,Encerrados!#REF!,3,FALSE),
IFERROR(VLOOKUP(Q53,Encerrados!#REF!,3,FALSE),"-"))))</f>
        <v>-</v>
      </c>
      <c r="Q53" s="184" t="s">
        <v>237</v>
      </c>
      <c r="R53" s="46">
        <v>15000</v>
      </c>
      <c r="S53" s="47">
        <f t="shared" si="4"/>
        <v>46071</v>
      </c>
      <c r="T53" s="48">
        <v>66</v>
      </c>
      <c r="U53" s="59">
        <f>M173-S53</f>
        <v>36</v>
      </c>
      <c r="V53" s="50">
        <f t="shared" si="5"/>
        <v>46107</v>
      </c>
      <c r="W53" t="str">
        <f>VLOOKUP(Q53,Q103:Q230,1,0)</f>
        <v>Jairo Guzzo - PR</v>
      </c>
      <c r="X53" s="132">
        <f t="shared" si="6"/>
        <v>45778</v>
      </c>
    </row>
    <row r="54" spans="1:24" ht="13.5" customHeight="1">
      <c r="A54" s="25" t="s">
        <v>17</v>
      </c>
      <c r="B54" s="24">
        <v>45615</v>
      </c>
      <c r="C54" s="25">
        <f t="shared" si="3"/>
        <v>2024</v>
      </c>
      <c r="D54" s="30">
        <v>45617</v>
      </c>
      <c r="E54" s="26" t="s">
        <v>458</v>
      </c>
      <c r="F54" s="27">
        <f t="shared" ca="1" si="0"/>
        <v>66</v>
      </c>
      <c r="G54" s="27" t="str">
        <f>IFERROR(VLOOKUP(H54,Encerrados!#REF!,3,FALSE),
IFERROR(VLOOKUP(H54,Encerrados!#REF!,3,FALSE),
IFERROR(VLOOKUP(H54,Encerrados!#REF!,3,FALSE),
IFERROR(VLOOKUP(H54,Encerrados!#REF!,3,FALSE),"-"))))</f>
        <v>-</v>
      </c>
      <c r="H54" s="28" t="s">
        <v>111</v>
      </c>
      <c r="I54" s="29">
        <v>40000</v>
      </c>
      <c r="J54" s="25" t="s">
        <v>45</v>
      </c>
      <c r="K54" s="25">
        <v>44</v>
      </c>
      <c r="L54" s="11" t="s">
        <v>381</v>
      </c>
      <c r="M54" s="21">
        <f t="shared" si="1"/>
        <v>45764</v>
      </c>
      <c r="N54" s="21">
        <f t="shared" si="2"/>
        <v>45785</v>
      </c>
      <c r="O54" s="20" t="s">
        <v>459</v>
      </c>
      <c r="P54" s="20" t="str">
        <f>IFERROR(VLOOKUP(Q54,Encerrados!#REF!,3,FALSE),
IFERROR(VLOOKUP(Q54,Encerrados!#REF!,3,FALSE),
IFERROR(VLOOKUP(Q54,Encerrados!#REF!,3,FALSE),
IFERROR(VLOOKUP(Q54,Encerrados!#REF!,3,FALSE),"-"))))</f>
        <v>-</v>
      </c>
      <c r="Q54" s="218" t="s">
        <v>202</v>
      </c>
      <c r="R54" s="46">
        <f>I54*0.96</f>
        <v>38400</v>
      </c>
      <c r="S54" s="47">
        <f t="shared" si="4"/>
        <v>46078</v>
      </c>
      <c r="T54" s="48">
        <v>66</v>
      </c>
      <c r="U54" s="59">
        <f>M176-S54</f>
        <v>50</v>
      </c>
      <c r="V54" s="50">
        <f t="shared" si="5"/>
        <v>46128</v>
      </c>
      <c r="W54" t="str">
        <f>VLOOKUP(Q54,Q104:Q233,1,0)</f>
        <v>Pandolfi - PR</v>
      </c>
      <c r="X54" s="132">
        <f t="shared" si="6"/>
        <v>45785</v>
      </c>
    </row>
    <row r="55" spans="1:24" ht="14.25" customHeight="1">
      <c r="A55" s="25" t="s">
        <v>17</v>
      </c>
      <c r="B55" s="24">
        <v>45616</v>
      </c>
      <c r="C55" s="25">
        <f t="shared" si="3"/>
        <v>2024</v>
      </c>
      <c r="D55" s="30">
        <v>45617</v>
      </c>
      <c r="E55" s="26" t="s">
        <v>460</v>
      </c>
      <c r="F55" s="27">
        <f t="shared" ca="1" si="0"/>
        <v>65</v>
      </c>
      <c r="G55" s="27" t="str">
        <f>IFERROR(VLOOKUP(H55,Encerrados!#REF!,3,FALSE),
IFERROR(VLOOKUP(H55,Encerrados!#REF!,3,FALSE),
IFERROR(VLOOKUP(H55,Encerrados!#REF!,3,FALSE),
IFERROR(VLOOKUP(H55,Encerrados!#REF!,3,FALSE),"-"))))</f>
        <v>-</v>
      </c>
      <c r="H55" s="28" t="s">
        <v>101</v>
      </c>
      <c r="I55" s="29">
        <v>60000</v>
      </c>
      <c r="J55" s="25" t="s">
        <v>60</v>
      </c>
      <c r="K55" s="25">
        <f>B113-M55</f>
        <v>33</v>
      </c>
      <c r="L55" s="38" t="s">
        <v>376</v>
      </c>
      <c r="M55" s="21">
        <v>45771</v>
      </c>
      <c r="N55" s="21">
        <f t="shared" si="2"/>
        <v>45785</v>
      </c>
      <c r="O55" s="20" t="s">
        <v>461</v>
      </c>
      <c r="P55" s="20" t="str">
        <f>IFERROR(VLOOKUP(Q55,Encerrados!#REF!,3,FALSE),
IFERROR(VLOOKUP(Q55,Encerrados!#REF!,3,FALSE),
IFERROR(VLOOKUP(Q55,Encerrados!#REF!,3,FALSE),
IFERROR(VLOOKUP(Q55,Encerrados!#REF!,3,FALSE),"-"))))</f>
        <v>-</v>
      </c>
      <c r="Q55" s="218" t="s">
        <v>205</v>
      </c>
      <c r="R55" s="46">
        <v>57000</v>
      </c>
      <c r="S55" s="47">
        <f t="shared" si="4"/>
        <v>46071</v>
      </c>
      <c r="T55" s="48">
        <v>65</v>
      </c>
      <c r="U55" s="59">
        <f>M174-S55</f>
        <v>43</v>
      </c>
      <c r="V55" s="50">
        <f t="shared" si="5"/>
        <v>46114</v>
      </c>
      <c r="W55" t="str">
        <f>VLOOKUP(Q55,Q105:Q233,1,0)</f>
        <v>Agua do Sabia - PR</v>
      </c>
      <c r="X55" s="132">
        <f t="shared" si="6"/>
        <v>45785</v>
      </c>
    </row>
    <row r="56" spans="1:24" ht="14.25" customHeight="1">
      <c r="A56" s="186" t="s">
        <v>17</v>
      </c>
      <c r="B56" s="186">
        <v>45736</v>
      </c>
      <c r="C56" s="186">
        <v>45736</v>
      </c>
      <c r="D56" s="186">
        <v>45736</v>
      </c>
      <c r="E56" s="187"/>
      <c r="F56" s="188">
        <f t="shared" ca="1" si="0"/>
        <v>31</v>
      </c>
      <c r="G56" s="188"/>
      <c r="H56" s="189" t="s">
        <v>462</v>
      </c>
      <c r="I56" s="190"/>
      <c r="J56" s="191"/>
      <c r="K56" s="198"/>
      <c r="L56" s="11" t="s">
        <v>365</v>
      </c>
      <c r="M56" s="192">
        <v>45736</v>
      </c>
      <c r="N56" s="192">
        <v>45785</v>
      </c>
      <c r="O56" s="193" t="s">
        <v>463</v>
      </c>
      <c r="P56" s="193" t="str">
        <f>IFERROR(VLOOKUP(Q56,Encerrados!#REF!,3,FALSE),
IFERROR(VLOOKUP(Q56,Encerrados!#REF!,3,FALSE),
IFERROR(VLOOKUP(Q56,Encerrados!#REF!,3,FALSE),
IFERROR(VLOOKUP(Q56,Encerrados!#REF!,3,FALSE),"-"))))</f>
        <v>-</v>
      </c>
      <c r="Q56" s="224" t="s">
        <v>198</v>
      </c>
      <c r="R56" s="194">
        <v>18000</v>
      </c>
      <c r="S56" s="195">
        <f t="shared" si="4"/>
        <v>45952</v>
      </c>
      <c r="T56" s="196">
        <v>31</v>
      </c>
      <c r="U56" s="59">
        <f>M166-S56</f>
        <v>43</v>
      </c>
      <c r="V56" s="197">
        <f t="shared" si="5"/>
        <v>45995</v>
      </c>
      <c r="W56" t="str">
        <f>VLOOKUP(Q56,Q106:Q238,1,0)</f>
        <v>Casarin - SC</v>
      </c>
      <c r="X56" s="132">
        <f t="shared" si="6"/>
        <v>45785</v>
      </c>
    </row>
    <row r="57" spans="1:24" ht="14.25" customHeight="1">
      <c r="A57" s="25" t="s">
        <v>17</v>
      </c>
      <c r="B57" s="24">
        <v>45625</v>
      </c>
      <c r="C57" s="25">
        <f t="shared" ref="C57:C120" si="8">YEAR(B57)</f>
        <v>2024</v>
      </c>
      <c r="D57" s="30">
        <v>45624</v>
      </c>
      <c r="E57" s="26" t="s">
        <v>464</v>
      </c>
      <c r="F57" s="27">
        <f t="shared" ca="1" si="0"/>
        <v>67</v>
      </c>
      <c r="G57" s="27" t="str">
        <f>IFERROR(VLOOKUP(H57,Encerrados!#REF!,3,FALSE),
IFERROR(VLOOKUP(H57,Encerrados!#REF!,3,FALSE),
IFERROR(VLOOKUP(H57,Encerrados!#REF!,3,FALSE),
IFERROR(VLOOKUP(H57,Encerrados!#REF!,3,FALSE),"-"))))</f>
        <v>-</v>
      </c>
      <c r="H57" s="28" t="s">
        <v>132</v>
      </c>
      <c r="I57" s="29">
        <v>72000</v>
      </c>
      <c r="J57" s="25" t="s">
        <v>60</v>
      </c>
      <c r="K57" s="25">
        <v>56</v>
      </c>
      <c r="L57" s="11" t="s">
        <v>365</v>
      </c>
      <c r="M57" s="21">
        <f t="shared" ref="M57:M76" si="9">D57+(22*7)-7</f>
        <v>45771</v>
      </c>
      <c r="N57" s="21">
        <f t="shared" ref="N57:N68" si="10">D57+24*7</f>
        <v>45792</v>
      </c>
      <c r="O57" s="20" t="s">
        <v>465</v>
      </c>
      <c r="P57" s="20" t="str">
        <f>IFERROR(VLOOKUP(Q57,Encerrados!#REF!,3,FALSE),
IFERROR(VLOOKUP(Q57,Encerrados!#REF!,3,FALSE),
IFERROR(VLOOKUP(Q57,Encerrados!#REF!,3,FALSE),
IFERROR(VLOOKUP(Q57,Encerrados!#REF!,3,FALSE),"-"))))</f>
        <v>-</v>
      </c>
      <c r="Q57" s="184" t="s">
        <v>223</v>
      </c>
      <c r="R57" s="46">
        <v>27000</v>
      </c>
      <c r="S57" s="47">
        <f t="shared" si="4"/>
        <v>46092</v>
      </c>
      <c r="T57" s="48">
        <v>67</v>
      </c>
      <c r="U57" s="59">
        <f>M183-S57</f>
        <v>50</v>
      </c>
      <c r="V57" s="50">
        <f t="shared" si="5"/>
        <v>46142</v>
      </c>
      <c r="W57" t="str">
        <f>VLOOKUP(Q57,Q107:Q227,1,0)</f>
        <v>Pinzon - PR</v>
      </c>
      <c r="X57" s="132">
        <f t="shared" si="6"/>
        <v>45792</v>
      </c>
    </row>
    <row r="58" spans="1:24" ht="14.25" customHeight="1">
      <c r="A58" s="25" t="s">
        <v>17</v>
      </c>
      <c r="B58" s="24">
        <v>45625</v>
      </c>
      <c r="C58" s="25">
        <f t="shared" si="8"/>
        <v>2024</v>
      </c>
      <c r="D58" s="30">
        <v>45624</v>
      </c>
      <c r="E58" s="26" t="s">
        <v>464</v>
      </c>
      <c r="F58" s="27">
        <f t="shared" ca="1" si="0"/>
        <v>66</v>
      </c>
      <c r="G58" s="27" t="str">
        <f>IFERROR(VLOOKUP(H58,Encerrados!#REF!,3,FALSE),
IFERROR(VLOOKUP(H58,Encerrados!#REF!,3,FALSE),
IFERROR(VLOOKUP(H58,Encerrados!#REF!,3,FALSE),
IFERROR(VLOOKUP(H58,Encerrados!#REF!,3,FALSE),"-"))))</f>
        <v>-</v>
      </c>
      <c r="H58" s="28" t="s">
        <v>132</v>
      </c>
      <c r="I58" s="29"/>
      <c r="J58" s="25" t="s">
        <v>60</v>
      </c>
      <c r="K58" s="25">
        <v>56</v>
      </c>
      <c r="L58" s="11" t="s">
        <v>365</v>
      </c>
      <c r="M58" s="21">
        <f t="shared" si="9"/>
        <v>45771</v>
      </c>
      <c r="N58" s="21">
        <f t="shared" si="10"/>
        <v>45792</v>
      </c>
      <c r="O58" s="20" t="s">
        <v>466</v>
      </c>
      <c r="P58" s="20" t="str">
        <f>IFERROR(VLOOKUP(Q58,Encerrados!#REF!,3,FALSE),
IFERROR(VLOOKUP(Q58,Encerrados!#REF!,3,FALSE),
IFERROR(VLOOKUP(Q58,Encerrados!#REF!,3,FALSE),
IFERROR(VLOOKUP(Q58,Encerrados!#REF!,3,FALSE),"-"))))</f>
        <v>-</v>
      </c>
      <c r="Q58" s="184" t="s">
        <v>206</v>
      </c>
      <c r="R58" s="46">
        <v>41000</v>
      </c>
      <c r="S58" s="47">
        <f t="shared" si="4"/>
        <v>46085</v>
      </c>
      <c r="T58" s="48">
        <v>66</v>
      </c>
      <c r="U58" s="59">
        <f>M175-S58</f>
        <v>36</v>
      </c>
      <c r="V58" s="50">
        <f t="shared" si="5"/>
        <v>46121</v>
      </c>
      <c r="W58" t="str">
        <f>VLOOKUP(Q58,Q108:Q238,1,0)</f>
        <v>Santolin - PR</v>
      </c>
      <c r="X58" s="132">
        <f t="shared" si="6"/>
        <v>45792</v>
      </c>
    </row>
    <row r="59" spans="1:24" ht="14.25" customHeight="1">
      <c r="A59" s="25" t="s">
        <v>17</v>
      </c>
      <c r="B59" s="24">
        <v>45630</v>
      </c>
      <c r="C59" s="25">
        <f t="shared" si="8"/>
        <v>2024</v>
      </c>
      <c r="D59" s="30">
        <v>45631</v>
      </c>
      <c r="E59" s="26" t="s">
        <v>467</v>
      </c>
      <c r="F59" s="27">
        <f t="shared" ca="1" si="0"/>
        <v>67</v>
      </c>
      <c r="G59" s="27" t="str">
        <f>IFERROR(VLOOKUP(H59,Encerrados!#REF!,3,FALSE),
IFERROR(VLOOKUP(H59,Encerrados!#REF!,3,FALSE),
IFERROR(VLOOKUP(H59,Encerrados!#REF!,3,FALSE),
IFERROR(VLOOKUP(H59,Encerrados!#REF!,3,FALSE),"-"))))</f>
        <v>-</v>
      </c>
      <c r="H59" s="28" t="s">
        <v>107</v>
      </c>
      <c r="I59" s="29">
        <v>42000</v>
      </c>
      <c r="J59" s="25" t="s">
        <v>20</v>
      </c>
      <c r="K59" s="25">
        <v>29</v>
      </c>
      <c r="L59" s="11" t="s">
        <v>365</v>
      </c>
      <c r="M59" s="21">
        <f t="shared" si="9"/>
        <v>45778</v>
      </c>
      <c r="N59" s="21">
        <f t="shared" si="10"/>
        <v>45799</v>
      </c>
      <c r="O59" s="20" t="s">
        <v>468</v>
      </c>
      <c r="P59" s="20" t="str">
        <f>IFERROR(VLOOKUP(Q59,Encerrados!#REF!,3,FALSE),
IFERROR(VLOOKUP(Q59,Encerrados!#REF!,3,FALSE),
IFERROR(VLOOKUP(Q59,Encerrados!#REF!,3,FALSE),
IFERROR(VLOOKUP(Q59,Encerrados!#REF!,3,FALSE),"-"))))</f>
        <v>-</v>
      </c>
      <c r="Q59" s="218" t="s">
        <v>215</v>
      </c>
      <c r="R59" s="46">
        <v>34000</v>
      </c>
      <c r="S59" s="47">
        <f t="shared" si="4"/>
        <v>46099</v>
      </c>
      <c r="T59" s="48">
        <v>67</v>
      </c>
      <c r="U59" s="59">
        <f>M185-S59</f>
        <v>43</v>
      </c>
      <c r="V59" s="50">
        <f t="shared" si="5"/>
        <v>46142</v>
      </c>
      <c r="W59" t="str">
        <f>VLOOKUP(Q59,Q109:Q237,1,0)</f>
        <v>São Caetano - PR</v>
      </c>
      <c r="X59" s="132">
        <f t="shared" si="6"/>
        <v>45799</v>
      </c>
    </row>
    <row r="60" spans="1:24" ht="14.25" customHeight="1">
      <c r="A60" s="25" t="s">
        <v>17</v>
      </c>
      <c r="B60" s="24">
        <v>45630</v>
      </c>
      <c r="C60" s="25">
        <f t="shared" si="8"/>
        <v>2024</v>
      </c>
      <c r="D60" s="30">
        <v>45631</v>
      </c>
      <c r="E60" s="26" t="s">
        <v>467</v>
      </c>
      <c r="F60" s="27">
        <f t="shared" ca="1" si="0"/>
        <v>67</v>
      </c>
      <c r="G60" s="27" t="str">
        <f>IFERROR(VLOOKUP(H60,Encerrados!#REF!,3,FALSE),
IFERROR(VLOOKUP(H60,Encerrados!#REF!,3,FALSE),
IFERROR(VLOOKUP(H60,Encerrados!#REF!,3,FALSE),
IFERROR(VLOOKUP(H60,Encerrados!#REF!,3,FALSE),"-"))))</f>
        <v>-</v>
      </c>
      <c r="H60" s="28" t="s">
        <v>107</v>
      </c>
      <c r="I60" s="29"/>
      <c r="J60" s="25" t="s">
        <v>20</v>
      </c>
      <c r="K60" s="25">
        <v>29</v>
      </c>
      <c r="L60" s="11" t="s">
        <v>365</v>
      </c>
      <c r="M60" s="21">
        <f t="shared" si="9"/>
        <v>45778</v>
      </c>
      <c r="N60" s="21">
        <f t="shared" si="10"/>
        <v>45799</v>
      </c>
      <c r="O60" s="20" t="s">
        <v>469</v>
      </c>
      <c r="P60" s="20" t="str">
        <f>IFERROR(VLOOKUP(Q60,Encerrados!#REF!,3,FALSE),
IFERROR(VLOOKUP(Q60,Encerrados!#REF!,3,FALSE),
IFERROR(VLOOKUP(Q60,Encerrados!#REF!,3,FALSE),
IFERROR(VLOOKUP(Q60,Encerrados!#REF!,3,FALSE),"-"))))</f>
        <v>-</v>
      </c>
      <c r="Q60" s="218" t="s">
        <v>470</v>
      </c>
      <c r="R60" s="46">
        <v>6000</v>
      </c>
      <c r="S60" s="47">
        <f t="shared" si="4"/>
        <v>46099</v>
      </c>
      <c r="T60" s="48">
        <v>67</v>
      </c>
      <c r="U60" s="59">
        <f>M186-S60</f>
        <v>43</v>
      </c>
      <c r="V60" s="50">
        <f t="shared" si="5"/>
        <v>46142</v>
      </c>
      <c r="W60" t="str">
        <f>VLOOKUP(Q60,Q110:Q239,1,0)</f>
        <v>São Manoel - PR</v>
      </c>
      <c r="X60" s="132">
        <f t="shared" si="6"/>
        <v>45799</v>
      </c>
    </row>
    <row r="61" spans="1:24" ht="14.25" customHeight="1">
      <c r="A61" s="25" t="s">
        <v>17</v>
      </c>
      <c r="B61" s="24">
        <v>45631</v>
      </c>
      <c r="C61" s="25">
        <f t="shared" si="8"/>
        <v>2024</v>
      </c>
      <c r="D61" s="30">
        <v>45631</v>
      </c>
      <c r="E61" s="26" t="s">
        <v>471</v>
      </c>
      <c r="F61" s="27">
        <f t="shared" ca="1" si="0"/>
        <v>68</v>
      </c>
      <c r="G61" s="27" t="str">
        <f>IFERROR(VLOOKUP(H61,Encerrados!#REF!,3,FALSE),
IFERROR(VLOOKUP(H61,Encerrados!#REF!,3,FALSE),
IFERROR(VLOOKUP(H61,Encerrados!#REF!,3,FALSE),
IFERROR(VLOOKUP(H61,Encerrados!#REF!,3,FALSE),"-"))))</f>
        <v>-</v>
      </c>
      <c r="H61" s="28" t="s">
        <v>135</v>
      </c>
      <c r="I61" s="29">
        <v>46000</v>
      </c>
      <c r="J61" s="25" t="s">
        <v>45</v>
      </c>
      <c r="K61" s="25">
        <v>58</v>
      </c>
      <c r="L61" s="13" t="s">
        <v>472</v>
      </c>
      <c r="M61" s="21">
        <f t="shared" si="9"/>
        <v>45778</v>
      </c>
      <c r="N61" s="21">
        <f t="shared" si="10"/>
        <v>45799</v>
      </c>
      <c r="O61" s="20" t="s">
        <v>473</v>
      </c>
      <c r="P61" s="20" t="str">
        <f>IFERROR(VLOOKUP(Q61,Encerrados!#REF!,3,FALSE),
IFERROR(VLOOKUP(Q61,Encerrados!#REF!,3,FALSE),
IFERROR(VLOOKUP(Q61,Encerrados!#REF!,3,FALSE),
IFERROR(VLOOKUP(Q61,Encerrados!#REF!,3,FALSE),"-"))))</f>
        <v>-</v>
      </c>
      <c r="Q61" s="184" t="s">
        <v>212</v>
      </c>
      <c r="R61" s="46">
        <v>44000</v>
      </c>
      <c r="S61" s="47">
        <f t="shared" si="4"/>
        <v>46106</v>
      </c>
      <c r="T61" s="48">
        <v>68</v>
      </c>
      <c r="U61" s="59">
        <f>M188-S61</f>
        <v>43</v>
      </c>
      <c r="V61" s="50">
        <f t="shared" si="5"/>
        <v>46149</v>
      </c>
      <c r="W61" t="str">
        <f>VLOOKUP(Q61,Q111:Q240,1,0)</f>
        <v>Bela Vista 1 - PR</v>
      </c>
      <c r="X61" s="132">
        <f t="shared" si="6"/>
        <v>45799</v>
      </c>
    </row>
    <row r="62" spans="1:24" ht="15.75" customHeight="1">
      <c r="A62" s="25" t="s">
        <v>17</v>
      </c>
      <c r="B62" s="24">
        <v>45638</v>
      </c>
      <c r="C62" s="25">
        <f t="shared" si="8"/>
        <v>2024</v>
      </c>
      <c r="D62" s="30">
        <v>45638</v>
      </c>
      <c r="E62" s="26" t="s">
        <v>474</v>
      </c>
      <c r="F62" s="27">
        <f t="shared" ca="1" si="0"/>
        <v>66</v>
      </c>
      <c r="G62" s="27" t="str">
        <f>IFERROR(VLOOKUP(H62,Encerrados!#REF!,3,FALSE),
IFERROR(VLOOKUP(H62,Encerrados!#REF!,3,FALSE),
IFERROR(VLOOKUP(H62,Encerrados!#REF!,3,FALSE),
IFERROR(VLOOKUP(H62,Encerrados!#REF!,3,FALSE),"-"))))</f>
        <v>-</v>
      </c>
      <c r="H62" s="28" t="s">
        <v>120</v>
      </c>
      <c r="I62" s="29">
        <v>50000</v>
      </c>
      <c r="J62" s="25" t="s">
        <v>60</v>
      </c>
      <c r="K62" s="25">
        <v>33</v>
      </c>
      <c r="L62" s="11" t="s">
        <v>365</v>
      </c>
      <c r="M62" s="21">
        <f t="shared" si="9"/>
        <v>45785</v>
      </c>
      <c r="N62" s="21">
        <f t="shared" si="10"/>
        <v>45806</v>
      </c>
      <c r="O62" s="20" t="s">
        <v>475</v>
      </c>
      <c r="P62" s="20" t="str">
        <f>IFERROR(VLOOKUP(Q62,Encerrados!#REF!,3,FALSE),
IFERROR(VLOOKUP(Q62,Encerrados!#REF!,3,FALSE),
IFERROR(VLOOKUP(Q62,Encerrados!#REF!,3,FALSE),
IFERROR(VLOOKUP(Q62,Encerrados!#REF!,3,FALSE),"-"))))</f>
        <v>-</v>
      </c>
      <c r="Q62" s="184" t="s">
        <v>210</v>
      </c>
      <c r="R62" s="46">
        <f>I62*0.96</f>
        <v>48000</v>
      </c>
      <c r="S62" s="47">
        <f t="shared" si="4"/>
        <v>46099</v>
      </c>
      <c r="T62" s="48">
        <v>66</v>
      </c>
      <c r="U62" s="59">
        <f>M180-S62</f>
        <v>36</v>
      </c>
      <c r="V62" s="50">
        <f t="shared" si="5"/>
        <v>46135</v>
      </c>
      <c r="W62" t="str">
        <f>VLOOKUP(Q62,Q112:Q240,1,0)</f>
        <v>Salto Caxias Prod. 1 - PR</v>
      </c>
      <c r="X62" s="132">
        <f t="shared" si="6"/>
        <v>45806</v>
      </c>
    </row>
    <row r="63" spans="1:24" ht="14.25" customHeight="1">
      <c r="A63" s="25" t="s">
        <v>17</v>
      </c>
      <c r="B63" s="24">
        <v>45643</v>
      </c>
      <c r="C63" s="25">
        <f t="shared" si="8"/>
        <v>2024</v>
      </c>
      <c r="D63" s="30">
        <v>45645</v>
      </c>
      <c r="E63" s="26" t="s">
        <v>476</v>
      </c>
      <c r="F63" s="27">
        <f t="shared" ca="1" si="0"/>
        <v>64</v>
      </c>
      <c r="G63" s="27" t="str">
        <f>IFERROR(VLOOKUP(H63,Encerrados!#REF!,3,FALSE),
IFERROR(VLOOKUP(H63,Encerrados!#REF!,3,FALSE),
IFERROR(VLOOKUP(H63,Encerrados!#REF!,3,FALSE),
IFERROR(VLOOKUP(H63,Encerrados!#REF!,3,FALSE),"-"))))</f>
        <v>-</v>
      </c>
      <c r="H63" s="28" t="s">
        <v>115</v>
      </c>
      <c r="I63" s="29">
        <v>63000</v>
      </c>
      <c r="J63" s="25" t="s">
        <v>60</v>
      </c>
      <c r="K63" s="25">
        <v>22</v>
      </c>
      <c r="L63" s="12" t="s">
        <v>368</v>
      </c>
      <c r="M63" s="21">
        <f t="shared" si="9"/>
        <v>45792</v>
      </c>
      <c r="N63" s="21">
        <f t="shared" si="10"/>
        <v>45813</v>
      </c>
      <c r="O63" s="20" t="s">
        <v>477</v>
      </c>
      <c r="P63" s="20" t="str">
        <f>IFERROR(VLOOKUP(Q63,Encerrados!#REF!,3,FALSE),
IFERROR(VLOOKUP(Q63,Encerrados!#REF!,3,FALSE),
IFERROR(VLOOKUP(Q63,Encerrados!#REF!,3,FALSE),
IFERROR(VLOOKUP(Q63,Encerrados!#REF!,3,FALSE),"-"))))</f>
        <v>-</v>
      </c>
      <c r="Q63" s="184" t="s">
        <v>208</v>
      </c>
      <c r="R63" s="46">
        <f>I63*0.96</f>
        <v>60480</v>
      </c>
      <c r="S63" s="47">
        <f t="shared" si="4"/>
        <v>46092</v>
      </c>
      <c r="T63" s="253">
        <v>64</v>
      </c>
      <c r="U63" s="59">
        <f>M177-S63</f>
        <v>43</v>
      </c>
      <c r="V63" s="50">
        <f t="shared" si="5"/>
        <v>46135</v>
      </c>
      <c r="W63" t="str">
        <f>VLOOKUP(Q63,Q113:Q241,1,0)</f>
        <v>Planalto - PR</v>
      </c>
      <c r="X63" s="132">
        <f t="shared" si="6"/>
        <v>45813</v>
      </c>
    </row>
    <row r="64" spans="1:24" ht="14.25" customHeight="1">
      <c r="A64" s="25" t="s">
        <v>17</v>
      </c>
      <c r="B64" s="24">
        <v>45643</v>
      </c>
      <c r="C64" s="25">
        <f t="shared" si="8"/>
        <v>2024</v>
      </c>
      <c r="D64" s="30">
        <v>45645</v>
      </c>
      <c r="E64" s="26" t="s">
        <v>476</v>
      </c>
      <c r="F64" s="27">
        <f t="shared" ca="1" si="0"/>
        <v>64</v>
      </c>
      <c r="G64" s="27" t="str">
        <f>IFERROR(VLOOKUP(H64,Encerrados!#REF!,3,FALSE),
IFERROR(VLOOKUP(H64,Encerrados!#REF!,3,FALSE),
IFERROR(VLOOKUP(H64,Encerrados!#REF!,3,FALSE),
IFERROR(VLOOKUP(H64,Encerrados!#REF!,3,FALSE),"-"))))</f>
        <v>-</v>
      </c>
      <c r="H64" s="28" t="s">
        <v>115</v>
      </c>
      <c r="I64" s="29">
        <v>63000</v>
      </c>
      <c r="J64" s="25" t="s">
        <v>60</v>
      </c>
      <c r="K64" s="25">
        <v>29</v>
      </c>
      <c r="L64" s="12" t="s">
        <v>368</v>
      </c>
      <c r="M64" s="21">
        <f t="shared" si="9"/>
        <v>45792</v>
      </c>
      <c r="N64" s="21">
        <f t="shared" si="10"/>
        <v>45813</v>
      </c>
      <c r="O64" s="20" t="s">
        <v>477</v>
      </c>
      <c r="P64" s="20" t="str">
        <f>IFERROR(VLOOKUP(Q64,Encerrados!#REF!,3,FALSE),
IFERROR(VLOOKUP(Q64,Encerrados!#REF!,3,FALSE),
IFERROR(VLOOKUP(Q64,Encerrados!#REF!,3,FALSE),
IFERROR(VLOOKUP(Q64,Encerrados!#REF!,3,FALSE),"-"))))</f>
        <v>-</v>
      </c>
      <c r="Q64" s="184" t="s">
        <v>208</v>
      </c>
      <c r="R64" s="46">
        <v>33500</v>
      </c>
      <c r="S64" s="47">
        <f t="shared" si="4"/>
        <v>46092</v>
      </c>
      <c r="T64" s="253">
        <v>64</v>
      </c>
      <c r="U64" s="59">
        <f>M177-S63</f>
        <v>43</v>
      </c>
      <c r="V64" s="50">
        <f t="shared" si="5"/>
        <v>46135</v>
      </c>
      <c r="W64" t="str">
        <f>VLOOKUP(Q64,Q114:Q242,1,0)</f>
        <v>Planalto - PR</v>
      </c>
      <c r="X64" s="132">
        <f t="shared" si="6"/>
        <v>45813</v>
      </c>
    </row>
    <row r="65" spans="1:24" ht="14.25" customHeight="1">
      <c r="A65" s="25" t="s">
        <v>17</v>
      </c>
      <c r="B65" s="24">
        <v>45643</v>
      </c>
      <c r="C65" s="25">
        <f t="shared" si="8"/>
        <v>2024</v>
      </c>
      <c r="D65" s="30">
        <v>45645</v>
      </c>
      <c r="E65" s="26" t="s">
        <v>476</v>
      </c>
      <c r="F65" s="27">
        <f t="shared" ca="1" si="0"/>
        <v>65</v>
      </c>
      <c r="G65" s="27" t="str">
        <f>IFERROR(VLOOKUP(H65,Encerrados!#REF!,3,FALSE),
IFERROR(VLOOKUP(H65,Encerrados!#REF!,3,FALSE),
IFERROR(VLOOKUP(H65,Encerrados!#REF!,3,FALSE),
IFERROR(VLOOKUP(H65,Encerrados!#REF!,3,FALSE),"-"))))</f>
        <v>-</v>
      </c>
      <c r="H65" s="28" t="s">
        <v>115</v>
      </c>
      <c r="I65" s="29"/>
      <c r="J65" s="25" t="s">
        <v>60</v>
      </c>
      <c r="K65" s="25">
        <v>29</v>
      </c>
      <c r="L65" s="12" t="s">
        <v>368</v>
      </c>
      <c r="M65" s="21">
        <f t="shared" si="9"/>
        <v>45792</v>
      </c>
      <c r="N65" s="21">
        <f t="shared" si="10"/>
        <v>45813</v>
      </c>
      <c r="O65" s="20" t="s">
        <v>478</v>
      </c>
      <c r="P65" s="20" t="str">
        <f>IFERROR(VLOOKUP(Q65,Encerrados!#REF!,3,FALSE),
IFERROR(VLOOKUP(Q65,Encerrados!#REF!,3,FALSE),
IFERROR(VLOOKUP(Q65,Encerrados!#REF!,3,FALSE),
IFERROR(VLOOKUP(Q65,Encerrados!#REF!,3,FALSE),"-"))))</f>
        <v>-</v>
      </c>
      <c r="Q65" s="184" t="s">
        <v>213</v>
      </c>
      <c r="R65" s="46">
        <v>27448</v>
      </c>
      <c r="S65" s="47">
        <f t="shared" si="4"/>
        <v>46099</v>
      </c>
      <c r="T65" s="253">
        <v>65</v>
      </c>
      <c r="U65" s="59">
        <f>M179-S65</f>
        <v>43</v>
      </c>
      <c r="V65" s="50">
        <f t="shared" si="5"/>
        <v>46142</v>
      </c>
      <c r="W65" t="str">
        <f>VLOOKUP(Q65,Q115:Q254,1,0)</f>
        <v>Entre Rios 2 - PR</v>
      </c>
      <c r="X65" s="132">
        <f t="shared" si="6"/>
        <v>45813</v>
      </c>
    </row>
    <row r="66" spans="1:24" ht="14.25" customHeight="1">
      <c r="A66" s="25" t="s">
        <v>17</v>
      </c>
      <c r="B66" s="24">
        <v>45647</v>
      </c>
      <c r="C66" s="25">
        <f t="shared" si="8"/>
        <v>2024</v>
      </c>
      <c r="D66" s="30">
        <v>45645</v>
      </c>
      <c r="E66" s="26" t="s">
        <v>479</v>
      </c>
      <c r="F66" s="27">
        <f t="shared" ref="F66:F128" ca="1" si="11">IF((TODAY()-D66)/7&gt;T66,T66,(TODAY()-D66)/7)</f>
        <v>65</v>
      </c>
      <c r="G66" s="27" t="str">
        <f>IFERROR(VLOOKUP(H66,Encerrados!#REF!,3,FALSE),
IFERROR(VLOOKUP(H66,Encerrados!#REF!,3,FALSE),
IFERROR(VLOOKUP(H66,Encerrados!#REF!,3,FALSE),
IFERROR(VLOOKUP(H66,Encerrados!#REF!,3,FALSE),"-"))))</f>
        <v>-</v>
      </c>
      <c r="H66" s="28" t="s">
        <v>385</v>
      </c>
      <c r="I66" s="29">
        <v>80000</v>
      </c>
      <c r="J66" s="25" t="s">
        <v>60</v>
      </c>
      <c r="K66" s="25">
        <v>22</v>
      </c>
      <c r="L66" s="11" t="s">
        <v>365</v>
      </c>
      <c r="M66" s="21">
        <f t="shared" si="9"/>
        <v>45792</v>
      </c>
      <c r="N66" s="21">
        <f t="shared" si="10"/>
        <v>45813</v>
      </c>
      <c r="O66" s="20" t="s">
        <v>480</v>
      </c>
      <c r="P66" s="20" t="str">
        <f>IFERROR(VLOOKUP(Q66,Encerrados!#REF!,3,FALSE),
IFERROR(VLOOKUP(Q66,Encerrados!#REF!,3,FALSE),
IFERROR(VLOOKUP(Q66,Encerrados!#REF!,3,FALSE),
IFERROR(VLOOKUP(Q66,Encerrados!#REF!,3,FALSE),"-"))))</f>
        <v>-</v>
      </c>
      <c r="Q66" s="184" t="s">
        <v>213</v>
      </c>
      <c r="R66" s="46">
        <v>9008</v>
      </c>
      <c r="S66" s="47">
        <f t="shared" si="4"/>
        <v>46099</v>
      </c>
      <c r="T66" s="253">
        <v>65</v>
      </c>
      <c r="U66" s="59">
        <f>M179-S65</f>
        <v>43</v>
      </c>
      <c r="V66" s="50">
        <f t="shared" si="5"/>
        <v>46142</v>
      </c>
      <c r="W66" t="str">
        <f>VLOOKUP(Q66,Q116:Q255,1,0)</f>
        <v>Entre Rios 2 - PR</v>
      </c>
      <c r="X66" s="132">
        <f t="shared" si="6"/>
        <v>45813</v>
      </c>
    </row>
    <row r="67" spans="1:24" ht="14.25" customHeight="1">
      <c r="A67" s="25" t="s">
        <v>17</v>
      </c>
      <c r="B67" s="24">
        <v>45647</v>
      </c>
      <c r="C67" s="25">
        <f t="shared" si="8"/>
        <v>2024</v>
      </c>
      <c r="D67" s="30">
        <v>45645</v>
      </c>
      <c r="E67" s="26" t="s">
        <v>479</v>
      </c>
      <c r="F67" s="27">
        <f t="shared" ca="1" si="11"/>
        <v>65</v>
      </c>
      <c r="G67" s="27" t="str">
        <f>IFERROR(VLOOKUP(H67,Encerrados!#REF!,3,FALSE),
IFERROR(VLOOKUP(H67,Encerrados!#REF!,3,FALSE),
IFERROR(VLOOKUP(H67,Encerrados!#REF!,3,FALSE),
IFERROR(VLOOKUP(H67,Encerrados!#REF!,3,FALSE),"-"))))</f>
        <v>-</v>
      </c>
      <c r="H67" s="28" t="s">
        <v>385</v>
      </c>
      <c r="I67" s="29"/>
      <c r="J67" s="25" t="s">
        <v>60</v>
      </c>
      <c r="K67" s="25">
        <v>22</v>
      </c>
      <c r="L67" s="11" t="s">
        <v>365</v>
      </c>
      <c r="M67" s="21">
        <f t="shared" si="9"/>
        <v>45792</v>
      </c>
      <c r="N67" s="21">
        <f t="shared" si="10"/>
        <v>45813</v>
      </c>
      <c r="O67" s="20" t="s">
        <v>481</v>
      </c>
      <c r="P67" s="20" t="str">
        <f>IFERROR(VLOOKUP(Q67,Encerrados!#REF!,3,FALSE),
IFERROR(VLOOKUP(Q67,Encerrados!#REF!,3,FALSE),
IFERROR(VLOOKUP(Q67,Encerrados!#REF!,3,FALSE),
IFERROR(VLOOKUP(Q67,Encerrados!#REF!,3,FALSE),"-"))))</f>
        <v>-</v>
      </c>
      <c r="Q67" s="184" t="s">
        <v>482</v>
      </c>
      <c r="R67" s="46">
        <v>35992</v>
      </c>
      <c r="S67" s="47">
        <f t="shared" ref="S67:S131" si="12">D67+(T67*7)-1</f>
        <v>46099</v>
      </c>
      <c r="T67" s="253">
        <v>65</v>
      </c>
      <c r="U67" s="59">
        <f>M186-S67</f>
        <v>43</v>
      </c>
      <c r="V67" s="50">
        <f t="shared" ref="V67:V131" si="13">IFERROR(S67+U67," ")</f>
        <v>46142</v>
      </c>
      <c r="W67" t="str">
        <f>VLOOKUP(Q67,Q117:Q255,1,0)</f>
        <v>Entre Rios 1 - PR</v>
      </c>
      <c r="X67" s="132">
        <f t="shared" si="6"/>
        <v>45813</v>
      </c>
    </row>
    <row r="68" spans="1:24" ht="14.25" customHeight="1">
      <c r="A68" s="25" t="s">
        <v>17</v>
      </c>
      <c r="B68" s="24">
        <v>45650</v>
      </c>
      <c r="C68" s="25">
        <f t="shared" si="8"/>
        <v>2024</v>
      </c>
      <c r="D68" s="30">
        <v>45652</v>
      </c>
      <c r="E68" s="26" t="s">
        <v>483</v>
      </c>
      <c r="F68" s="27">
        <f t="shared" ca="1" si="11"/>
        <v>65</v>
      </c>
      <c r="G68" s="27" t="str">
        <f>IFERROR(VLOOKUP(H68,Encerrados!#REF!,3,FALSE),
IFERROR(VLOOKUP(H68,Encerrados!#REF!,3,FALSE),
IFERROR(VLOOKUP(H68,Encerrados!#REF!,3,FALSE),
IFERROR(VLOOKUP(H68,Encerrados!#REF!,3,FALSE),"-"))))</f>
        <v>-</v>
      </c>
      <c r="H68" s="28" t="s">
        <v>129</v>
      </c>
      <c r="I68" s="29">
        <v>40000</v>
      </c>
      <c r="J68" s="25" t="s">
        <v>60</v>
      </c>
      <c r="K68" s="25">
        <v>29</v>
      </c>
      <c r="L68" s="11" t="s">
        <v>365</v>
      </c>
      <c r="M68" s="21">
        <f t="shared" si="9"/>
        <v>45799</v>
      </c>
      <c r="N68" s="21">
        <f t="shared" si="10"/>
        <v>45820</v>
      </c>
      <c r="O68" s="20" t="s">
        <v>484</v>
      </c>
      <c r="P68" s="20" t="str">
        <f>IFERROR(VLOOKUP(Q68,Encerrados!#REF!,3,FALSE),
IFERROR(VLOOKUP(Q68,Encerrados!#REF!,3,FALSE),
IFERROR(VLOOKUP(Q68,Encerrados!#REF!,3,FALSE),
IFERROR(VLOOKUP(Q68,Encerrados!#REF!,3,FALSE),"-"))))</f>
        <v>-</v>
      </c>
      <c r="Q68" s="184" t="s">
        <v>209</v>
      </c>
      <c r="R68" s="46">
        <v>33124</v>
      </c>
      <c r="S68" s="47">
        <f t="shared" si="12"/>
        <v>46106</v>
      </c>
      <c r="T68" s="253">
        <v>65</v>
      </c>
      <c r="U68" s="59">
        <f>M189-S68</f>
        <v>50</v>
      </c>
      <c r="V68" s="50">
        <f t="shared" si="13"/>
        <v>46156</v>
      </c>
      <c r="W68" t="str">
        <f>VLOOKUP(Q68,Q119:Q243,1,0)</f>
        <v>São Braz 2 - PR</v>
      </c>
      <c r="X68" s="132">
        <f t="shared" si="6"/>
        <v>45820</v>
      </c>
    </row>
    <row r="69" spans="1:24" ht="14.25" customHeight="1">
      <c r="A69" s="25" t="s">
        <v>17</v>
      </c>
      <c r="B69" s="24">
        <v>45657</v>
      </c>
      <c r="C69" s="25">
        <f t="shared" si="8"/>
        <v>2024</v>
      </c>
      <c r="D69" s="30">
        <v>45659</v>
      </c>
      <c r="E69" s="26" t="s">
        <v>485</v>
      </c>
      <c r="F69" s="27">
        <f t="shared" ca="1" si="11"/>
        <v>65</v>
      </c>
      <c r="G69" s="27" t="str">
        <f>IFERROR(VLOOKUP(H69,Encerrados!#REF!,3,FALSE),
IFERROR(VLOOKUP(H69,Encerrados!#REF!,3,FALSE),
IFERROR(VLOOKUP(H69,Encerrados!#REF!,3,FALSE),
IFERROR(VLOOKUP(H69,Encerrados!#REF!,3,FALSE),"-"))))</f>
        <v>-</v>
      </c>
      <c r="H69" s="28" t="s">
        <v>123</v>
      </c>
      <c r="I69" s="29">
        <v>42000</v>
      </c>
      <c r="J69" s="25" t="s">
        <v>60</v>
      </c>
      <c r="K69" s="25">
        <v>22</v>
      </c>
      <c r="L69" s="11" t="s">
        <v>365</v>
      </c>
      <c r="M69" s="21">
        <f t="shared" si="9"/>
        <v>45806</v>
      </c>
      <c r="N69" s="21">
        <f>D69+(24*7)</f>
        <v>45827</v>
      </c>
      <c r="O69" s="20" t="s">
        <v>486</v>
      </c>
      <c r="P69" s="20" t="str">
        <f>IFERROR(VLOOKUP(Q69,Encerrados!#REF!,3,FALSE),
IFERROR(VLOOKUP(Q69,Encerrados!#REF!,3,FALSE),
IFERROR(VLOOKUP(Q69,Encerrados!#REF!,3,FALSE),
IFERROR(VLOOKUP(Q69,Encerrados!#REF!,3,FALSE),"-"))))</f>
        <v>-</v>
      </c>
      <c r="Q69" s="184" t="s">
        <v>219</v>
      </c>
      <c r="R69" s="46">
        <v>40000</v>
      </c>
      <c r="S69" s="47">
        <f t="shared" si="12"/>
        <v>46113</v>
      </c>
      <c r="T69" s="48">
        <v>65</v>
      </c>
      <c r="U69" s="59">
        <f>M190-S69</f>
        <v>43</v>
      </c>
      <c r="V69" s="50">
        <f t="shared" si="13"/>
        <v>46156</v>
      </c>
      <c r="W69" t="str">
        <f>VLOOKUP(Q69,Q120:Q244,1,0)</f>
        <v>Prezotto - SC</v>
      </c>
      <c r="X69" s="132">
        <f t="shared" ref="X69:X132" si="14">N69</f>
        <v>45827</v>
      </c>
    </row>
    <row r="70" spans="1:24" ht="14.25" customHeight="1">
      <c r="A70" s="25" t="s">
        <v>17</v>
      </c>
      <c r="B70" s="24">
        <v>45657</v>
      </c>
      <c r="C70" s="25">
        <f t="shared" si="8"/>
        <v>2024</v>
      </c>
      <c r="D70" s="30">
        <v>45659</v>
      </c>
      <c r="E70" s="26" t="s">
        <v>487</v>
      </c>
      <c r="F70" s="27">
        <f t="shared" ca="1" si="11"/>
        <v>67</v>
      </c>
      <c r="G70" s="27" t="str">
        <f>IFERROR(VLOOKUP(H70,Encerrados!#REF!,3,FALSE),
IFERROR(VLOOKUP(H70,Encerrados!#REF!,3,FALSE),
IFERROR(VLOOKUP(H70,Encerrados!#REF!,3,FALSE),
IFERROR(VLOOKUP(H70,Encerrados!#REF!,3,FALSE),"-"))))</f>
        <v>-</v>
      </c>
      <c r="H70" s="28" t="s">
        <v>157</v>
      </c>
      <c r="I70" s="29">
        <v>40000</v>
      </c>
      <c r="J70" s="25" t="s">
        <v>45</v>
      </c>
      <c r="K70" s="25">
        <v>65</v>
      </c>
      <c r="L70" s="11" t="s">
        <v>381</v>
      </c>
      <c r="M70" s="21">
        <f t="shared" si="9"/>
        <v>45806</v>
      </c>
      <c r="N70" s="21">
        <f t="shared" ref="N70:N134" si="15">D70+24*7</f>
        <v>45827</v>
      </c>
      <c r="O70" s="20" t="s">
        <v>488</v>
      </c>
      <c r="P70" s="20" t="str">
        <f>IFERROR(VLOOKUP(Q70,Encerrados!#REF!,3,FALSE),
IFERROR(VLOOKUP(Q70,Encerrados!#REF!,3,FALSE),
IFERROR(VLOOKUP(Q70,Encerrados!#REF!,3,FALSE),
IFERROR(VLOOKUP(Q70,Encerrados!#REF!,3,FALSE),"-"))))</f>
        <v>-</v>
      </c>
      <c r="Q70" s="184" t="s">
        <v>225</v>
      </c>
      <c r="R70" s="194">
        <v>37000</v>
      </c>
      <c r="S70" s="47">
        <f t="shared" si="12"/>
        <v>46127</v>
      </c>
      <c r="T70" s="48">
        <v>67</v>
      </c>
      <c r="U70" s="59">
        <f>M192-S70</f>
        <v>50</v>
      </c>
      <c r="V70" s="50">
        <f t="shared" si="13"/>
        <v>46177</v>
      </c>
      <c r="W70" t="str">
        <f>VLOOKUP(Q70,Q120:Q245,1,0)</f>
        <v>Linha Nova - PR</v>
      </c>
      <c r="X70" s="132">
        <f t="shared" si="14"/>
        <v>45827</v>
      </c>
    </row>
    <row r="71" spans="1:24" ht="14.25" customHeight="1">
      <c r="A71" s="25" t="s">
        <v>17</v>
      </c>
      <c r="B71" s="24">
        <v>45666</v>
      </c>
      <c r="C71" s="25">
        <f t="shared" si="8"/>
        <v>2025</v>
      </c>
      <c r="D71" s="30">
        <v>45666</v>
      </c>
      <c r="E71" s="164" t="s">
        <v>489</v>
      </c>
      <c r="F71" s="27">
        <f t="shared" ca="1" si="11"/>
        <v>67</v>
      </c>
      <c r="G71" s="27" t="str">
        <f>IFERROR(VLOOKUP(H71,Encerrados!#REF!,3,FALSE),
IFERROR(VLOOKUP(H71,Encerrados!#REF!,3,FALSE),
IFERROR(VLOOKUP(H71,Encerrados!#REF!,3,FALSE),
IFERROR(VLOOKUP(H71,Encerrados!#REF!,3,FALSE),"-"))))</f>
        <v>-</v>
      </c>
      <c r="H71" s="28" t="s">
        <v>139</v>
      </c>
      <c r="I71" s="29">
        <v>60000</v>
      </c>
      <c r="J71" s="25" t="s">
        <v>20</v>
      </c>
      <c r="K71" s="25">
        <v>26</v>
      </c>
      <c r="L71" s="12" t="s">
        <v>368</v>
      </c>
      <c r="M71" s="21">
        <f t="shared" si="9"/>
        <v>45813</v>
      </c>
      <c r="N71" s="21">
        <f t="shared" si="15"/>
        <v>45834</v>
      </c>
      <c r="O71" s="20" t="s">
        <v>490</v>
      </c>
      <c r="P71" s="20" t="str">
        <f>IFERROR(VLOOKUP(Q71,Encerrados!#REF!,3,FALSE),
IFERROR(VLOOKUP(Q71,Encerrados!#REF!,3,FALSE),
IFERROR(VLOOKUP(Q71,Encerrados!#REF!,3,FALSE),
IFERROR(VLOOKUP(Q71,Encerrados!#REF!,3,FALSE),"-"))))</f>
        <v>-</v>
      </c>
      <c r="Q71" s="184" t="s">
        <v>217</v>
      </c>
      <c r="R71" s="46">
        <f>I71*0.96</f>
        <v>57600</v>
      </c>
      <c r="S71" s="47">
        <f t="shared" si="12"/>
        <v>46134</v>
      </c>
      <c r="T71" s="48">
        <v>67</v>
      </c>
      <c r="U71" s="59">
        <f>M194-S71</f>
        <v>50</v>
      </c>
      <c r="V71" s="50">
        <f t="shared" si="13"/>
        <v>46184</v>
      </c>
      <c r="W71" t="str">
        <f>VLOOKUP(Q71,Q121:Q247,1,0)</f>
        <v>Fundo da Grota - PR</v>
      </c>
      <c r="X71" s="132">
        <f t="shared" si="14"/>
        <v>45834</v>
      </c>
    </row>
    <row r="72" spans="1:24" ht="14.25" customHeight="1">
      <c r="A72" s="25" t="s">
        <v>17</v>
      </c>
      <c r="B72" s="24">
        <v>45646</v>
      </c>
      <c r="C72" s="20">
        <f t="shared" si="8"/>
        <v>2024</v>
      </c>
      <c r="D72" s="30">
        <v>45666</v>
      </c>
      <c r="E72" s="164" t="s">
        <v>491</v>
      </c>
      <c r="F72" s="27">
        <f t="shared" ca="1" si="11"/>
        <v>66</v>
      </c>
      <c r="G72" s="27" t="str">
        <f>IFERROR(VLOOKUP(H72,Encerrados!#REF!,3,FALSE),
IFERROR(VLOOKUP(H72,Encerrados!#REF!,3,FALSE),
IFERROR(VLOOKUP(H72,Encerrados!#REF!,3,FALSE),
IFERROR(VLOOKUP(H72,Encerrados!#REF!,3,FALSE),"-"))))</f>
        <v>-</v>
      </c>
      <c r="H72" s="28" t="s">
        <v>402</v>
      </c>
      <c r="I72" s="29">
        <v>42000</v>
      </c>
      <c r="J72" s="25" t="s">
        <v>45</v>
      </c>
      <c r="K72" s="25">
        <v>72</v>
      </c>
      <c r="L72" s="11" t="s">
        <v>381</v>
      </c>
      <c r="M72" s="21">
        <f t="shared" si="9"/>
        <v>45813</v>
      </c>
      <c r="N72" s="21">
        <f t="shared" si="15"/>
        <v>45834</v>
      </c>
      <c r="O72" s="20" t="s">
        <v>488</v>
      </c>
      <c r="P72" s="20" t="str">
        <f>IFERROR(VLOOKUP(Q72,Encerrados!#REF!,3,FALSE),
IFERROR(VLOOKUP(Q72,Encerrados!#REF!,3,FALSE),
IFERROR(VLOOKUP(Q72,Encerrados!#REF!,3,FALSE),
IFERROR(VLOOKUP(Q72,Encerrados!#REF!,3,FALSE),"-"))))</f>
        <v>-</v>
      </c>
      <c r="Q72" s="184" t="s">
        <v>225</v>
      </c>
      <c r="R72" s="46">
        <v>40000</v>
      </c>
      <c r="S72" s="47">
        <f t="shared" si="12"/>
        <v>46127</v>
      </c>
      <c r="T72" s="48">
        <v>66</v>
      </c>
      <c r="U72" s="59">
        <f>M192-S70</f>
        <v>50</v>
      </c>
      <c r="V72" s="50">
        <f t="shared" si="13"/>
        <v>46177</v>
      </c>
      <c r="W72" t="str">
        <f>VLOOKUP(Q72,Q122:Q248,1,0)</f>
        <v>Linha Nova - PR</v>
      </c>
      <c r="X72" s="132">
        <f t="shared" si="14"/>
        <v>45834</v>
      </c>
    </row>
    <row r="73" spans="1:24" ht="14.25" customHeight="1">
      <c r="A73" s="25" t="s">
        <v>17</v>
      </c>
      <c r="B73" s="24">
        <v>45646</v>
      </c>
      <c r="C73" s="20">
        <f t="shared" si="8"/>
        <v>2024</v>
      </c>
      <c r="D73" s="30">
        <v>45666</v>
      </c>
      <c r="E73" s="164" t="s">
        <v>491</v>
      </c>
      <c r="F73" s="27">
        <f t="shared" ca="1" si="11"/>
        <v>68</v>
      </c>
      <c r="G73" s="27" t="str">
        <f>IFERROR(VLOOKUP(H73,Encerrados!#REF!,3,FALSE),
IFERROR(VLOOKUP(H73,Encerrados!#REF!,3,FALSE),
IFERROR(VLOOKUP(H73,Encerrados!#REF!,3,FALSE),
IFERROR(VLOOKUP(H73,Encerrados!#REF!,3,FALSE),"-"))))</f>
        <v>-</v>
      </c>
      <c r="H73" s="28" t="s">
        <v>402</v>
      </c>
      <c r="I73" s="29">
        <v>42000</v>
      </c>
      <c r="J73" s="25" t="s">
        <v>45</v>
      </c>
      <c r="K73" s="25">
        <v>72</v>
      </c>
      <c r="L73" s="11" t="s">
        <v>365</v>
      </c>
      <c r="M73" s="21">
        <f t="shared" si="9"/>
        <v>45813</v>
      </c>
      <c r="N73" s="21">
        <f t="shared" si="15"/>
        <v>45834</v>
      </c>
      <c r="O73" s="20" t="s">
        <v>492</v>
      </c>
      <c r="P73" s="20" t="str">
        <f>IFERROR(VLOOKUP(Q73,Encerrados!#REF!,3,FALSE),
IFERROR(VLOOKUP(Q73,Encerrados!#REF!,3,FALSE),
IFERROR(VLOOKUP(Q73,Encerrados!#REF!,3,FALSE),
IFERROR(VLOOKUP(Q73,Encerrados!#REF!,3,FALSE),"-"))))</f>
        <v>-</v>
      </c>
      <c r="Q73" s="184" t="s">
        <v>226</v>
      </c>
      <c r="R73" s="46">
        <v>40000</v>
      </c>
      <c r="S73" s="47">
        <f t="shared" si="12"/>
        <v>46141</v>
      </c>
      <c r="T73" s="48">
        <v>68</v>
      </c>
      <c r="U73" s="252"/>
      <c r="V73" s="50">
        <f t="shared" si="13"/>
        <v>46141</v>
      </c>
      <c r="W73" t="e">
        <f>VLOOKUP(Q73,Q123:Q249,1,0)</f>
        <v>#N/A</v>
      </c>
      <c r="X73" s="132">
        <f t="shared" si="14"/>
        <v>45834</v>
      </c>
    </row>
    <row r="74" spans="1:24" ht="14.25" customHeight="1">
      <c r="A74" s="25" t="s">
        <v>17</v>
      </c>
      <c r="B74" s="24">
        <v>45682</v>
      </c>
      <c r="C74" s="20">
        <f t="shared" si="8"/>
        <v>2025</v>
      </c>
      <c r="D74" s="30">
        <v>45680</v>
      </c>
      <c r="E74" s="164" t="s">
        <v>493</v>
      </c>
      <c r="F74" s="27">
        <f t="shared" ca="1" si="11"/>
        <v>66</v>
      </c>
      <c r="G74" s="27" t="str">
        <f>IFERROR(VLOOKUP(H74,Encerrados!#REF!,3,FALSE),
IFERROR(VLOOKUP(H74,Encerrados!#REF!,3,FALSE),
IFERROR(VLOOKUP(H74,Encerrados!#REF!,3,FALSE),
IFERROR(VLOOKUP(H74,Encerrados!#REF!,3,FALSE),"-"))))</f>
        <v>-</v>
      </c>
      <c r="H74" s="28" t="s">
        <v>144</v>
      </c>
      <c r="I74" s="29">
        <v>60000</v>
      </c>
      <c r="J74" s="25" t="s">
        <v>20</v>
      </c>
      <c r="K74" s="25">
        <v>19</v>
      </c>
      <c r="L74" s="38" t="s">
        <v>376</v>
      </c>
      <c r="M74" s="21">
        <f>D74+(22*7)-7</f>
        <v>45827</v>
      </c>
      <c r="N74" s="21">
        <f t="shared" si="15"/>
        <v>45848</v>
      </c>
      <c r="O74" s="20" t="s">
        <v>492</v>
      </c>
      <c r="P74" s="20" t="str">
        <f>IFERROR(VLOOKUP(Q74,Encerrados!#REF!,3,FALSE),
IFERROR(VLOOKUP(Q74,Encerrados!#REF!,3,FALSE),
IFERROR(VLOOKUP(Q74,Encerrados!#REF!,3,FALSE),
IFERROR(VLOOKUP(Q74,Encerrados!#REF!,3,FALSE),"-"))))</f>
        <v>-</v>
      </c>
      <c r="Q74" s="184" t="s">
        <v>226</v>
      </c>
      <c r="R74" s="46">
        <v>20000</v>
      </c>
      <c r="S74" s="47">
        <f t="shared" si="12"/>
        <v>46141</v>
      </c>
      <c r="T74" s="48">
        <v>66</v>
      </c>
      <c r="U74" s="252"/>
      <c r="V74" s="50">
        <f t="shared" si="13"/>
        <v>46141</v>
      </c>
      <c r="W74" t="e">
        <f>VLOOKUP(Q74,Q128:Q249,1,0)</f>
        <v>#N/A</v>
      </c>
      <c r="X74" s="132">
        <f t="shared" si="14"/>
        <v>45848</v>
      </c>
    </row>
    <row r="75" spans="1:24" ht="14.25" customHeight="1">
      <c r="A75" s="25" t="s">
        <v>17</v>
      </c>
      <c r="B75" s="24">
        <v>45682</v>
      </c>
      <c r="C75" s="20">
        <f t="shared" si="8"/>
        <v>2025</v>
      </c>
      <c r="D75" s="30">
        <v>45680</v>
      </c>
      <c r="E75" s="164" t="s">
        <v>493</v>
      </c>
      <c r="F75" s="27">
        <f ca="1">IF((TODAY()-D75)/7&gt;T75,T75,(TODAY()-D75)/7)</f>
        <v>68</v>
      </c>
      <c r="G75" s="27" t="str">
        <f>IFERROR(VLOOKUP(H75,Encerrados!#REF!,3,FALSE),
IFERROR(VLOOKUP(H75,Encerrados!#REF!,3,FALSE),
IFERROR(VLOOKUP(H75,Encerrados!#REF!,3,FALSE),
IFERROR(VLOOKUP(H75,Encerrados!#REF!,3,FALSE),"-"))))</f>
        <v>-</v>
      </c>
      <c r="H75" s="28" t="s">
        <v>144</v>
      </c>
      <c r="I75" s="29"/>
      <c r="J75" s="25" t="s">
        <v>20</v>
      </c>
      <c r="K75" s="25">
        <v>19</v>
      </c>
      <c r="L75" s="38" t="s">
        <v>376</v>
      </c>
      <c r="M75" s="21">
        <f t="shared" si="9"/>
        <v>45827</v>
      </c>
      <c r="N75" s="21">
        <f t="shared" si="15"/>
        <v>45848</v>
      </c>
      <c r="O75" s="20" t="s">
        <v>494</v>
      </c>
      <c r="P75" s="20" t="str">
        <f>IFERROR(VLOOKUP(Q75,Encerrados!#REF!,3,FALSE),
IFERROR(VLOOKUP(Q75,Encerrados!#REF!,3,FALSE),
IFERROR(VLOOKUP(Q75,Encerrados!#REF!,3,FALSE),
IFERROR(VLOOKUP(Q75,Encerrados!#REF!,3,FALSE),"-"))))</f>
        <v>-</v>
      </c>
      <c r="Q75" s="184" t="s">
        <v>227</v>
      </c>
      <c r="R75" s="46">
        <v>40000</v>
      </c>
      <c r="S75" s="47">
        <f t="shared" si="12"/>
        <v>46155</v>
      </c>
      <c r="T75" s="48">
        <v>68</v>
      </c>
      <c r="U75" s="252"/>
      <c r="V75" s="50">
        <f t="shared" si="13"/>
        <v>46155</v>
      </c>
      <c r="W75" t="e">
        <f>VLOOKUP(Q75,Q127:Q250,1,0)</f>
        <v>#N/A</v>
      </c>
      <c r="X75" s="132">
        <f t="shared" si="14"/>
        <v>45848</v>
      </c>
    </row>
    <row r="76" spans="1:24" ht="14.25" customHeight="1">
      <c r="A76" s="25" t="s">
        <v>17</v>
      </c>
      <c r="B76" s="24">
        <v>45688</v>
      </c>
      <c r="C76" s="20">
        <f t="shared" si="8"/>
        <v>2025</v>
      </c>
      <c r="D76" s="30">
        <v>45687</v>
      </c>
      <c r="E76" s="164" t="s">
        <v>495</v>
      </c>
      <c r="F76" s="27">
        <f ca="1">IF((TODAY()-D76)/7&gt;T76,T76,(TODAY()-D76)/7)</f>
        <v>66</v>
      </c>
      <c r="G76" s="27" t="str">
        <f>IFERROR(VLOOKUP(H76,Encerrados!#REF!,3,FALSE),
IFERROR(VLOOKUP(H76,Encerrados!#REF!,3,FALSE),
IFERROR(VLOOKUP(H76,Encerrados!#REF!,3,FALSE),
IFERROR(VLOOKUP(H76,Encerrados!#REF!,3,FALSE),"-"))))</f>
        <v>-</v>
      </c>
      <c r="H76" s="28" t="s">
        <v>417</v>
      </c>
      <c r="I76" s="29">
        <v>60000</v>
      </c>
      <c r="J76" s="25" t="s">
        <v>48</v>
      </c>
      <c r="K76" s="25">
        <v>35</v>
      </c>
      <c r="L76" s="12" t="s">
        <v>368</v>
      </c>
      <c r="M76" s="21">
        <f t="shared" si="9"/>
        <v>45834</v>
      </c>
      <c r="N76" s="21">
        <f t="shared" si="15"/>
        <v>45855</v>
      </c>
      <c r="O76" s="20" t="s">
        <v>496</v>
      </c>
      <c r="P76" s="20" t="str">
        <f>IFERROR(VLOOKUP(Q76,Encerrados!#REF!,3,FALSE),
IFERROR(VLOOKUP(Q76,Encerrados!#REF!,3,FALSE),
IFERROR(VLOOKUP(Q76,Encerrados!#REF!,3,FALSE),
IFERROR(VLOOKUP(Q76,Encerrados!#REF!,3,FALSE),"-"))))</f>
        <v>-</v>
      </c>
      <c r="Q76" s="184" t="s">
        <v>497</v>
      </c>
      <c r="R76" s="46">
        <v>57000</v>
      </c>
      <c r="S76" s="47">
        <f t="shared" si="12"/>
        <v>46148</v>
      </c>
      <c r="T76" s="48">
        <v>66</v>
      </c>
      <c r="U76" s="252"/>
      <c r="V76" s="50">
        <f t="shared" si="13"/>
        <v>46148</v>
      </c>
      <c r="W76" t="e">
        <f>VLOOKUP(Q76,Q127:Q251,1,0)</f>
        <v>#N/A</v>
      </c>
      <c r="X76" s="132">
        <f t="shared" si="14"/>
        <v>45855</v>
      </c>
    </row>
    <row r="77" spans="1:24" ht="14.25" customHeight="1">
      <c r="A77" s="25" t="s">
        <v>17</v>
      </c>
      <c r="B77" s="24">
        <v>45686</v>
      </c>
      <c r="C77" s="20">
        <f t="shared" si="8"/>
        <v>2025</v>
      </c>
      <c r="D77" s="30">
        <v>45687</v>
      </c>
      <c r="E77" s="164" t="s">
        <v>498</v>
      </c>
      <c r="F77" s="27">
        <f ca="1">IF((TODAY()-D77)/7&gt;T77,T77,(TODAY()-D77)/7)</f>
        <v>69</v>
      </c>
      <c r="G77" s="27" t="str">
        <f>IFERROR(VLOOKUP(H77,Encerrados!#REF!,3,FALSE),
IFERROR(VLOOKUP(H77,Encerrados!#REF!,3,FALSE),
IFERROR(VLOOKUP(H77,Encerrados!#REF!,3,FALSE),
IFERROR(VLOOKUP(H77,Encerrados!#REF!,3,FALSE),"-"))))</f>
        <v>-</v>
      </c>
      <c r="H77" s="28" t="s">
        <v>148</v>
      </c>
      <c r="I77" s="29">
        <v>60000</v>
      </c>
      <c r="J77" s="25" t="s">
        <v>60</v>
      </c>
      <c r="K77" s="25">
        <v>22</v>
      </c>
      <c r="L77" s="11" t="s">
        <v>365</v>
      </c>
      <c r="M77" s="21">
        <f>D77+(23*7)-7</f>
        <v>45841</v>
      </c>
      <c r="N77" s="21">
        <f t="shared" si="15"/>
        <v>45855</v>
      </c>
      <c r="O77" s="20" t="s">
        <v>499</v>
      </c>
      <c r="P77" s="20" t="str">
        <f>IFERROR(VLOOKUP(Q77,Encerrados!#REF!,3,FALSE),
IFERROR(VLOOKUP(Q77,Encerrados!#REF!,3,FALSE),
IFERROR(VLOOKUP(Q77,Encerrados!#REF!,3,FALSE),
IFERROR(VLOOKUP(Q77,Encerrados!#REF!,3,FALSE),"-"))))</f>
        <v>-</v>
      </c>
      <c r="Q77" s="184" t="s">
        <v>228</v>
      </c>
      <c r="R77" s="46">
        <v>38000</v>
      </c>
      <c r="S77" s="47">
        <f t="shared" si="12"/>
        <v>46169</v>
      </c>
      <c r="T77" s="48">
        <v>69</v>
      </c>
      <c r="U77" s="252"/>
      <c r="V77" s="50">
        <f t="shared" si="13"/>
        <v>46169</v>
      </c>
      <c r="W77" t="e">
        <f>VLOOKUP(Q77,Q128:Q257,1,0)</f>
        <v>#N/A</v>
      </c>
      <c r="X77" s="132">
        <f t="shared" si="14"/>
        <v>45855</v>
      </c>
    </row>
    <row r="78" spans="1:24" ht="14.25" customHeight="1">
      <c r="A78" s="25" t="s">
        <v>17</v>
      </c>
      <c r="B78" s="24">
        <v>45693</v>
      </c>
      <c r="C78" s="20">
        <f t="shared" si="8"/>
        <v>2025</v>
      </c>
      <c r="D78" s="30">
        <v>45694</v>
      </c>
      <c r="E78" s="164" t="s">
        <v>500</v>
      </c>
      <c r="F78" s="27">
        <f t="shared" ca="1" si="11"/>
        <v>67</v>
      </c>
      <c r="G78" s="27" t="str">
        <f>IFERROR(VLOOKUP(H78,Encerrados!#REF!,3,FALSE),
IFERROR(VLOOKUP(H78,Encerrados!#REF!,3,FALSE),
IFERROR(VLOOKUP(H78,Encerrados!#REF!,3,FALSE),
IFERROR(VLOOKUP(H78,Encerrados!#REF!,3,FALSE),"-"))))</f>
        <v>-</v>
      </c>
      <c r="H78" s="28" t="s">
        <v>151</v>
      </c>
      <c r="I78" s="29">
        <v>42000</v>
      </c>
      <c r="J78" s="25" t="s">
        <v>60</v>
      </c>
      <c r="K78" s="25">
        <v>21</v>
      </c>
      <c r="L78" s="11" t="s">
        <v>365</v>
      </c>
      <c r="M78" s="21">
        <f t="shared" ref="M78:M88" si="16">D78+(22*7)-7</f>
        <v>45841</v>
      </c>
      <c r="N78" s="21">
        <f t="shared" si="15"/>
        <v>45862</v>
      </c>
      <c r="O78" s="20" t="s">
        <v>501</v>
      </c>
      <c r="P78" s="20" t="str">
        <f>IFERROR(VLOOKUP(Q78,Encerrados!#REF!,3,FALSE),
IFERROR(VLOOKUP(Q78,Encerrados!#REF!,3,FALSE),
IFERROR(VLOOKUP(Q78,Encerrados!#REF!,3,FALSE),
IFERROR(VLOOKUP(Q78,Encerrados!#REF!,3,FALSE),"-"))))</f>
        <v>-</v>
      </c>
      <c r="Q78" s="184" t="s">
        <v>231</v>
      </c>
      <c r="R78" s="46">
        <v>40000</v>
      </c>
      <c r="S78" s="47">
        <f t="shared" si="12"/>
        <v>46162</v>
      </c>
      <c r="T78" s="48">
        <v>67</v>
      </c>
      <c r="U78" s="252"/>
      <c r="V78" s="50">
        <f t="shared" si="13"/>
        <v>46162</v>
      </c>
      <c r="W78" t="e">
        <f>VLOOKUP(Q78,Q126:Q257,1,0)</f>
        <v>#N/A</v>
      </c>
      <c r="X78" s="132">
        <f t="shared" si="14"/>
        <v>45862</v>
      </c>
    </row>
    <row r="79" spans="1:24" ht="14.25" customHeight="1">
      <c r="A79" s="25" t="s">
        <v>17</v>
      </c>
      <c r="B79" s="24">
        <v>45702</v>
      </c>
      <c r="C79" s="20">
        <f t="shared" si="8"/>
        <v>2025</v>
      </c>
      <c r="D79" s="30">
        <v>45701</v>
      </c>
      <c r="E79" s="164" t="s">
        <v>18</v>
      </c>
      <c r="F79" s="27">
        <f t="shared" ca="1" si="11"/>
        <v>65</v>
      </c>
      <c r="G79" s="27" t="str">
        <f>IFERROR(VLOOKUP(H79,Encerrados!#REF!,3,FALSE),
IFERROR(VLOOKUP(H79,Encerrados!#REF!,3,FALSE),
IFERROR(VLOOKUP(H79,Encerrados!#REF!,3,FALSE),
IFERROR(VLOOKUP(H79,Encerrados!#REF!,3,FALSE),"-"))))</f>
        <v>-</v>
      </c>
      <c r="H79" s="28" t="s">
        <v>19</v>
      </c>
      <c r="I79" s="29">
        <v>84000</v>
      </c>
      <c r="J79" s="25" t="s">
        <v>20</v>
      </c>
      <c r="K79" s="25">
        <v>43</v>
      </c>
      <c r="L79" s="11" t="s">
        <v>365</v>
      </c>
      <c r="M79" s="21">
        <f t="shared" si="16"/>
        <v>45848</v>
      </c>
      <c r="N79" s="21">
        <f t="shared" si="15"/>
        <v>45869</v>
      </c>
      <c r="O79" s="20" t="s">
        <v>501</v>
      </c>
      <c r="P79" s="20" t="str">
        <f>IFERROR(VLOOKUP(Q79,Encerrados!#REF!,3,FALSE),
IFERROR(VLOOKUP(Q79,Encerrados!#REF!,3,FALSE),
IFERROR(VLOOKUP(Q79,Encerrados!#REF!,3,FALSE),
IFERROR(VLOOKUP(Q79,Encerrados!#REF!,3,FALSE),"-"))))</f>
        <v>-</v>
      </c>
      <c r="Q79" s="219" t="s">
        <v>231</v>
      </c>
      <c r="R79" s="46">
        <v>36000</v>
      </c>
      <c r="S79" s="47">
        <f t="shared" si="12"/>
        <v>46155</v>
      </c>
      <c r="T79" s="48">
        <v>65</v>
      </c>
      <c r="U79" s="252"/>
      <c r="V79" s="50">
        <f t="shared" si="13"/>
        <v>46155</v>
      </c>
      <c r="W79" t="e">
        <f>VLOOKUP(Q79,Q124:Q267,1,0)</f>
        <v>#N/A</v>
      </c>
      <c r="X79" s="132">
        <f t="shared" si="14"/>
        <v>45869</v>
      </c>
    </row>
    <row r="80" spans="1:24" ht="14.25" customHeight="1">
      <c r="A80" s="25" t="s">
        <v>17</v>
      </c>
      <c r="B80" s="24">
        <v>45702</v>
      </c>
      <c r="C80" s="20">
        <f t="shared" si="8"/>
        <v>2025</v>
      </c>
      <c r="D80" s="30">
        <v>45701</v>
      </c>
      <c r="E80" s="164" t="s">
        <v>18</v>
      </c>
      <c r="F80" s="27">
        <f t="shared" ca="1" si="11"/>
        <v>68</v>
      </c>
      <c r="G80" s="27" t="str">
        <f>IFERROR(VLOOKUP(H80,Encerrados!#REF!,3,FALSE),
IFERROR(VLOOKUP(H80,Encerrados!#REF!,3,FALSE),
IFERROR(VLOOKUP(H80,Encerrados!#REF!,3,FALSE),
IFERROR(VLOOKUP(H80,Encerrados!#REF!,3,FALSE),"-"))))</f>
        <v>-</v>
      </c>
      <c r="H80" s="28" t="s">
        <v>19</v>
      </c>
      <c r="I80" s="29">
        <v>0</v>
      </c>
      <c r="J80" s="25" t="s">
        <v>20</v>
      </c>
      <c r="K80" s="25">
        <v>43</v>
      </c>
      <c r="L80" s="11" t="s">
        <v>365</v>
      </c>
      <c r="M80" s="21">
        <f t="shared" si="16"/>
        <v>45848</v>
      </c>
      <c r="N80" s="21">
        <f t="shared" si="15"/>
        <v>45869</v>
      </c>
      <c r="O80" s="20" t="s">
        <v>502</v>
      </c>
      <c r="P80" s="20" t="str">
        <f>IFERROR(VLOOKUP(Q80,Encerrados!#REF!,3,FALSE),
IFERROR(VLOOKUP(Q80,Encerrados!#REF!,3,FALSE),
IFERROR(VLOOKUP(Q80,Encerrados!#REF!,3,FALSE),
IFERROR(VLOOKUP(Q80,Encerrados!#REF!,3,FALSE),"-"))))</f>
        <v>-</v>
      </c>
      <c r="Q80" s="184" t="s">
        <v>233</v>
      </c>
      <c r="R80" s="46">
        <v>33000</v>
      </c>
      <c r="S80" s="47">
        <f t="shared" si="12"/>
        <v>46176</v>
      </c>
      <c r="T80" s="48">
        <v>68</v>
      </c>
      <c r="U80" s="252"/>
      <c r="V80" s="50">
        <f t="shared" si="13"/>
        <v>46176</v>
      </c>
      <c r="W80" t="e">
        <f>VLOOKUP(Q80,Q129:Q253,1,0)</f>
        <v>#N/A</v>
      </c>
      <c r="X80" s="132">
        <f t="shared" si="14"/>
        <v>45869</v>
      </c>
    </row>
    <row r="81" spans="1:24" ht="14.25" customHeight="1">
      <c r="A81" s="25" t="s">
        <v>17</v>
      </c>
      <c r="B81" s="24">
        <v>45688</v>
      </c>
      <c r="C81" s="20">
        <f t="shared" si="8"/>
        <v>2025</v>
      </c>
      <c r="D81" s="30">
        <v>45701</v>
      </c>
      <c r="E81" s="164" t="s">
        <v>18</v>
      </c>
      <c r="F81" s="27">
        <f ca="1">IF((TODAY()-D81)/7&gt;T81,T81,(TODAY()-D81)/7)</f>
        <v>68</v>
      </c>
      <c r="G81" s="27" t="str">
        <f>IFERROR(VLOOKUP(H81,Encerrados!#REF!,3,FALSE),
IFERROR(VLOOKUP(H81,Encerrados!#REF!,3,FALSE),
IFERROR(VLOOKUP(H81,Encerrados!#REF!,3,FALSE),
IFERROR(VLOOKUP(H81,Encerrados!#REF!,3,FALSE),"-"))))</f>
        <v>-</v>
      </c>
      <c r="H81" s="28" t="s">
        <v>19</v>
      </c>
      <c r="I81" s="29">
        <v>0</v>
      </c>
      <c r="J81" s="25" t="s">
        <v>20</v>
      </c>
      <c r="K81" s="25">
        <v>43</v>
      </c>
      <c r="L81" s="11" t="s">
        <v>365</v>
      </c>
      <c r="M81" s="240">
        <f t="shared" si="16"/>
        <v>45848</v>
      </c>
      <c r="N81" s="240">
        <f t="shared" si="15"/>
        <v>45869</v>
      </c>
      <c r="O81" s="241"/>
      <c r="P81" s="241" t="str">
        <f>IFERROR(VLOOKUP(Q81,Encerrados!#REF!,3,FALSE),
IFERROR(VLOOKUP(Q81,Encerrados!#REF!,3,FALSE),
IFERROR(VLOOKUP(Q81,Encerrados!#REF!,3,FALSE),
IFERROR(VLOOKUP(Q81,Encerrados!#REF!,3,FALSE),"-"))))</f>
        <v>-</v>
      </c>
      <c r="Q81" s="216" t="s">
        <v>22</v>
      </c>
      <c r="R81" s="254" t="s">
        <v>23</v>
      </c>
      <c r="S81" s="243">
        <f t="shared" si="12"/>
        <v>46176</v>
      </c>
      <c r="T81" s="182">
        <v>68</v>
      </c>
      <c r="U81" s="244"/>
      <c r="V81" s="245">
        <f t="shared" si="13"/>
        <v>46176</v>
      </c>
      <c r="W81" t="e">
        <f>VLOOKUP(Q81,Q132:Q258,1,0)</f>
        <v>#N/A</v>
      </c>
      <c r="X81" s="132">
        <f t="shared" si="14"/>
        <v>45869</v>
      </c>
    </row>
    <row r="82" spans="1:24" ht="14.25" customHeight="1">
      <c r="A82" s="25" t="s">
        <v>17</v>
      </c>
      <c r="B82" s="24">
        <v>45709</v>
      </c>
      <c r="C82" s="20">
        <f t="shared" si="8"/>
        <v>2025</v>
      </c>
      <c r="D82" s="30">
        <v>45708</v>
      </c>
      <c r="E82" s="164" t="s">
        <v>24</v>
      </c>
      <c r="F82" s="27">
        <f t="shared" ca="1" si="11"/>
        <v>68</v>
      </c>
      <c r="G82" s="27" t="str">
        <f>IFERROR(VLOOKUP(H82,Encerrados!#REF!,3,FALSE),
IFERROR(VLOOKUP(H82,Encerrados!#REF!,3,FALSE),
IFERROR(VLOOKUP(H82,Encerrados!#REF!,3,FALSE),
IFERROR(VLOOKUP(H82,Encerrados!#REF!,3,FALSE),"-"))))</f>
        <v>-</v>
      </c>
      <c r="H82" s="28" t="s">
        <v>429</v>
      </c>
      <c r="I82" s="29">
        <v>60000</v>
      </c>
      <c r="J82" s="25" t="s">
        <v>20</v>
      </c>
      <c r="K82" s="25">
        <v>28</v>
      </c>
      <c r="L82" s="12" t="s">
        <v>368</v>
      </c>
      <c r="M82" s="21">
        <f t="shared" si="16"/>
        <v>45855</v>
      </c>
      <c r="N82" s="21">
        <f t="shared" si="15"/>
        <v>45876</v>
      </c>
      <c r="O82" s="20" t="s">
        <v>27</v>
      </c>
      <c r="P82" s="20" t="str">
        <f>IFERROR(VLOOKUP(Q82,Encerrados!#REF!,3,FALSE),
IFERROR(VLOOKUP(Q82,Encerrados!#REF!,3,FALSE),
IFERROR(VLOOKUP(Q82,Encerrados!#REF!,3,FALSE),
IFERROR(VLOOKUP(Q82,Encerrados!#REF!,3,FALSE),"-"))))</f>
        <v>-</v>
      </c>
      <c r="Q82" s="184" t="s">
        <v>28</v>
      </c>
      <c r="R82" s="46">
        <v>57000</v>
      </c>
      <c r="S82" s="47">
        <f t="shared" si="12"/>
        <v>46183</v>
      </c>
      <c r="T82" s="48">
        <v>68</v>
      </c>
      <c r="U82" s="252"/>
      <c r="V82" s="50">
        <f t="shared" si="13"/>
        <v>46183</v>
      </c>
      <c r="W82" t="e">
        <f>VLOOKUP(Q82,Q133:Q256,1,0)</f>
        <v>#N/A</v>
      </c>
      <c r="X82" s="132">
        <f t="shared" si="14"/>
        <v>45876</v>
      </c>
    </row>
    <row r="83" spans="1:24" ht="14.25" customHeight="1">
      <c r="A83" s="25" t="s">
        <v>17</v>
      </c>
      <c r="B83" s="24">
        <v>45714</v>
      </c>
      <c r="C83" s="20">
        <f t="shared" si="8"/>
        <v>2025</v>
      </c>
      <c r="D83" s="30">
        <v>45715</v>
      </c>
      <c r="E83" s="164" t="s">
        <v>29</v>
      </c>
      <c r="F83" s="27">
        <f t="shared" ca="1" si="11"/>
        <v>66</v>
      </c>
      <c r="G83" s="27" t="str">
        <f>IFERROR(VLOOKUP(H83,Encerrados!#REF!,3,FALSE),
IFERROR(VLOOKUP(H83,Encerrados!#REF!,3,FALSE),
IFERROR(VLOOKUP(H83,Encerrados!#REF!,3,FALSE),
IFERROR(VLOOKUP(H83,Encerrados!#REF!,3,FALSE),"-"))))</f>
        <v>-</v>
      </c>
      <c r="H83" s="28" t="s">
        <v>303</v>
      </c>
      <c r="I83" s="29">
        <v>40000</v>
      </c>
      <c r="J83" s="25" t="s">
        <v>20</v>
      </c>
      <c r="K83" s="25">
        <v>33</v>
      </c>
      <c r="L83" s="13" t="s">
        <v>472</v>
      </c>
      <c r="M83" s="240">
        <f t="shared" si="16"/>
        <v>45862</v>
      </c>
      <c r="N83" s="240">
        <f t="shared" si="15"/>
        <v>45883</v>
      </c>
      <c r="O83" s="241"/>
      <c r="P83" s="241" t="str">
        <f>IFERROR(VLOOKUP(Q83,Encerrados!#REF!,3,FALSE),
IFERROR(VLOOKUP(Q83,Encerrados!#REF!,3,FALSE),
IFERROR(VLOOKUP(Q83,Encerrados!#REF!,3,FALSE),
IFERROR(VLOOKUP(Q83,Encerrados!#REF!,3,FALSE),"-"))))</f>
        <v>-</v>
      </c>
      <c r="Q83" s="216" t="s">
        <v>22</v>
      </c>
      <c r="R83" s="254" t="s">
        <v>32</v>
      </c>
      <c r="S83" s="243">
        <f t="shared" si="12"/>
        <v>46176</v>
      </c>
      <c r="T83" s="182">
        <v>66</v>
      </c>
      <c r="U83" s="244"/>
      <c r="V83" s="245">
        <f t="shared" si="13"/>
        <v>46176</v>
      </c>
      <c r="W83" t="e">
        <f>VLOOKUP(Q83,Q134:Q260,1,0)</f>
        <v>#N/A</v>
      </c>
      <c r="X83" s="132">
        <f t="shared" si="14"/>
        <v>45883</v>
      </c>
    </row>
    <row r="84" spans="1:24" ht="14.25" customHeight="1">
      <c r="A84" s="25" t="s">
        <v>17</v>
      </c>
      <c r="B84" s="24">
        <v>45714</v>
      </c>
      <c r="C84" s="20">
        <f t="shared" si="8"/>
        <v>2025</v>
      </c>
      <c r="D84" s="30">
        <v>45715</v>
      </c>
      <c r="E84" s="164" t="s">
        <v>29</v>
      </c>
      <c r="F84" s="27">
        <f ca="1">IF((TODAY()-D84)/7&gt;T84,T84,(TODAY()-D84)/7)</f>
        <v>69</v>
      </c>
      <c r="G84" s="27" t="str">
        <f>IFERROR(VLOOKUP(H84,Encerrados!#REF!,3,FALSE),
IFERROR(VLOOKUP(H84,Encerrados!#REF!,3,FALSE),
IFERROR(VLOOKUP(H84,Encerrados!#REF!,3,FALSE),
IFERROR(VLOOKUP(H84,Encerrados!#REF!,3,FALSE),"-"))))</f>
        <v>-</v>
      </c>
      <c r="H84" s="28" t="s">
        <v>303</v>
      </c>
      <c r="I84" s="29"/>
      <c r="J84" s="25" t="s">
        <v>20</v>
      </c>
      <c r="K84" s="25">
        <v>33</v>
      </c>
      <c r="L84" s="13" t="s">
        <v>472</v>
      </c>
      <c r="M84" s="21">
        <f t="shared" si="16"/>
        <v>45862</v>
      </c>
      <c r="N84" s="21">
        <f t="shared" si="15"/>
        <v>45883</v>
      </c>
      <c r="O84" s="20" t="s">
        <v>33</v>
      </c>
      <c r="P84" s="20" t="str">
        <f>IFERROR(VLOOKUP(Q84,Encerrados!#REF!,3,FALSE),
IFERROR(VLOOKUP(Q84,Encerrados!#REF!,3,FALSE),
IFERROR(VLOOKUP(Q84,Encerrados!#REF!,3,FALSE),
IFERROR(VLOOKUP(Q84,Encerrados!#REF!,3,FALSE),"-"))))</f>
        <v>-</v>
      </c>
      <c r="Q84" s="184" t="s">
        <v>34</v>
      </c>
      <c r="R84" s="46">
        <v>24000</v>
      </c>
      <c r="S84" s="47">
        <f t="shared" si="12"/>
        <v>46197</v>
      </c>
      <c r="T84" s="48">
        <v>69</v>
      </c>
      <c r="U84" s="252"/>
      <c r="V84" s="50">
        <f t="shared" si="13"/>
        <v>46197</v>
      </c>
      <c r="W84" t="e">
        <f>VLOOKUP(Q84,Q135:Q259,1,0)</f>
        <v>#N/A</v>
      </c>
      <c r="X84" s="132">
        <f t="shared" si="14"/>
        <v>45883</v>
      </c>
    </row>
    <row r="85" spans="1:24" ht="14.25" customHeight="1">
      <c r="A85" s="25" t="s">
        <v>17</v>
      </c>
      <c r="B85" s="24">
        <v>45720</v>
      </c>
      <c r="C85" s="20">
        <f t="shared" si="8"/>
        <v>2025</v>
      </c>
      <c r="D85" s="30">
        <v>45722</v>
      </c>
      <c r="E85" s="171" t="s">
        <v>35</v>
      </c>
      <c r="F85" s="27">
        <f t="shared" ca="1" si="11"/>
        <v>66</v>
      </c>
      <c r="G85" s="27" t="str">
        <f>IFERROR(VLOOKUP(H85,Encerrados!#REF!,3,FALSE),
IFERROR(VLOOKUP(H85,Encerrados!#REF!,3,FALSE),
IFERROR(VLOOKUP(H85,Encerrados!#REF!,3,FALSE),
IFERROR(VLOOKUP(H85,Encerrados!#REF!,3,FALSE),"-"))))</f>
        <v>-</v>
      </c>
      <c r="H85" s="28" t="s">
        <v>36</v>
      </c>
      <c r="I85" s="29">
        <v>54000</v>
      </c>
      <c r="J85" s="25" t="s">
        <v>20</v>
      </c>
      <c r="K85" s="25">
        <v>29</v>
      </c>
      <c r="L85" s="38" t="s">
        <v>376</v>
      </c>
      <c r="M85" s="21">
        <f t="shared" si="16"/>
        <v>45869</v>
      </c>
      <c r="N85" s="21">
        <f t="shared" si="15"/>
        <v>45890</v>
      </c>
      <c r="O85" s="20" t="s">
        <v>38</v>
      </c>
      <c r="P85" s="20" t="str">
        <f>IFERROR(VLOOKUP(Q85,Encerrados!#REF!,3,FALSE),
IFERROR(VLOOKUP(Q85,Encerrados!#REF!,3,FALSE),
IFERROR(VLOOKUP(Q85,Encerrados!#REF!,3,FALSE),
IFERROR(VLOOKUP(Q85,Encerrados!#REF!,3,FALSE),"-"))))</f>
        <v>-</v>
      </c>
      <c r="Q85" s="184" t="s">
        <v>39</v>
      </c>
      <c r="R85" s="46">
        <v>23000</v>
      </c>
      <c r="S85" s="47">
        <f t="shared" si="12"/>
        <v>46183</v>
      </c>
      <c r="T85" s="48">
        <v>66</v>
      </c>
      <c r="U85" s="252"/>
      <c r="V85" s="50">
        <f t="shared" si="13"/>
        <v>46183</v>
      </c>
      <c r="W85" t="e">
        <f>VLOOKUP(Q85,Q136:Q261,1,0)</f>
        <v>#N/A</v>
      </c>
      <c r="X85" s="132">
        <f t="shared" si="14"/>
        <v>45890</v>
      </c>
    </row>
    <row r="86" spans="1:24" ht="14.25" customHeight="1">
      <c r="A86" s="25" t="s">
        <v>17</v>
      </c>
      <c r="B86" s="24">
        <v>45720</v>
      </c>
      <c r="C86" s="20">
        <f t="shared" si="8"/>
        <v>2025</v>
      </c>
      <c r="D86" s="30">
        <v>45722</v>
      </c>
      <c r="E86" s="171" t="s">
        <v>35</v>
      </c>
      <c r="F86" s="27">
        <f ca="1">IF((TODAY()-D86)/7&gt;T86,T86,(TODAY()-D86)/7)</f>
        <v>68</v>
      </c>
      <c r="G86" s="27" t="str">
        <f>IFERROR(VLOOKUP(H86,Encerrados!#REF!,3,FALSE),
IFERROR(VLOOKUP(H86,Encerrados!#REF!,3,FALSE),
IFERROR(VLOOKUP(H86,Encerrados!#REF!,3,FALSE),
IFERROR(VLOOKUP(H86,Encerrados!#REF!,3,FALSE),"-"))))</f>
        <v>-</v>
      </c>
      <c r="H86" s="28" t="s">
        <v>36</v>
      </c>
      <c r="I86" s="29"/>
      <c r="J86" s="25" t="s">
        <v>20</v>
      </c>
      <c r="K86" s="25">
        <v>28</v>
      </c>
      <c r="L86" s="38" t="s">
        <v>376</v>
      </c>
      <c r="M86" s="21">
        <f t="shared" si="16"/>
        <v>45869</v>
      </c>
      <c r="N86" s="21">
        <f t="shared" si="15"/>
        <v>45890</v>
      </c>
      <c r="O86" s="20" t="s">
        <v>41</v>
      </c>
      <c r="P86" s="20" t="str">
        <f>IFERROR(VLOOKUP(Q86,Encerrados!#REF!,3,FALSE),
IFERROR(VLOOKUP(Q86,Encerrados!#REF!,3,FALSE),
IFERROR(VLOOKUP(Q86,Encerrados!#REF!,3,FALSE),
IFERROR(VLOOKUP(Q86,Encerrados!#REF!,3,FALSE),"-"))))</f>
        <v>-</v>
      </c>
      <c r="Q86" s="184" t="s">
        <v>42</v>
      </c>
      <c r="R86" s="46">
        <v>28000</v>
      </c>
      <c r="S86" s="47">
        <f t="shared" si="12"/>
        <v>46197</v>
      </c>
      <c r="T86" s="48">
        <v>68</v>
      </c>
      <c r="U86" s="252"/>
      <c r="V86" s="50">
        <f t="shared" si="13"/>
        <v>46197</v>
      </c>
      <c r="W86" t="e">
        <f>VLOOKUP(Q86,Q137:Q262,1,0)</f>
        <v>#N/A</v>
      </c>
      <c r="X86" s="132">
        <f t="shared" si="14"/>
        <v>45890</v>
      </c>
    </row>
    <row r="87" spans="1:24" ht="14.25" customHeight="1">
      <c r="A87" s="25" t="s">
        <v>17</v>
      </c>
      <c r="B87" s="24">
        <v>45724</v>
      </c>
      <c r="C87" s="20">
        <f t="shared" si="8"/>
        <v>2025</v>
      </c>
      <c r="D87" s="30">
        <v>45729</v>
      </c>
      <c r="E87" s="164" t="s">
        <v>43</v>
      </c>
      <c r="F87" s="27">
        <f t="shared" ca="1" si="11"/>
        <v>67</v>
      </c>
      <c r="G87" s="27" t="str">
        <f>IFERROR(VLOOKUP(H87,Encerrados!#REF!,3,FALSE),
IFERROR(VLOOKUP(H87,Encerrados!#REF!,3,FALSE),
IFERROR(VLOOKUP(H87,Encerrados!#REF!,3,FALSE),
IFERROR(VLOOKUP(H87,Encerrados!#REF!,3,FALSE),"-"))))</f>
        <v>-</v>
      </c>
      <c r="H87" s="28" t="s">
        <v>44</v>
      </c>
      <c r="I87" s="29">
        <v>38000</v>
      </c>
      <c r="J87" s="25" t="s">
        <v>45</v>
      </c>
      <c r="K87" s="25">
        <v>55</v>
      </c>
      <c r="L87" s="12" t="s">
        <v>368</v>
      </c>
      <c r="M87" s="21">
        <f t="shared" si="16"/>
        <v>45876</v>
      </c>
      <c r="N87" s="21">
        <f t="shared" si="15"/>
        <v>45897</v>
      </c>
      <c r="O87" s="20" t="s">
        <v>33</v>
      </c>
      <c r="P87" s="20" t="str">
        <f>IFERROR(VLOOKUP(Q87,Encerrados!#REF!,3,FALSE),
IFERROR(VLOOKUP(Q87,Encerrados!#REF!,3,FALSE),
IFERROR(VLOOKUP(Q87,Encerrados!#REF!,3,FALSE),
IFERROR(VLOOKUP(Q87,Encerrados!#REF!,3,FALSE),"-"))))</f>
        <v>-</v>
      </c>
      <c r="Q87" s="184" t="s">
        <v>34</v>
      </c>
      <c r="R87" s="46">
        <v>36000</v>
      </c>
      <c r="S87" s="47">
        <f t="shared" si="12"/>
        <v>46197</v>
      </c>
      <c r="T87" s="48">
        <v>67</v>
      </c>
      <c r="U87" s="252"/>
      <c r="V87" s="50">
        <f t="shared" si="13"/>
        <v>46197</v>
      </c>
      <c r="W87" t="e">
        <f>VLOOKUP(Q87,Q139:Q263,1,0)</f>
        <v>#N/A</v>
      </c>
      <c r="X87" s="132">
        <f t="shared" si="14"/>
        <v>45897</v>
      </c>
    </row>
    <row r="88" spans="1:24" ht="14.25" customHeight="1">
      <c r="A88" s="25" t="s">
        <v>17</v>
      </c>
      <c r="B88" s="24">
        <v>45730</v>
      </c>
      <c r="C88" s="20">
        <f t="shared" si="8"/>
        <v>2025</v>
      </c>
      <c r="D88" s="30">
        <v>45729</v>
      </c>
      <c r="E88" s="164" t="s">
        <v>46</v>
      </c>
      <c r="F88" s="27">
        <f t="shared" ca="1" si="11"/>
        <v>66</v>
      </c>
      <c r="G88" s="27" t="str">
        <f>IFERROR(VLOOKUP(H88,Encerrados!#REF!,3,FALSE),
IFERROR(VLOOKUP(H88,Encerrados!#REF!,3,FALSE),
IFERROR(VLOOKUP(H88,Encerrados!#REF!,3,FALSE),
IFERROR(VLOOKUP(H88,Encerrados!#REF!,3,FALSE),"-"))))</f>
        <v>-</v>
      </c>
      <c r="H88" s="28" t="s">
        <v>47</v>
      </c>
      <c r="I88" s="29">
        <v>60000</v>
      </c>
      <c r="J88" s="25" t="s">
        <v>48</v>
      </c>
      <c r="K88" s="25">
        <v>28</v>
      </c>
      <c r="L88" s="11" t="s">
        <v>365</v>
      </c>
      <c r="M88" s="21">
        <f t="shared" si="16"/>
        <v>45876</v>
      </c>
      <c r="N88" s="21">
        <f t="shared" si="15"/>
        <v>45897</v>
      </c>
      <c r="O88" s="20" t="s">
        <v>49</v>
      </c>
      <c r="P88" s="20" t="str">
        <f>IFERROR(VLOOKUP(Q88,Encerrados!#REF!,3,FALSE),
IFERROR(VLOOKUP(Q88,Encerrados!#REF!,3,FALSE),
IFERROR(VLOOKUP(Q88,Encerrados!#REF!,3,FALSE),
IFERROR(VLOOKUP(Q88,Encerrados!#REF!,3,FALSE),"-"))))</f>
        <v>-</v>
      </c>
      <c r="Q88" s="184" t="s">
        <v>50</v>
      </c>
      <c r="R88" s="46">
        <v>57000</v>
      </c>
      <c r="S88" s="47">
        <f t="shared" si="12"/>
        <v>46190</v>
      </c>
      <c r="T88" s="48">
        <v>66</v>
      </c>
      <c r="U88" s="252"/>
      <c r="V88" s="50">
        <f t="shared" si="13"/>
        <v>46190</v>
      </c>
      <c r="W88" t="e">
        <f>VLOOKUP(Q88,Q140:Q268,1,0)</f>
        <v>#N/A</v>
      </c>
      <c r="X88" s="132">
        <f t="shared" si="14"/>
        <v>45897</v>
      </c>
    </row>
    <row r="89" spans="1:24" ht="16.2">
      <c r="A89" s="146" t="s">
        <v>17</v>
      </c>
      <c r="B89" s="147">
        <v>45744</v>
      </c>
      <c r="C89" s="146">
        <f t="shared" si="8"/>
        <v>2025</v>
      </c>
      <c r="D89" s="148">
        <v>45743</v>
      </c>
      <c r="E89" s="149" t="s">
        <v>51</v>
      </c>
      <c r="F89" s="150">
        <f t="shared" ca="1" si="11"/>
        <v>66</v>
      </c>
      <c r="G89" s="150" t="str">
        <f>IFERROR(VLOOKUP(H89,Encerrados!#REF!,3,FALSE),
IFERROR(VLOOKUP(H89,Encerrados!#REF!,3,FALSE),
IFERROR(VLOOKUP(H89,Encerrados!#REF!,3,FALSE),
IFERROR(VLOOKUP(H89,Encerrados!#REF!,3,FALSE),"-"))))</f>
        <v>-</v>
      </c>
      <c r="H89" s="151" t="s">
        <v>52</v>
      </c>
      <c r="I89" s="152">
        <v>15000</v>
      </c>
      <c r="J89" s="146" t="s">
        <v>20</v>
      </c>
      <c r="K89" s="153">
        <v>15</v>
      </c>
      <c r="L89" s="11" t="s">
        <v>365</v>
      </c>
      <c r="M89" s="21">
        <f>D89+(22*7)-7</f>
        <v>45890</v>
      </c>
      <c r="N89" s="21">
        <f t="shared" si="15"/>
        <v>45911</v>
      </c>
      <c r="O89" s="20" t="s">
        <v>53</v>
      </c>
      <c r="P89" s="20" t="str">
        <f>IFERROR(VLOOKUP(Q89,Encerrados!#REF!,3,FALSE),
IFERROR(VLOOKUP(Q89,Encerrados!#REF!,3,FALSE),
IFERROR(VLOOKUP(Q89,Encerrados!#REF!,3,FALSE),
IFERROR(VLOOKUP(Q89,Encerrados!#REF!,3,FALSE),"-"))))</f>
        <v>-</v>
      </c>
      <c r="Q89" s="184" t="s">
        <v>54</v>
      </c>
      <c r="R89" s="46">
        <v>13950</v>
      </c>
      <c r="S89" s="47">
        <f t="shared" si="12"/>
        <v>46204</v>
      </c>
      <c r="T89" s="48">
        <v>66</v>
      </c>
      <c r="U89" s="252"/>
      <c r="V89" s="266">
        <f t="shared" si="13"/>
        <v>46204</v>
      </c>
      <c r="W89" t="e">
        <f>VLOOKUP(Q89,Q141:Q268,1,0)</f>
        <v>#N/A</v>
      </c>
      <c r="X89" s="132">
        <f t="shared" si="14"/>
        <v>45911</v>
      </c>
    </row>
    <row r="90" spans="1:24" ht="14.25" customHeight="1">
      <c r="A90" s="25" t="s">
        <v>17</v>
      </c>
      <c r="B90" s="24">
        <v>45744</v>
      </c>
      <c r="C90" s="20">
        <f>YEAR(B90)</f>
        <v>2025</v>
      </c>
      <c r="D90" s="30">
        <v>45743</v>
      </c>
      <c r="E90" s="26" t="s">
        <v>55</v>
      </c>
      <c r="F90" s="27">
        <f ca="1">IF((TODAY()-D90)/7&gt;T90,T90,(TODAY()-D90)/7)</f>
        <v>68</v>
      </c>
      <c r="G90" s="27" t="str">
        <f>IFERROR(VLOOKUP(H90,Encerrados!#REF!,3,FALSE),
IFERROR(VLOOKUP(H90,Encerrados!#REF!,3,FALSE),
IFERROR(VLOOKUP(H90,Encerrados!#REF!,3,FALSE),
IFERROR(VLOOKUP(H90,Encerrados!#REF!,3,FALSE),"-"))))</f>
        <v>-</v>
      </c>
      <c r="H90" s="28" t="s">
        <v>52</v>
      </c>
      <c r="I90" s="29">
        <v>30000</v>
      </c>
      <c r="J90" s="25" t="s">
        <v>20</v>
      </c>
      <c r="K90" s="25">
        <v>15</v>
      </c>
      <c r="L90" s="11" t="s">
        <v>365</v>
      </c>
      <c r="M90" s="21">
        <f>D90+(22*7)-7</f>
        <v>45890</v>
      </c>
      <c r="N90" s="21">
        <f>D90+24*7</f>
        <v>45911</v>
      </c>
      <c r="O90" s="20" t="s">
        <v>56</v>
      </c>
      <c r="P90" s="20" t="str">
        <f>IFERROR(VLOOKUP(Q90,Encerrados!#REF!,3,FALSE),
IFERROR(VLOOKUP(Q90,Encerrados!#REF!,3,FALSE),
IFERROR(VLOOKUP(Q90,Encerrados!#REF!,3,FALSE),
IFERROR(VLOOKUP(Q90,Encerrados!#REF!,3,FALSE),"-"))))</f>
        <v>-</v>
      </c>
      <c r="Q90" s="184" t="s">
        <v>57</v>
      </c>
      <c r="R90" s="46">
        <f>I90*0.96</f>
        <v>28800</v>
      </c>
      <c r="S90" s="47">
        <f>D90+(T90*7)-1</f>
        <v>46218</v>
      </c>
      <c r="T90" s="48">
        <v>68</v>
      </c>
      <c r="U90" s="252"/>
      <c r="V90" s="50">
        <f>IFERROR(S90+U90," ")</f>
        <v>46218</v>
      </c>
      <c r="W90" t="e">
        <f>VLOOKUP(Q90,Q141:Q268,1,0)</f>
        <v>#N/A</v>
      </c>
      <c r="X90" s="132">
        <f t="shared" si="14"/>
        <v>45911</v>
      </c>
    </row>
    <row r="91" spans="1:24" ht="16.2">
      <c r="A91" s="25" t="s">
        <v>17</v>
      </c>
      <c r="B91" s="24">
        <v>45750</v>
      </c>
      <c r="C91" s="20">
        <f t="shared" si="8"/>
        <v>2025</v>
      </c>
      <c r="D91" s="30">
        <v>45750</v>
      </c>
      <c r="E91" s="26" t="s">
        <v>58</v>
      </c>
      <c r="F91" s="27">
        <f t="shared" ca="1" si="11"/>
        <v>67</v>
      </c>
      <c r="G91" s="27" t="str">
        <f>IFERROR(VLOOKUP(H91,Encerrados!#REF!,3,FALSE),
IFERROR(VLOOKUP(H91,Encerrados!#REF!,3,FALSE),
IFERROR(VLOOKUP(H91,Encerrados!#REF!,3,FALSE),
IFERROR(VLOOKUP(H91,Encerrados!#REF!,3,FALSE),"-"))))</f>
        <v>-</v>
      </c>
      <c r="H91" s="28" t="s">
        <v>59</v>
      </c>
      <c r="I91" s="29">
        <v>60000</v>
      </c>
      <c r="J91" s="25" t="s">
        <v>60</v>
      </c>
      <c r="K91" s="25">
        <v>27</v>
      </c>
      <c r="L91" s="11" t="s">
        <v>365</v>
      </c>
      <c r="M91" s="21">
        <f>D91+(22*7)-7</f>
        <v>45897</v>
      </c>
      <c r="N91" s="21">
        <f t="shared" si="15"/>
        <v>45918</v>
      </c>
      <c r="O91" s="20" t="s">
        <v>56</v>
      </c>
      <c r="P91" s="20" t="str">
        <f>IFERROR(VLOOKUP(Q91,Encerrados!#REF!,3,FALSE),
IFERROR(VLOOKUP(Q91,Encerrados!#REF!,3,FALSE),
IFERROR(VLOOKUP(Q91,Encerrados!#REF!,3,FALSE),
IFERROR(VLOOKUP(Q91,Encerrados!#REF!,3,FALSE),"-"))))</f>
        <v>-</v>
      </c>
      <c r="Q91" s="184" t="s">
        <v>57</v>
      </c>
      <c r="R91" s="46">
        <v>29984</v>
      </c>
      <c r="S91" s="47">
        <f t="shared" si="12"/>
        <v>46218</v>
      </c>
      <c r="T91" s="48">
        <v>67</v>
      </c>
      <c r="U91" s="252"/>
      <c r="V91" s="50">
        <f t="shared" si="13"/>
        <v>46218</v>
      </c>
      <c r="W91" t="e">
        <f>VLOOKUP(Q91,Q142:Q275,1,0)</f>
        <v>#N/A</v>
      </c>
      <c r="X91" s="132">
        <f t="shared" si="14"/>
        <v>45918</v>
      </c>
    </row>
    <row r="92" spans="1:24" ht="16.2">
      <c r="A92" s="25" t="s">
        <v>17</v>
      </c>
      <c r="B92" s="24">
        <v>45750</v>
      </c>
      <c r="C92" s="20">
        <f t="shared" si="8"/>
        <v>2025</v>
      </c>
      <c r="D92" s="30">
        <v>45750</v>
      </c>
      <c r="E92" s="26" t="s">
        <v>58</v>
      </c>
      <c r="F92" s="27">
        <f ca="1">IF((TODAY()-D92)/7&gt;T92,T92,(TODAY()-D92)/7)</f>
        <v>66</v>
      </c>
      <c r="G92" s="27" t="str">
        <f>IFERROR(VLOOKUP(H92,Encerrados!#REF!,3,FALSE),
IFERROR(VLOOKUP(H92,Encerrados!#REF!,3,FALSE),
IFERROR(VLOOKUP(H92,Encerrados!#REF!,3,FALSE),
IFERROR(VLOOKUP(H92,Encerrados!#REF!,3,FALSE),"-"))))</f>
        <v>-</v>
      </c>
      <c r="H92" s="28" t="s">
        <v>59</v>
      </c>
      <c r="I92" s="29"/>
      <c r="J92" s="25" t="s">
        <v>60</v>
      </c>
      <c r="K92" s="25">
        <v>27</v>
      </c>
      <c r="L92" s="11" t="s">
        <v>365</v>
      </c>
      <c r="M92" s="21">
        <f>D92+(22*7)-7</f>
        <v>45897</v>
      </c>
      <c r="N92" s="21">
        <f t="shared" si="15"/>
        <v>45918</v>
      </c>
      <c r="O92" s="20" t="s">
        <v>53</v>
      </c>
      <c r="P92" s="20" t="str">
        <f>IFERROR(VLOOKUP(Q92,Encerrados!#REF!,3,FALSE),
IFERROR(VLOOKUP(Q92,Encerrados!#REF!,3,FALSE),
IFERROR(VLOOKUP(Q92,Encerrados!#REF!,3,FALSE),
IFERROR(VLOOKUP(Q92,Encerrados!#REF!,3,FALSE),"-"))))</f>
        <v>-</v>
      </c>
      <c r="Q92" s="184" t="s">
        <v>54</v>
      </c>
      <c r="R92" s="46">
        <v>10566</v>
      </c>
      <c r="S92" s="47">
        <f t="shared" si="12"/>
        <v>46211</v>
      </c>
      <c r="T92" s="48">
        <v>66</v>
      </c>
      <c r="U92" s="252"/>
      <c r="V92" s="50">
        <f t="shared" si="13"/>
        <v>46211</v>
      </c>
      <c r="W92" t="e">
        <f>VLOOKUP(Q92,Q143:Q275,1,0)</f>
        <v>#N/A</v>
      </c>
      <c r="X92" s="132">
        <f t="shared" si="14"/>
        <v>45918</v>
      </c>
    </row>
    <row r="93" spans="1:24" ht="16.2">
      <c r="A93" s="25" t="s">
        <v>17</v>
      </c>
      <c r="B93" s="24">
        <v>45750</v>
      </c>
      <c r="C93" s="20">
        <f t="shared" si="8"/>
        <v>2025</v>
      </c>
      <c r="D93" s="30">
        <v>45750</v>
      </c>
      <c r="E93" s="26" t="s">
        <v>58</v>
      </c>
      <c r="F93" s="27">
        <f ca="1">IF((TODAY()-D93)/7&gt;T93,T93,(TODAY()-D93)/7)</f>
        <v>66</v>
      </c>
      <c r="G93" s="27" t="str">
        <f>IFERROR(VLOOKUP(H93,Encerrados!#REF!,3,FALSE),
IFERROR(VLOOKUP(H93,Encerrados!#REF!,3,FALSE),
IFERROR(VLOOKUP(H93,Encerrados!#REF!,3,FALSE),
IFERROR(VLOOKUP(H93,Encerrados!#REF!,3,FALSE),"-"))))</f>
        <v>-</v>
      </c>
      <c r="H93" s="28" t="s">
        <v>59</v>
      </c>
      <c r="I93" s="29"/>
      <c r="J93" s="25" t="s">
        <v>60</v>
      </c>
      <c r="K93" s="25">
        <v>27</v>
      </c>
      <c r="L93" s="11" t="s">
        <v>365</v>
      </c>
      <c r="M93" s="21">
        <f t="shared" ref="M93:M98" si="17">D93+(22*7)-7</f>
        <v>45897</v>
      </c>
      <c r="N93" s="21">
        <f t="shared" si="15"/>
        <v>45918</v>
      </c>
      <c r="O93" s="20" t="s">
        <v>61</v>
      </c>
      <c r="P93" s="20" t="str">
        <f>IFERROR(VLOOKUP(Q93,Encerrados!#REF!,3,FALSE),
IFERROR(VLOOKUP(Q93,Encerrados!#REF!,3,FALSE),
IFERROR(VLOOKUP(Q93,Encerrados!#REF!,3,FALSE),
IFERROR(VLOOKUP(Q93,Encerrados!#REF!,3,FALSE),"-"))))</f>
        <v>-</v>
      </c>
      <c r="Q93" s="184" t="s">
        <v>62</v>
      </c>
      <c r="R93" s="46">
        <v>4246</v>
      </c>
      <c r="S93" s="47">
        <f t="shared" si="12"/>
        <v>46211</v>
      </c>
      <c r="T93" s="48">
        <v>66</v>
      </c>
      <c r="U93" s="252"/>
      <c r="V93" s="50">
        <f t="shared" si="13"/>
        <v>46211</v>
      </c>
      <c r="W93" t="e">
        <f>VLOOKUP(Q93,Q146:Q269,1,0)</f>
        <v>#N/A</v>
      </c>
      <c r="X93" s="132">
        <f t="shared" si="14"/>
        <v>45918</v>
      </c>
    </row>
    <row r="94" spans="1:24" ht="16.2">
      <c r="A94" s="25" t="s">
        <v>17</v>
      </c>
      <c r="B94" s="24">
        <v>45750</v>
      </c>
      <c r="C94" s="20">
        <f t="shared" si="8"/>
        <v>2025</v>
      </c>
      <c r="D94" s="30">
        <v>45750</v>
      </c>
      <c r="E94" s="26" t="s">
        <v>58</v>
      </c>
      <c r="F94" s="27">
        <f ca="1">IF((TODAY()-D94)/7&gt;T94,T94,(TODAY()-D94)/7)</f>
        <v>64</v>
      </c>
      <c r="G94" s="27" t="str">
        <f>IFERROR(VLOOKUP(H94,Encerrados!#REF!,3,FALSE),
IFERROR(VLOOKUP(H94,Encerrados!#REF!,3,FALSE),
IFERROR(VLOOKUP(H94,Encerrados!#REF!,3,FALSE),
IFERROR(VLOOKUP(H94,Encerrados!#REF!,3,FALSE),"-"))))</f>
        <v>-</v>
      </c>
      <c r="H94" s="28" t="s">
        <v>59</v>
      </c>
      <c r="I94" s="29"/>
      <c r="J94" s="25" t="s">
        <v>60</v>
      </c>
      <c r="K94" s="25">
        <v>27</v>
      </c>
      <c r="L94" s="11" t="s">
        <v>365</v>
      </c>
      <c r="M94" s="21">
        <f t="shared" si="17"/>
        <v>45897</v>
      </c>
      <c r="N94" s="21">
        <f t="shared" si="15"/>
        <v>45918</v>
      </c>
      <c r="O94" s="20" t="s">
        <v>63</v>
      </c>
      <c r="P94" s="20" t="str">
        <f>IFERROR(VLOOKUP(Q94,Encerrados!#REF!,3,FALSE),
IFERROR(VLOOKUP(Q94,Encerrados!#REF!,3,FALSE),
IFERROR(VLOOKUP(Q94,Encerrados!#REF!,3,FALSE),
IFERROR(VLOOKUP(Q94,Encerrados!#REF!,3,FALSE),"-"))))</f>
        <v>-</v>
      </c>
      <c r="Q94" s="184" t="s">
        <v>64</v>
      </c>
      <c r="R94" s="46">
        <v>6648</v>
      </c>
      <c r="S94" s="47">
        <f t="shared" si="12"/>
        <v>46197</v>
      </c>
      <c r="T94" s="48">
        <v>64</v>
      </c>
      <c r="U94" s="252"/>
      <c r="V94" s="50">
        <f t="shared" si="13"/>
        <v>46197</v>
      </c>
      <c r="W94" t="e">
        <f>VLOOKUP(Q94,Q146:Q274,1,0)</f>
        <v>#N/A</v>
      </c>
      <c r="X94" s="132">
        <f t="shared" si="14"/>
        <v>45918</v>
      </c>
    </row>
    <row r="95" spans="1:24" ht="16.2">
      <c r="A95" s="25" t="s">
        <v>17</v>
      </c>
      <c r="B95" s="24">
        <v>45750</v>
      </c>
      <c r="C95" s="20">
        <f t="shared" si="8"/>
        <v>2025</v>
      </c>
      <c r="D95" s="30">
        <v>45750</v>
      </c>
      <c r="E95" s="26" t="s">
        <v>58</v>
      </c>
      <c r="F95" s="27">
        <f ca="1">IF((TODAY()-D95)/7&gt;T95,T95,(TODAY()-D95)/7)</f>
        <v>66</v>
      </c>
      <c r="G95" s="27" t="str">
        <f>IFERROR(VLOOKUP(H95,Encerrados!#REF!,3,FALSE),
IFERROR(VLOOKUP(H95,Encerrados!#REF!,3,FALSE),
IFERROR(VLOOKUP(H95,Encerrados!#REF!,3,FALSE),
IFERROR(VLOOKUP(H95,Encerrados!#REF!,3,FALSE),"-"))))</f>
        <v>-</v>
      </c>
      <c r="H95" s="28" t="s">
        <v>59</v>
      </c>
      <c r="I95" s="29"/>
      <c r="J95" s="25" t="s">
        <v>60</v>
      </c>
      <c r="K95" s="25">
        <v>27</v>
      </c>
      <c r="L95" s="11" t="s">
        <v>365</v>
      </c>
      <c r="M95" s="21">
        <f t="shared" si="17"/>
        <v>45897</v>
      </c>
      <c r="N95" s="21">
        <f t="shared" si="15"/>
        <v>45918</v>
      </c>
      <c r="O95" s="241"/>
      <c r="P95" s="241" t="str">
        <f>IFERROR(VLOOKUP(Q95,Encerrados!#REF!,3,FALSE),
IFERROR(VLOOKUP(Q95,Encerrados!#REF!,3,FALSE),
IFERROR(VLOOKUP(Q95,Encerrados!#REF!,3,FALSE),
IFERROR(VLOOKUP(Q95,Encerrados!#REF!,3,FALSE),"-"))))</f>
        <v>-</v>
      </c>
      <c r="Q95" s="184" t="s">
        <v>503</v>
      </c>
      <c r="R95" s="46">
        <v>5992</v>
      </c>
      <c r="S95" s="47">
        <f t="shared" si="12"/>
        <v>46211</v>
      </c>
      <c r="T95" s="48">
        <v>66</v>
      </c>
      <c r="U95" s="244"/>
      <c r="V95" s="245">
        <f t="shared" si="13"/>
        <v>46211</v>
      </c>
      <c r="W95" t="e">
        <f>VLOOKUP(Q95,Q147:Q271,1,0)</f>
        <v>#N/A</v>
      </c>
      <c r="X95" s="132">
        <f t="shared" si="14"/>
        <v>45918</v>
      </c>
    </row>
    <row r="96" spans="1:24" ht="16.2">
      <c r="A96" s="146" t="s">
        <v>17</v>
      </c>
      <c r="B96" s="147">
        <v>45750</v>
      </c>
      <c r="C96" s="146">
        <f t="shared" si="8"/>
        <v>2025</v>
      </c>
      <c r="D96" s="148">
        <v>45750</v>
      </c>
      <c r="E96" s="149" t="s">
        <v>66</v>
      </c>
      <c r="F96" s="150">
        <f t="shared" ca="1" si="11"/>
        <v>66</v>
      </c>
      <c r="G96" s="150" t="str">
        <f>IFERROR(VLOOKUP(H96,Encerrados!#REF!,3,FALSE),
IFERROR(VLOOKUP(H96,Encerrados!#REF!,3,FALSE),
IFERROR(VLOOKUP(H96,Encerrados!#REF!,3,FALSE),
IFERROR(VLOOKUP(H96,Encerrados!#REF!,3,FALSE),"-"))))</f>
        <v>-</v>
      </c>
      <c r="H96" s="151" t="s">
        <v>59</v>
      </c>
      <c r="I96" s="152">
        <v>45000</v>
      </c>
      <c r="J96" s="146" t="s">
        <v>60</v>
      </c>
      <c r="K96" s="153">
        <v>27</v>
      </c>
      <c r="L96" s="11" t="s">
        <v>365</v>
      </c>
      <c r="M96" s="21">
        <f t="shared" si="17"/>
        <v>45897</v>
      </c>
      <c r="N96" s="21">
        <f t="shared" si="15"/>
        <v>45918</v>
      </c>
      <c r="O96" s="20" t="s">
        <v>61</v>
      </c>
      <c r="P96" s="20" t="str">
        <f>IFERROR(VLOOKUP(Q96,Encerrados!#REF!,3,FALSE),
IFERROR(VLOOKUP(Q96,Encerrados!#REF!,3,FALSE),
IFERROR(VLOOKUP(Q96,Encerrados!#REF!,3,FALSE),
IFERROR(VLOOKUP(Q96,Encerrados!#REF!,3,FALSE),"-"))))</f>
        <v>-</v>
      </c>
      <c r="Q96" s="184" t="s">
        <v>62</v>
      </c>
      <c r="R96" s="46">
        <v>23000</v>
      </c>
      <c r="S96" s="47">
        <f t="shared" si="12"/>
        <v>46211</v>
      </c>
      <c r="T96" s="48">
        <v>66</v>
      </c>
      <c r="U96" s="252"/>
      <c r="V96" s="50">
        <f t="shared" si="13"/>
        <v>46211</v>
      </c>
      <c r="W96" t="e">
        <f>VLOOKUP(Q96,Q148:Q272,1,0)</f>
        <v>#N/A</v>
      </c>
      <c r="X96" s="132">
        <f t="shared" si="14"/>
        <v>45918</v>
      </c>
    </row>
    <row r="97" spans="1:27" ht="16.2">
      <c r="A97" s="146" t="s">
        <v>17</v>
      </c>
      <c r="B97" s="147">
        <v>45750</v>
      </c>
      <c r="C97" s="146">
        <f t="shared" si="8"/>
        <v>2025</v>
      </c>
      <c r="D97" s="148">
        <v>45750</v>
      </c>
      <c r="E97" s="149" t="s">
        <v>66</v>
      </c>
      <c r="F97" s="150">
        <f t="shared" ca="1" si="11"/>
        <v>66</v>
      </c>
      <c r="G97" s="150" t="str">
        <f>IFERROR(VLOOKUP(H97,Encerrados!#REF!,3,FALSE),
IFERROR(VLOOKUP(H97,Encerrados!#REF!,3,FALSE),
IFERROR(VLOOKUP(H97,Encerrados!#REF!,3,FALSE),
IFERROR(VLOOKUP(H97,Encerrados!#REF!,3,FALSE),"-"))))</f>
        <v>-</v>
      </c>
      <c r="H97" s="151" t="s">
        <v>59</v>
      </c>
      <c r="I97" s="152"/>
      <c r="J97" s="146" t="s">
        <v>60</v>
      </c>
      <c r="K97" s="153">
        <v>27</v>
      </c>
      <c r="L97" s="11" t="s">
        <v>365</v>
      </c>
      <c r="M97" s="21">
        <f t="shared" si="17"/>
        <v>45897</v>
      </c>
      <c r="N97" s="21">
        <f t="shared" si="15"/>
        <v>45918</v>
      </c>
      <c r="O97" s="20" t="s">
        <v>63</v>
      </c>
      <c r="P97" s="20" t="str">
        <f>IFERROR(VLOOKUP(Q97,Encerrados!#REF!,3,FALSE),
IFERROR(VLOOKUP(Q97,Encerrados!#REF!,3,FALSE),
IFERROR(VLOOKUP(Q97,Encerrados!#REF!,3,FALSE),
IFERROR(VLOOKUP(Q97,Encerrados!#REF!,3,FALSE),"-"))))</f>
        <v>-</v>
      </c>
      <c r="Q97" s="184" t="s">
        <v>64</v>
      </c>
      <c r="R97" s="46">
        <v>18000</v>
      </c>
      <c r="S97" s="47">
        <f t="shared" si="12"/>
        <v>46211</v>
      </c>
      <c r="T97" s="48">
        <v>66</v>
      </c>
      <c r="U97" s="252"/>
      <c r="V97" s="50">
        <f t="shared" si="13"/>
        <v>46211</v>
      </c>
      <c r="W97" t="e">
        <f>VLOOKUP(Q97,Q149:Q273,1,0)</f>
        <v>#N/A</v>
      </c>
      <c r="X97" s="132">
        <f t="shared" si="14"/>
        <v>45918</v>
      </c>
    </row>
    <row r="98" spans="1:27" ht="16.2">
      <c r="A98" s="146" t="s">
        <v>17</v>
      </c>
      <c r="B98" s="147">
        <v>45749</v>
      </c>
      <c r="C98" s="146">
        <f t="shared" si="8"/>
        <v>2025</v>
      </c>
      <c r="D98" s="148">
        <v>45750</v>
      </c>
      <c r="E98" s="149" t="s">
        <v>67</v>
      </c>
      <c r="F98" s="150">
        <f t="shared" ca="1" si="11"/>
        <v>66</v>
      </c>
      <c r="G98" s="150" t="str">
        <f>IFERROR(VLOOKUP(H98,Encerrados!#REF!,3,FALSE),
IFERROR(VLOOKUP(H98,Encerrados!#REF!,3,FALSE),
IFERROR(VLOOKUP(H98,Encerrados!#REF!,3,FALSE),
IFERROR(VLOOKUP(H98,Encerrados!#REF!,3,FALSE),"-"))))</f>
        <v>-</v>
      </c>
      <c r="H98" s="151" t="s">
        <v>68</v>
      </c>
      <c r="I98" s="152">
        <v>16000</v>
      </c>
      <c r="J98" s="146" t="s">
        <v>60</v>
      </c>
      <c r="K98" s="153">
        <v>22</v>
      </c>
      <c r="L98" s="11" t="s">
        <v>365</v>
      </c>
      <c r="M98" s="21">
        <f t="shared" si="17"/>
        <v>45897</v>
      </c>
      <c r="N98" s="21">
        <f t="shared" si="15"/>
        <v>45918</v>
      </c>
      <c r="O98" s="20" t="s">
        <v>53</v>
      </c>
      <c r="P98" s="20" t="str">
        <f>IFERROR(VLOOKUP(Q98,Encerrados!#REF!,3,FALSE),
IFERROR(VLOOKUP(Q98,Encerrados!#REF!,3,FALSE),
IFERROR(VLOOKUP(Q98,Encerrados!#REF!,3,FALSE),
IFERROR(VLOOKUP(Q98,Encerrados!#REF!,3,FALSE),"-"))))</f>
        <v>-</v>
      </c>
      <c r="Q98" s="184" t="s">
        <v>54</v>
      </c>
      <c r="R98" s="46">
        <v>14900</v>
      </c>
      <c r="S98" s="47">
        <f t="shared" si="12"/>
        <v>46211</v>
      </c>
      <c r="T98" s="48">
        <v>66</v>
      </c>
      <c r="U98" s="252"/>
      <c r="V98" s="50">
        <f t="shared" si="13"/>
        <v>46211</v>
      </c>
      <c r="W98" t="e">
        <f>VLOOKUP(Q98,Q151:Q278,1,0)</f>
        <v>#N/A</v>
      </c>
      <c r="X98" s="132">
        <f t="shared" si="14"/>
        <v>45918</v>
      </c>
    </row>
    <row r="99" spans="1:27" ht="14.25" customHeight="1">
      <c r="A99" s="25" t="s">
        <v>17</v>
      </c>
      <c r="B99" s="24">
        <v>45758</v>
      </c>
      <c r="C99" s="20">
        <f t="shared" si="8"/>
        <v>2025</v>
      </c>
      <c r="D99" s="30">
        <v>45757</v>
      </c>
      <c r="E99" s="26" t="s">
        <v>69</v>
      </c>
      <c r="F99" s="27">
        <f t="shared" ca="1" si="11"/>
        <v>66</v>
      </c>
      <c r="G99" s="27" t="str">
        <f>IFERROR(VLOOKUP(H99,Encerrados!#REF!,3,FALSE),
IFERROR(VLOOKUP(H99,Encerrados!#REF!,3,FALSE),
IFERROR(VLOOKUP(H99,Encerrados!#REF!,3,FALSE),
IFERROR(VLOOKUP(H99,Encerrados!#REF!,3,FALSE),"-"))))</f>
        <v>-</v>
      </c>
      <c r="H99" s="28" t="s">
        <v>68</v>
      </c>
      <c r="I99" s="29">
        <v>107000</v>
      </c>
      <c r="J99" s="25" t="s">
        <v>60</v>
      </c>
      <c r="K99" s="25">
        <v>22</v>
      </c>
      <c r="L99" s="12" t="s">
        <v>368</v>
      </c>
      <c r="M99" s="21">
        <f>D99+(22*7)-7</f>
        <v>45904</v>
      </c>
      <c r="N99" s="21">
        <f t="shared" si="15"/>
        <v>45925</v>
      </c>
      <c r="O99" s="20" t="s">
        <v>70</v>
      </c>
      <c r="P99" s="20" t="str">
        <f>IFERROR(VLOOKUP(Q99,Encerrados!#REF!,3,FALSE),
IFERROR(VLOOKUP(Q99,Encerrados!#REF!,3,FALSE),
IFERROR(VLOOKUP(Q99,Encerrados!#REF!,3,FALSE),
IFERROR(VLOOKUP(Q99,Encerrados!#REF!,3,FALSE),"-"))))</f>
        <v>-</v>
      </c>
      <c r="Q99" s="184" t="s">
        <v>71</v>
      </c>
      <c r="R99" s="46">
        <v>69984</v>
      </c>
      <c r="S99" s="47">
        <f t="shared" si="12"/>
        <v>46218</v>
      </c>
      <c r="T99" s="48">
        <v>66</v>
      </c>
      <c r="U99" s="252"/>
      <c r="V99" s="50">
        <f t="shared" si="13"/>
        <v>46218</v>
      </c>
      <c r="W99" t="e">
        <f>VLOOKUP(Q99,Q152:Q278,1,0)</f>
        <v>#N/A</v>
      </c>
      <c r="X99" s="132">
        <f t="shared" si="14"/>
        <v>45925</v>
      </c>
    </row>
    <row r="100" spans="1:27" ht="16.2">
      <c r="A100" s="25" t="s">
        <v>17</v>
      </c>
      <c r="B100" s="24">
        <v>45758</v>
      </c>
      <c r="C100" s="20">
        <f t="shared" si="8"/>
        <v>2025</v>
      </c>
      <c r="D100" s="30">
        <v>45757</v>
      </c>
      <c r="E100" s="26" t="s">
        <v>69</v>
      </c>
      <c r="F100" s="27">
        <f t="shared" ca="1" si="11"/>
        <v>69</v>
      </c>
      <c r="G100" s="27" t="str">
        <f>IFERROR(VLOOKUP(H100,Encerrados!#REF!,3,FALSE),
IFERROR(VLOOKUP(H100,Encerrados!#REF!,3,FALSE),
IFERROR(VLOOKUP(H100,Encerrados!#REF!,3,FALSE),
IFERROR(VLOOKUP(H100,Encerrados!#REF!,3,FALSE),"-"))))</f>
        <v>-</v>
      </c>
      <c r="H100" s="28" t="s">
        <v>68</v>
      </c>
      <c r="I100" s="29"/>
      <c r="J100" s="25" t="s">
        <v>60</v>
      </c>
      <c r="K100" s="25">
        <v>22</v>
      </c>
      <c r="L100" s="12" t="s">
        <v>368</v>
      </c>
      <c r="M100" s="21">
        <f>D100+(22*7)-7</f>
        <v>45904</v>
      </c>
      <c r="N100" s="21">
        <f t="shared" si="15"/>
        <v>45925</v>
      </c>
      <c r="O100" s="20" t="s">
        <v>72</v>
      </c>
      <c r="P100" s="20" t="str">
        <f>IFERROR(VLOOKUP(Q100,Encerrados!#REF!,3,FALSE),
IFERROR(VLOOKUP(Q100,Encerrados!#REF!,3,FALSE),
IFERROR(VLOOKUP(Q100,Encerrados!#REF!,3,FALSE),
IFERROR(VLOOKUP(Q100,Encerrados!#REF!,3,FALSE),"-"))))</f>
        <v>-</v>
      </c>
      <c r="Q100" s="184" t="s">
        <v>73</v>
      </c>
      <c r="R100" s="46">
        <v>29848</v>
      </c>
      <c r="S100" s="47">
        <f t="shared" si="12"/>
        <v>46239</v>
      </c>
      <c r="T100" s="48">
        <v>69</v>
      </c>
      <c r="U100" s="252"/>
      <c r="V100" s="50">
        <f t="shared" si="13"/>
        <v>46239</v>
      </c>
      <c r="W100" t="e">
        <f>VLOOKUP(Q100,Q152:Q280,1,0)</f>
        <v>#N/A</v>
      </c>
      <c r="X100" s="132">
        <f t="shared" si="14"/>
        <v>45925</v>
      </c>
    </row>
    <row r="101" spans="1:27" ht="13.35" customHeight="1">
      <c r="A101" s="25" t="s">
        <v>17</v>
      </c>
      <c r="B101" s="24">
        <v>45756</v>
      </c>
      <c r="C101" s="25">
        <f t="shared" si="8"/>
        <v>2025</v>
      </c>
      <c r="D101" s="30">
        <v>45757</v>
      </c>
      <c r="E101" s="26" t="s">
        <v>504</v>
      </c>
      <c r="F101" s="27">
        <f t="shared" ca="1" si="11"/>
        <v>36</v>
      </c>
      <c r="G101" s="27" t="str">
        <f>IFERROR(VLOOKUP(H101,Encerrados!#REF!,3,FALSE),
IFERROR(VLOOKUP(H101,Encerrados!#REF!,3,FALSE),
IFERROR(VLOOKUP(H101,Encerrados!#REF!,3,FALSE),
IFERROR(VLOOKUP(H101,Encerrados!#REF!,3,FALSE),"-"))))</f>
        <v>-</v>
      </c>
      <c r="H101" s="28" t="s">
        <v>75</v>
      </c>
      <c r="I101" s="29">
        <v>45000</v>
      </c>
      <c r="J101" s="25" t="s">
        <v>20</v>
      </c>
      <c r="K101" s="25">
        <v>26</v>
      </c>
      <c r="L101" s="11" t="s">
        <v>365</v>
      </c>
      <c r="M101" s="21">
        <f>D101+(24*7)-7+4</f>
        <v>45922</v>
      </c>
      <c r="N101" s="21">
        <f t="shared" si="15"/>
        <v>45925</v>
      </c>
      <c r="O101" s="20" t="s">
        <v>505</v>
      </c>
      <c r="P101" s="20" t="str">
        <f>IFERROR(VLOOKUP(Q101,Encerrados!#REF!,3,FALSE),
IFERROR(VLOOKUP(Q101,Encerrados!#REF!,3,FALSE),
IFERROR(VLOOKUP(Q101,Encerrados!#REF!,3,FALSE),
IFERROR(VLOOKUP(Q101,Encerrados!#REF!,3,FALSE),"-"))))</f>
        <v>-</v>
      </c>
      <c r="Q101" s="183" t="s">
        <v>190</v>
      </c>
      <c r="R101" s="22">
        <v>46214</v>
      </c>
      <c r="S101" s="159">
        <f t="shared" si="12"/>
        <v>46008</v>
      </c>
      <c r="T101" s="160">
        <v>36</v>
      </c>
      <c r="U101" s="59" t="s">
        <v>506</v>
      </c>
      <c r="V101" s="60" t="str">
        <f t="shared" si="13"/>
        <v xml:space="preserve"> </v>
      </c>
      <c r="W101" t="e">
        <f>VLOOKUP(Q101,Q153:Q281,1,0)</f>
        <v>#N/A</v>
      </c>
      <c r="X101" s="132">
        <f t="shared" si="14"/>
        <v>45925</v>
      </c>
      <c r="AA101" s="132"/>
    </row>
    <row r="102" spans="1:27" ht="16.2">
      <c r="A102" s="146" t="s">
        <v>17</v>
      </c>
      <c r="B102" s="147">
        <v>45763</v>
      </c>
      <c r="C102" s="146">
        <f t="shared" si="8"/>
        <v>2025</v>
      </c>
      <c r="D102" s="148">
        <v>45764</v>
      </c>
      <c r="E102" s="149" t="s">
        <v>74</v>
      </c>
      <c r="F102" s="150">
        <f t="shared" ca="1" si="11"/>
        <v>67</v>
      </c>
      <c r="G102" s="150" t="str">
        <f>IFERROR(VLOOKUP(H102,Encerrados!#REF!,3,FALSE),
IFERROR(VLOOKUP(H102,Encerrados!#REF!,3,FALSE),
IFERROR(VLOOKUP(H102,Encerrados!#REF!,3,FALSE),
IFERROR(VLOOKUP(H102,Encerrados!#REF!,3,FALSE),"-"))))</f>
        <v>-</v>
      </c>
      <c r="H102" s="151" t="s">
        <v>75</v>
      </c>
      <c r="I102" s="152">
        <v>28000</v>
      </c>
      <c r="J102" s="146" t="s">
        <v>20</v>
      </c>
      <c r="K102" s="153">
        <v>26</v>
      </c>
      <c r="L102" s="11" t="s">
        <v>365</v>
      </c>
      <c r="M102" s="21">
        <f>D102+(24*7)-7+4</f>
        <v>45929</v>
      </c>
      <c r="N102" s="21">
        <f t="shared" si="15"/>
        <v>45932</v>
      </c>
      <c r="O102" s="20" t="s">
        <v>76</v>
      </c>
      <c r="P102" s="20" t="str">
        <f>IFERROR(VLOOKUP(Q102,Encerrados!#REF!,3,FALSE),
IFERROR(VLOOKUP(Q102,Encerrados!#REF!,3,FALSE),
IFERROR(VLOOKUP(Q102,Encerrados!#REF!,3,FALSE),
IFERROR(VLOOKUP(Q102,Encerrados!#REF!,3,FALSE),"-"))))</f>
        <v>-</v>
      </c>
      <c r="Q102" s="184" t="s">
        <v>77</v>
      </c>
      <c r="R102" s="46">
        <v>21763</v>
      </c>
      <c r="S102" s="47">
        <f t="shared" si="12"/>
        <v>46232</v>
      </c>
      <c r="T102" s="48">
        <v>67</v>
      </c>
      <c r="U102" s="252"/>
      <c r="V102" s="266">
        <f t="shared" si="13"/>
        <v>46232</v>
      </c>
      <c r="W102" t="e">
        <f>VLOOKUP(Q102,Q154:Q281,1,0)</f>
        <v>#N/A</v>
      </c>
      <c r="X102" s="132">
        <f t="shared" si="14"/>
        <v>45932</v>
      </c>
      <c r="AA102" s="132"/>
    </row>
    <row r="103" spans="1:27" ht="13.95" customHeight="1">
      <c r="A103" s="25" t="s">
        <v>17</v>
      </c>
      <c r="B103" s="24">
        <v>45773</v>
      </c>
      <c r="C103" s="20">
        <f t="shared" si="8"/>
        <v>2025</v>
      </c>
      <c r="D103" s="30">
        <v>45771</v>
      </c>
      <c r="E103" s="26" t="s">
        <v>78</v>
      </c>
      <c r="F103" s="27">
        <f t="shared" ca="1" si="11"/>
        <v>65</v>
      </c>
      <c r="G103" s="27" t="str">
        <f>IFERROR(VLOOKUP(H103,Encerrados!#REF!,3,FALSE),
IFERROR(VLOOKUP(H103,Encerrados!#REF!,3,FALSE),
IFERROR(VLOOKUP(H103,Encerrados!#REF!,3,FALSE),
IFERROR(VLOOKUP(H103,Encerrados!#REF!,3,FALSE),"-"))))</f>
        <v>-</v>
      </c>
      <c r="H103" s="28" t="s">
        <v>79</v>
      </c>
      <c r="I103" s="29">
        <v>60000</v>
      </c>
      <c r="J103" s="25" t="s">
        <v>60</v>
      </c>
      <c r="K103" s="25">
        <v>16</v>
      </c>
      <c r="L103" s="38" t="s">
        <v>376</v>
      </c>
      <c r="M103" s="21">
        <f>D103+(22*7)-7</f>
        <v>45918</v>
      </c>
      <c r="N103" s="21">
        <f t="shared" si="15"/>
        <v>45939</v>
      </c>
      <c r="O103" s="20" t="s">
        <v>80</v>
      </c>
      <c r="P103" s="20" t="str">
        <f>IFERROR(VLOOKUP(Q103,Encerrados!#REF!,3,FALSE),
IFERROR(VLOOKUP(Q103,Encerrados!#REF!,3,FALSE),
IFERROR(VLOOKUP(Q103,Encerrados!#REF!,3,FALSE),
IFERROR(VLOOKUP(Q103,Encerrados!#REF!,3,FALSE),"-"))))</f>
        <v>-</v>
      </c>
      <c r="Q103" s="184" t="s">
        <v>81</v>
      </c>
      <c r="R103" s="46">
        <v>60600</v>
      </c>
      <c r="S103" s="47">
        <f t="shared" si="12"/>
        <v>46225</v>
      </c>
      <c r="T103" s="48">
        <v>65</v>
      </c>
      <c r="U103" s="252"/>
      <c r="V103" s="50">
        <f t="shared" si="13"/>
        <v>46225</v>
      </c>
      <c r="W103" t="e">
        <f>VLOOKUP(Q103,Q155:Q281,1,0)</f>
        <v>#N/A</v>
      </c>
      <c r="X103" s="132">
        <f t="shared" si="14"/>
        <v>45939</v>
      </c>
    </row>
    <row r="104" spans="1:27" ht="14.1" customHeight="1">
      <c r="A104" s="25" t="s">
        <v>17</v>
      </c>
      <c r="B104" s="24">
        <v>45771</v>
      </c>
      <c r="C104" s="20">
        <f t="shared" si="8"/>
        <v>2025</v>
      </c>
      <c r="D104" s="30">
        <v>45771</v>
      </c>
      <c r="E104" s="26" t="s">
        <v>82</v>
      </c>
      <c r="F104" s="27">
        <f t="shared" ca="1" si="11"/>
        <v>69</v>
      </c>
      <c r="G104" s="27" t="str">
        <f>IFERROR(VLOOKUP(H104,Encerrados!#REF!,3,FALSE),
IFERROR(VLOOKUP(H104,Encerrados!#REF!,3,FALSE),
IFERROR(VLOOKUP(H104,Encerrados!#REF!,3,FALSE),
IFERROR(VLOOKUP(H104,Encerrados!#REF!,3,FALSE),"-"))))</f>
        <v>-</v>
      </c>
      <c r="H104" s="28" t="s">
        <v>83</v>
      </c>
      <c r="I104" s="29">
        <v>44000</v>
      </c>
      <c r="J104" s="25" t="s">
        <v>60</v>
      </c>
      <c r="K104" s="25">
        <v>35</v>
      </c>
      <c r="L104" s="11" t="s">
        <v>365</v>
      </c>
      <c r="M104" s="21">
        <f>D104+(22*7)-7</f>
        <v>45918</v>
      </c>
      <c r="N104" s="21">
        <f t="shared" si="15"/>
        <v>45939</v>
      </c>
      <c r="O104" s="20" t="s">
        <v>84</v>
      </c>
      <c r="P104" s="20" t="str">
        <f>IFERROR(VLOOKUP(Q104,Encerrados!#REF!,3,FALSE),
IFERROR(VLOOKUP(Q104,Encerrados!#REF!,3,FALSE),
IFERROR(VLOOKUP(Q104,Encerrados!#REF!,3,FALSE),
IFERROR(VLOOKUP(Q104,Encerrados!#REF!,3,FALSE),"-"))))</f>
        <v>-</v>
      </c>
      <c r="Q104" s="184" t="s">
        <v>85</v>
      </c>
      <c r="R104" s="46">
        <v>42933</v>
      </c>
      <c r="S104" s="47">
        <f t="shared" si="12"/>
        <v>46253</v>
      </c>
      <c r="T104" s="48">
        <v>69</v>
      </c>
      <c r="U104" s="252"/>
      <c r="V104" s="50">
        <f t="shared" si="13"/>
        <v>46253</v>
      </c>
      <c r="W104" t="e">
        <f>VLOOKUP(Q104,Q156:Q283,1,0)</f>
        <v>#N/A</v>
      </c>
      <c r="X104" s="132">
        <f t="shared" si="14"/>
        <v>45939</v>
      </c>
    </row>
    <row r="105" spans="1:27" ht="14.1" customHeight="1">
      <c r="A105" s="25" t="s">
        <v>17</v>
      </c>
      <c r="B105" s="24">
        <v>45780</v>
      </c>
      <c r="C105" s="20">
        <f t="shared" si="8"/>
        <v>2025</v>
      </c>
      <c r="D105" s="30">
        <v>45778</v>
      </c>
      <c r="E105" s="26" t="s">
        <v>82</v>
      </c>
      <c r="F105" s="27">
        <f t="shared" ca="1" si="11"/>
        <v>66</v>
      </c>
      <c r="G105" s="27" t="str">
        <f>IFERROR(VLOOKUP(H105,Encerrados!#REF!,3,FALSE),
IFERROR(VLOOKUP(H105,Encerrados!#REF!,3,FALSE),
IFERROR(VLOOKUP(H105,Encerrados!#REF!,3,FALSE),
IFERROR(VLOOKUP(H105,Encerrados!#REF!,3,FALSE),"-"))))</f>
        <v>-</v>
      </c>
      <c r="H105" s="28" t="s">
        <v>83</v>
      </c>
      <c r="I105" s="29">
        <v>40000</v>
      </c>
      <c r="J105" s="25" t="s">
        <v>60</v>
      </c>
      <c r="K105" s="25">
        <v>35</v>
      </c>
      <c r="L105" s="11" t="s">
        <v>365</v>
      </c>
      <c r="M105" s="21">
        <f>D105+(22*7)-7</f>
        <v>45925</v>
      </c>
      <c r="N105" s="21">
        <f t="shared" si="15"/>
        <v>45946</v>
      </c>
      <c r="O105" s="20" t="s">
        <v>86</v>
      </c>
      <c r="P105" s="20" t="str">
        <f>IFERROR(VLOOKUP(Q105,Encerrados!#REF!,3,FALSE),
IFERROR(VLOOKUP(Q105,Encerrados!#REF!,3,FALSE),
IFERROR(VLOOKUP(Q105,Encerrados!#REF!,3,FALSE),
IFERROR(VLOOKUP(Q105,Encerrados!#REF!,3,FALSE),"-"))))</f>
        <v>-</v>
      </c>
      <c r="Q105" s="184" t="s">
        <v>87</v>
      </c>
      <c r="R105" s="46">
        <v>38624</v>
      </c>
      <c r="S105" s="47">
        <f t="shared" si="12"/>
        <v>46239</v>
      </c>
      <c r="T105" s="48">
        <v>66</v>
      </c>
      <c r="U105" s="252"/>
      <c r="V105" s="50">
        <f t="shared" si="13"/>
        <v>46239</v>
      </c>
      <c r="W105" t="e">
        <f>VLOOKUP(Q105,Q157:Q283,1,0)</f>
        <v>#N/A</v>
      </c>
      <c r="X105" s="132">
        <f t="shared" si="14"/>
        <v>45946</v>
      </c>
    </row>
    <row r="106" spans="1:27" ht="16.2">
      <c r="A106" s="146" t="s">
        <v>17</v>
      </c>
      <c r="B106" s="147">
        <v>45778</v>
      </c>
      <c r="C106" s="146">
        <f t="shared" si="8"/>
        <v>2025</v>
      </c>
      <c r="D106" s="148">
        <v>45778</v>
      </c>
      <c r="E106" s="149" t="s">
        <v>88</v>
      </c>
      <c r="F106" s="150">
        <f t="shared" ca="1" si="11"/>
        <v>66</v>
      </c>
      <c r="G106" s="150" t="str">
        <f>IFERROR(VLOOKUP(H106,Encerrados!#REF!,3,FALSE),
IFERROR(VLOOKUP(H106,Encerrados!#REF!,3,FALSE),
IFERROR(VLOOKUP(H106,Encerrados!#REF!,3,FALSE),
IFERROR(VLOOKUP(H106,Encerrados!#REF!,3,FALSE),"-"))))</f>
        <v>-</v>
      </c>
      <c r="H106" s="151" t="s">
        <v>89</v>
      </c>
      <c r="I106" s="152">
        <v>28000</v>
      </c>
      <c r="J106" s="146" t="s">
        <v>60</v>
      </c>
      <c r="K106" s="153">
        <v>16</v>
      </c>
      <c r="L106" s="11" t="s">
        <v>365</v>
      </c>
      <c r="M106" s="21">
        <f>D106+(8*7)-7</f>
        <v>45827</v>
      </c>
      <c r="N106" s="21">
        <f t="shared" si="15"/>
        <v>45946</v>
      </c>
      <c r="O106" s="20" t="s">
        <v>76</v>
      </c>
      <c r="P106" s="20" t="str">
        <f>IFERROR(VLOOKUP(Q106,Encerrados!#REF!,3,FALSE),
IFERROR(VLOOKUP(Q106,Encerrados!#REF!,3,FALSE),
IFERROR(VLOOKUP(Q106,Encerrados!#REF!,3,FALSE),
IFERROR(VLOOKUP(Q106,Encerrados!#REF!,3,FALSE),"-"))))</f>
        <v>-</v>
      </c>
      <c r="Q106" s="184" t="s">
        <v>77</v>
      </c>
      <c r="R106" s="46">
        <v>21661</v>
      </c>
      <c r="S106" s="47">
        <f t="shared" si="12"/>
        <v>46239</v>
      </c>
      <c r="T106" s="48">
        <v>66</v>
      </c>
      <c r="U106" s="252"/>
      <c r="V106" s="266">
        <f t="shared" si="13"/>
        <v>46239</v>
      </c>
      <c r="W106" t="e">
        <f t="shared" ref="W106:W113" si="18">VLOOKUP(Q106,Q158:Q283,1,0)</f>
        <v>#N/A</v>
      </c>
      <c r="X106" s="132">
        <f t="shared" si="14"/>
        <v>45946</v>
      </c>
    </row>
    <row r="107" spans="1:27" ht="14.25" customHeight="1">
      <c r="A107" s="25" t="s">
        <v>17</v>
      </c>
      <c r="B107" s="24">
        <v>45779</v>
      </c>
      <c r="C107" s="20">
        <f t="shared" si="8"/>
        <v>2025</v>
      </c>
      <c r="D107" s="30">
        <v>45778</v>
      </c>
      <c r="E107" s="26" t="s">
        <v>90</v>
      </c>
      <c r="F107" s="27">
        <f t="shared" ca="1" si="11"/>
        <v>66</v>
      </c>
      <c r="G107" s="27" t="str">
        <f>IFERROR(VLOOKUP(H107,Encerrados!#REF!,3,FALSE),
IFERROR(VLOOKUP(H107,Encerrados!#REF!,3,FALSE),
IFERROR(VLOOKUP(H107,Encerrados!#REF!,3,FALSE),
IFERROR(VLOOKUP(H107,Encerrados!#REF!,3,FALSE),"-"))))</f>
        <v>-</v>
      </c>
      <c r="H107" s="28" t="s">
        <v>89</v>
      </c>
      <c r="I107" s="29">
        <v>67392</v>
      </c>
      <c r="J107" s="25" t="s">
        <v>60</v>
      </c>
      <c r="K107" s="25">
        <v>15</v>
      </c>
      <c r="L107" s="12" t="s">
        <v>368</v>
      </c>
      <c r="M107" s="21">
        <f>D107+(22*7)-7</f>
        <v>45925</v>
      </c>
      <c r="N107" s="21">
        <f t="shared" si="15"/>
        <v>45946</v>
      </c>
      <c r="O107" s="20" t="s">
        <v>91</v>
      </c>
      <c r="P107" s="20" t="str">
        <f>IFERROR(VLOOKUP(Q107,Encerrados!#REF!,3,FALSE),
IFERROR(VLOOKUP(Q107,Encerrados!#REF!,3,FALSE),
IFERROR(VLOOKUP(Q107,Encerrados!#REF!,3,FALSE),
IFERROR(VLOOKUP(Q107,Encerrados!#REF!,3,FALSE),"-"))))</f>
        <v>-</v>
      </c>
      <c r="Q107" s="184" t="s">
        <v>92</v>
      </c>
      <c r="R107" s="46">
        <v>63000</v>
      </c>
      <c r="S107" s="47">
        <f t="shared" si="12"/>
        <v>46239</v>
      </c>
      <c r="T107" s="48">
        <v>66</v>
      </c>
      <c r="U107" s="252"/>
      <c r="V107" s="50">
        <f t="shared" si="13"/>
        <v>46239</v>
      </c>
      <c r="W107" t="e">
        <f t="shared" si="18"/>
        <v>#N/A</v>
      </c>
      <c r="X107" s="132">
        <f t="shared" si="14"/>
        <v>45946</v>
      </c>
    </row>
    <row r="108" spans="1:27" ht="14.25" customHeight="1">
      <c r="A108" s="25" t="s">
        <v>17</v>
      </c>
      <c r="B108" s="24">
        <v>45779</v>
      </c>
      <c r="C108" s="20">
        <f t="shared" si="8"/>
        <v>2025</v>
      </c>
      <c r="D108" s="30">
        <v>45778</v>
      </c>
      <c r="E108" s="26" t="s">
        <v>90</v>
      </c>
      <c r="F108" s="27">
        <f t="shared" ca="1" si="11"/>
        <v>66</v>
      </c>
      <c r="G108" s="27" t="str">
        <f>IFERROR(VLOOKUP(H108,Encerrados!#REF!,3,FALSE),
IFERROR(VLOOKUP(H108,Encerrados!#REF!,3,FALSE),
IFERROR(VLOOKUP(H108,Encerrados!#REF!,3,FALSE),
IFERROR(VLOOKUP(H108,Encerrados!#REF!,3,FALSE),"-"))))</f>
        <v>-</v>
      </c>
      <c r="H108" s="28" t="s">
        <v>89</v>
      </c>
      <c r="I108" s="29">
        <v>0</v>
      </c>
      <c r="J108" s="25" t="s">
        <v>60</v>
      </c>
      <c r="K108" s="25">
        <v>15</v>
      </c>
      <c r="L108" s="11" t="s">
        <v>365</v>
      </c>
      <c r="M108" s="21">
        <f>D108+(22*7)-7</f>
        <v>45925</v>
      </c>
      <c r="N108" s="21">
        <f t="shared" si="15"/>
        <v>45946</v>
      </c>
      <c r="O108" s="412">
        <v>130025</v>
      </c>
      <c r="P108" s="20" t="str">
        <f>IFERROR(VLOOKUP(Q108,Encerrados!#REF!,3,FALSE),
IFERROR(VLOOKUP(Q108,Encerrados!#REF!,3,FALSE),
IFERROR(VLOOKUP(Q108,Encerrados!#REF!,3,FALSE),
IFERROR(VLOOKUP(Q108,Encerrados!#REF!,3,FALSE),"-"))))</f>
        <v>-</v>
      </c>
      <c r="Q108" s="184" t="s">
        <v>93</v>
      </c>
      <c r="R108" s="46">
        <v>6000</v>
      </c>
      <c r="S108" s="47">
        <f t="shared" si="12"/>
        <v>46239</v>
      </c>
      <c r="T108" s="48">
        <v>66</v>
      </c>
      <c r="U108" s="252"/>
      <c r="V108" s="50">
        <f t="shared" si="13"/>
        <v>46239</v>
      </c>
      <c r="W108" t="e">
        <f t="shared" si="18"/>
        <v>#N/A</v>
      </c>
      <c r="X108" s="132">
        <f t="shared" si="14"/>
        <v>45946</v>
      </c>
    </row>
    <row r="109" spans="1:27" ht="16.2">
      <c r="A109" s="146" t="s">
        <v>17</v>
      </c>
      <c r="B109" s="147">
        <v>45780</v>
      </c>
      <c r="C109" s="146">
        <f t="shared" si="8"/>
        <v>2025</v>
      </c>
      <c r="D109" s="148">
        <v>45785</v>
      </c>
      <c r="E109" s="149" t="s">
        <v>94</v>
      </c>
      <c r="F109" s="150">
        <f t="shared" ca="1" si="11"/>
        <v>67</v>
      </c>
      <c r="G109" s="150" t="str">
        <f>IFERROR(VLOOKUP(H109,Encerrados!#REF!,3,FALSE),
IFERROR(VLOOKUP(H109,Encerrados!#REF!,3,FALSE),
IFERROR(VLOOKUP(H109,Encerrados!#REF!,3,FALSE),
IFERROR(VLOOKUP(H109,Encerrados!#REF!,3,FALSE),"-"))))</f>
        <v>-</v>
      </c>
      <c r="H109" s="151" t="s">
        <v>375</v>
      </c>
      <c r="I109" s="152">
        <v>16000</v>
      </c>
      <c r="J109" s="146" t="s">
        <v>48</v>
      </c>
      <c r="K109" s="153">
        <v>33</v>
      </c>
      <c r="L109" s="11" t="s">
        <v>365</v>
      </c>
      <c r="M109" s="21">
        <f>D109+(22*7)-7</f>
        <v>45932</v>
      </c>
      <c r="N109" s="21">
        <f t="shared" si="15"/>
        <v>45953</v>
      </c>
      <c r="O109" s="20" t="s">
        <v>96</v>
      </c>
      <c r="P109" s="20" t="str">
        <f>IFERROR(VLOOKUP(Q109,Encerrados!#REF!,3,FALSE),
IFERROR(VLOOKUP(Q109,Encerrados!#REF!,3,FALSE),
IFERROR(VLOOKUP(Q109,Encerrados!#REF!,3,FALSE),
IFERROR(VLOOKUP(Q109,Encerrados!#REF!,3,FALSE),"-"))))</f>
        <v>-</v>
      </c>
      <c r="Q109" s="184" t="s">
        <v>97</v>
      </c>
      <c r="R109" s="46">
        <v>13000</v>
      </c>
      <c r="S109" s="47">
        <f t="shared" si="12"/>
        <v>46253</v>
      </c>
      <c r="T109" s="48">
        <v>67</v>
      </c>
      <c r="U109" s="252"/>
      <c r="V109" s="266">
        <f t="shared" si="13"/>
        <v>46253</v>
      </c>
      <c r="W109" t="e">
        <f t="shared" si="18"/>
        <v>#N/A</v>
      </c>
      <c r="X109" s="132">
        <f t="shared" si="14"/>
        <v>45953</v>
      </c>
    </row>
    <row r="110" spans="1:27" ht="14.1" customHeight="1">
      <c r="A110" s="25" t="s">
        <v>17</v>
      </c>
      <c r="B110" s="24">
        <v>45783</v>
      </c>
      <c r="C110" s="20">
        <f t="shared" si="8"/>
        <v>2025</v>
      </c>
      <c r="D110" s="30">
        <v>45785</v>
      </c>
      <c r="E110" s="26" t="s">
        <v>98</v>
      </c>
      <c r="F110" s="27">
        <f t="shared" ca="1" si="11"/>
        <v>65</v>
      </c>
      <c r="G110" s="27" t="str">
        <f>IFERROR(VLOOKUP(H110,Encerrados!#REF!,3,FALSE),
IFERROR(VLOOKUP(H110,Encerrados!#REF!,3,FALSE),
IFERROR(VLOOKUP(H110,Encerrados!#REF!,3,FALSE),
IFERROR(VLOOKUP(H110,Encerrados!#REF!,3,FALSE),"-"))))</f>
        <v>-</v>
      </c>
      <c r="H110" s="28" t="s">
        <v>375</v>
      </c>
      <c r="I110" s="29">
        <v>42000</v>
      </c>
      <c r="J110" s="25" t="s">
        <v>48</v>
      </c>
      <c r="K110" s="25">
        <v>33</v>
      </c>
      <c r="L110" s="11" t="s">
        <v>365</v>
      </c>
      <c r="M110" s="21">
        <f t="shared" ref="M110:M128" si="19">D110+(22*7)-7</f>
        <v>45932</v>
      </c>
      <c r="N110" s="21">
        <f t="shared" si="15"/>
        <v>45953</v>
      </c>
      <c r="O110" s="20" t="s">
        <v>86</v>
      </c>
      <c r="P110" s="20" t="str">
        <f>IFERROR(VLOOKUP(Q110,Encerrados!#REF!,3,FALSE),
IFERROR(VLOOKUP(Q110,Encerrados!#REF!,3,FALSE),
IFERROR(VLOOKUP(Q110,Encerrados!#REF!,3,FALSE),
IFERROR(VLOOKUP(Q110,Encerrados!#REF!,3,FALSE),"-"))))</f>
        <v>-</v>
      </c>
      <c r="Q110" s="184" t="s">
        <v>87</v>
      </c>
      <c r="R110" s="46">
        <v>22000</v>
      </c>
      <c r="S110" s="47">
        <f t="shared" si="12"/>
        <v>46239</v>
      </c>
      <c r="T110" s="48">
        <v>65</v>
      </c>
      <c r="U110" s="252"/>
      <c r="V110" s="50">
        <f t="shared" si="13"/>
        <v>46239</v>
      </c>
      <c r="W110" t="e">
        <f t="shared" si="18"/>
        <v>#N/A</v>
      </c>
      <c r="X110" s="132">
        <f t="shared" si="14"/>
        <v>45953</v>
      </c>
    </row>
    <row r="111" spans="1:27" ht="14.1" customHeight="1">
      <c r="A111" s="25" t="s">
        <v>17</v>
      </c>
      <c r="B111" s="24">
        <v>45783</v>
      </c>
      <c r="C111" s="20">
        <f t="shared" si="8"/>
        <v>2025</v>
      </c>
      <c r="D111" s="30">
        <v>45785</v>
      </c>
      <c r="E111" s="26" t="s">
        <v>98</v>
      </c>
      <c r="F111" s="27">
        <f t="shared" ca="1" si="11"/>
        <v>66</v>
      </c>
      <c r="G111" s="27" t="str">
        <f>IFERROR(VLOOKUP(H111,Encerrados!#REF!,3,FALSE),
IFERROR(VLOOKUP(H111,Encerrados!#REF!,3,FALSE),
IFERROR(VLOOKUP(H111,Encerrados!#REF!,3,FALSE),
IFERROR(VLOOKUP(H111,Encerrados!#REF!,3,FALSE),"-"))))</f>
        <v>-</v>
      </c>
      <c r="H111" s="28" t="s">
        <v>375</v>
      </c>
      <c r="I111" s="29"/>
      <c r="J111" s="25" t="s">
        <v>48</v>
      </c>
      <c r="K111" s="25">
        <v>33</v>
      </c>
      <c r="L111" s="11" t="s">
        <v>365</v>
      </c>
      <c r="M111" s="21">
        <f t="shared" si="19"/>
        <v>45932</v>
      </c>
      <c r="N111" s="21">
        <f t="shared" si="15"/>
        <v>45953</v>
      </c>
      <c r="O111" s="413">
        <v>130025</v>
      </c>
      <c r="P111" s="20" t="str">
        <f>IFERROR(VLOOKUP(Q111,Encerrados!#REF!,3,FALSE),
IFERROR(VLOOKUP(Q111,Encerrados!#REF!,3,FALSE),
IFERROR(VLOOKUP(Q111,Encerrados!#REF!,3,FALSE),
IFERROR(VLOOKUP(Q111,Encerrados!#REF!,3,FALSE),"-"))))</f>
        <v>-</v>
      </c>
      <c r="Q111" s="184" t="s">
        <v>93</v>
      </c>
      <c r="R111" s="46">
        <v>9000</v>
      </c>
      <c r="S111" s="47">
        <f t="shared" si="12"/>
        <v>46246</v>
      </c>
      <c r="T111" s="48">
        <v>66</v>
      </c>
      <c r="U111" s="252"/>
      <c r="V111" s="50">
        <f t="shared" si="13"/>
        <v>46246</v>
      </c>
      <c r="W111" t="e">
        <f t="shared" si="18"/>
        <v>#N/A</v>
      </c>
      <c r="X111" s="132">
        <f t="shared" si="14"/>
        <v>45953</v>
      </c>
    </row>
    <row r="112" spans="1:27" ht="14.1" customHeight="1">
      <c r="A112" s="25" t="s">
        <v>17</v>
      </c>
      <c r="B112" s="24">
        <v>45783</v>
      </c>
      <c r="C112" s="20">
        <f t="shared" si="8"/>
        <v>2025</v>
      </c>
      <c r="D112" s="30">
        <v>45785</v>
      </c>
      <c r="E112" s="26" t="s">
        <v>98</v>
      </c>
      <c r="F112" s="27">
        <f t="shared" ca="1" si="11"/>
        <v>66</v>
      </c>
      <c r="G112" s="27" t="str">
        <f>IFERROR(VLOOKUP(H112,Encerrados!#REF!,3,FALSE),
IFERROR(VLOOKUP(H112,Encerrados!#REF!,3,FALSE),
IFERROR(VLOOKUP(H112,Encerrados!#REF!,3,FALSE),
IFERROR(VLOOKUP(H112,Encerrados!#REF!,3,FALSE),"-"))))</f>
        <v>-</v>
      </c>
      <c r="H112" s="28" t="s">
        <v>375</v>
      </c>
      <c r="I112" s="29"/>
      <c r="J112" s="25" t="s">
        <v>48</v>
      </c>
      <c r="K112" s="25">
        <v>33</v>
      </c>
      <c r="L112" s="11" t="s">
        <v>365</v>
      </c>
      <c r="M112" s="21">
        <f t="shared" si="19"/>
        <v>45932</v>
      </c>
      <c r="N112" s="21">
        <f t="shared" si="15"/>
        <v>45953</v>
      </c>
      <c r="O112" s="413">
        <v>130125</v>
      </c>
      <c r="P112" s="20" t="str">
        <f>IFERROR(VLOOKUP(Q112,Encerrados!#REF!,3,FALSE),
IFERROR(VLOOKUP(Q112,Encerrados!#REF!,3,FALSE),
IFERROR(VLOOKUP(Q112,Encerrados!#REF!,3,FALSE),
IFERROR(VLOOKUP(Q112,Encerrados!#REF!,3,FALSE),"-"))))</f>
        <v>-</v>
      </c>
      <c r="Q112" s="184" t="s">
        <v>99</v>
      </c>
      <c r="R112" s="46">
        <v>12600</v>
      </c>
      <c r="S112" s="47">
        <f t="shared" si="12"/>
        <v>46246</v>
      </c>
      <c r="T112" s="48">
        <v>66</v>
      </c>
      <c r="U112" s="252"/>
      <c r="V112" s="50">
        <f t="shared" si="13"/>
        <v>46246</v>
      </c>
      <c r="W112" t="e">
        <f t="shared" si="18"/>
        <v>#N/A</v>
      </c>
      <c r="X112" s="132">
        <f t="shared" si="14"/>
        <v>45953</v>
      </c>
    </row>
    <row r="113" spans="1:24" ht="14.25" customHeight="1">
      <c r="A113" s="25" t="s">
        <v>17</v>
      </c>
      <c r="B113" s="24">
        <v>45804</v>
      </c>
      <c r="C113" s="20">
        <f t="shared" si="8"/>
        <v>2025</v>
      </c>
      <c r="D113" s="30">
        <v>45799</v>
      </c>
      <c r="E113" s="26" t="s">
        <v>100</v>
      </c>
      <c r="F113" s="27">
        <f t="shared" ca="1" si="11"/>
        <v>65</v>
      </c>
      <c r="G113" s="27" t="str">
        <f>IFERROR(VLOOKUP(H113,Encerrados!#REF!,3,FALSE),
IFERROR(VLOOKUP(H113,Encerrados!#REF!,3,FALSE),
IFERROR(VLOOKUP(H113,Encerrados!#REF!,3,FALSE),
IFERROR(VLOOKUP(H113,Encerrados!#REF!,3,FALSE),"-"))))</f>
        <v>-</v>
      </c>
      <c r="H113" s="28" t="s">
        <v>101</v>
      </c>
      <c r="I113" s="29">
        <v>60000</v>
      </c>
      <c r="J113" s="25" t="s">
        <v>45</v>
      </c>
      <c r="K113" s="25">
        <v>49</v>
      </c>
      <c r="L113" s="11" t="s">
        <v>365</v>
      </c>
      <c r="M113" s="21">
        <f t="shared" si="19"/>
        <v>45946</v>
      </c>
      <c r="N113" s="21">
        <f t="shared" si="15"/>
        <v>45967</v>
      </c>
      <c r="O113" s="413">
        <v>130125</v>
      </c>
      <c r="P113" s="20" t="str">
        <f>IFERROR(VLOOKUP(Q113,Encerrados!#REF!,3,FALSE),
IFERROR(VLOOKUP(Q113,Encerrados!#REF!,3,FALSE),
IFERROR(VLOOKUP(Q113,Encerrados!#REF!,3,FALSE),
IFERROR(VLOOKUP(Q113,Encerrados!#REF!,3,FALSE),"-"))))</f>
        <v>-</v>
      </c>
      <c r="Q113" s="184" t="s">
        <v>99</v>
      </c>
      <c r="R113" s="46">
        <v>47400</v>
      </c>
      <c r="S113" s="47">
        <f t="shared" si="12"/>
        <v>46253</v>
      </c>
      <c r="T113" s="48">
        <v>65</v>
      </c>
      <c r="U113" s="252"/>
      <c r="V113" s="50">
        <f t="shared" si="13"/>
        <v>46253</v>
      </c>
      <c r="W113" t="e">
        <f t="shared" si="18"/>
        <v>#N/A</v>
      </c>
      <c r="X113" s="132">
        <f t="shared" si="14"/>
        <v>45967</v>
      </c>
    </row>
    <row r="114" spans="1:24" ht="14.25" customHeight="1">
      <c r="A114" s="25" t="s">
        <v>17</v>
      </c>
      <c r="B114" s="24">
        <v>45804</v>
      </c>
      <c r="C114" s="20">
        <f t="shared" si="8"/>
        <v>2025</v>
      </c>
      <c r="D114" s="30">
        <v>45799</v>
      </c>
      <c r="E114" s="26" t="s">
        <v>100</v>
      </c>
      <c r="F114" s="27">
        <f t="shared" ca="1" si="11"/>
        <v>65</v>
      </c>
      <c r="G114" s="27" t="str">
        <f>IFERROR(VLOOKUP(H114,Encerrados!#REF!,3,FALSE),
IFERROR(VLOOKUP(H114,Encerrados!#REF!,3,FALSE),
IFERROR(VLOOKUP(H114,Encerrados!#REF!,3,FALSE),
IFERROR(VLOOKUP(H114,Encerrados!#REF!,3,FALSE),"-"))))</f>
        <v>-</v>
      </c>
      <c r="H114" s="28" t="s">
        <v>101</v>
      </c>
      <c r="I114" s="29">
        <v>0</v>
      </c>
      <c r="J114" s="25" t="s">
        <v>45</v>
      </c>
      <c r="K114" s="25">
        <v>49</v>
      </c>
      <c r="L114" s="12" t="s">
        <v>368</v>
      </c>
      <c r="M114" s="21">
        <f t="shared" si="19"/>
        <v>45946</v>
      </c>
      <c r="N114" s="21">
        <f t="shared" si="15"/>
        <v>45967</v>
      </c>
      <c r="O114" s="413">
        <v>130225</v>
      </c>
      <c r="P114" s="20" t="str">
        <f>IFERROR(VLOOKUP(Q114,Encerrados!#REF!,3,FALSE),
IFERROR(VLOOKUP(Q114,Encerrados!#REF!,3,FALSE),
IFERROR(VLOOKUP(Q114,Encerrados!#REF!,3,FALSE),
IFERROR(VLOOKUP(Q114,Encerrados!#REF!,3,FALSE),"-"))))</f>
        <v>-</v>
      </c>
      <c r="Q114" s="184" t="s">
        <v>102</v>
      </c>
      <c r="R114" s="46">
        <v>9600</v>
      </c>
      <c r="S114" s="47">
        <f t="shared" si="12"/>
        <v>46253</v>
      </c>
      <c r="T114" s="48">
        <v>65</v>
      </c>
      <c r="U114" s="252"/>
      <c r="V114" s="50">
        <f t="shared" si="13"/>
        <v>46253</v>
      </c>
      <c r="W114" t="e">
        <f>VLOOKUP(Q114,Q166:Q290,1,0)</f>
        <v>#N/A</v>
      </c>
      <c r="X114" s="132">
        <f t="shared" si="14"/>
        <v>45967</v>
      </c>
    </row>
    <row r="115" spans="1:24" ht="14.25" customHeight="1">
      <c r="A115" s="25" t="s">
        <v>17</v>
      </c>
      <c r="B115" s="24">
        <v>45805</v>
      </c>
      <c r="C115" s="20">
        <f>YEAR(B115)</f>
        <v>2025</v>
      </c>
      <c r="D115" s="30">
        <v>45806</v>
      </c>
      <c r="E115" s="26" t="s">
        <v>103</v>
      </c>
      <c r="F115" s="27">
        <f t="shared" ca="1" si="11"/>
        <v>66</v>
      </c>
      <c r="G115" s="27" t="str">
        <f>IFERROR(VLOOKUP(H115,Encerrados!#REF!,3,FALSE),
IFERROR(VLOOKUP(H115,Encerrados!#REF!,3,FALSE),
IFERROR(VLOOKUP(H115,Encerrados!#REF!,3,FALSE),
IFERROR(VLOOKUP(H115,Encerrados!#REF!,3,FALSE),"-"))))</f>
        <v>-</v>
      </c>
      <c r="H115" s="28" t="s">
        <v>104</v>
      </c>
      <c r="I115" s="29">
        <v>72000</v>
      </c>
      <c r="J115" s="25" t="s">
        <v>60</v>
      </c>
      <c r="K115" s="25">
        <v>12</v>
      </c>
      <c r="L115" s="12" t="s">
        <v>368</v>
      </c>
      <c r="M115" s="21">
        <f>D115+(22*7)-7</f>
        <v>45953</v>
      </c>
      <c r="N115" s="21">
        <f>D115+24*7</f>
        <v>45974</v>
      </c>
      <c r="O115" s="413">
        <v>130325</v>
      </c>
      <c r="P115" s="20" t="str">
        <f>IFERROR(VLOOKUP(Q115,Encerrados!#REF!,3,FALSE),
IFERROR(VLOOKUP(Q115,Encerrados!#REF!,3,FALSE),
IFERROR(VLOOKUP(Q115,Encerrados!#REF!,3,FALSE),
IFERROR(VLOOKUP(Q115,Encerrados!#REF!,3,FALSE),"-"))))</f>
        <v>-</v>
      </c>
      <c r="Q115" s="184" t="s">
        <v>105</v>
      </c>
      <c r="R115" s="46">
        <v>42000</v>
      </c>
      <c r="S115" s="47">
        <f>D115+(T115*7)-1</f>
        <v>46267</v>
      </c>
      <c r="T115" s="48">
        <v>66</v>
      </c>
      <c r="U115" s="252"/>
      <c r="V115" s="50">
        <f>IFERROR(S115+U115," ")</f>
        <v>46267</v>
      </c>
      <c r="W115" t="e">
        <f>VLOOKUP(Q115,Q167:Q291,1,0)</f>
        <v>#N/A</v>
      </c>
      <c r="X115" s="132">
        <f t="shared" si="14"/>
        <v>45974</v>
      </c>
    </row>
    <row r="116" spans="1:24" ht="14.25" customHeight="1">
      <c r="A116" s="25" t="s">
        <v>17</v>
      </c>
      <c r="B116" s="24">
        <v>45805</v>
      </c>
      <c r="C116" s="20">
        <f>YEAR(B116)</f>
        <v>2025</v>
      </c>
      <c r="D116" s="30">
        <v>45806</v>
      </c>
      <c r="E116" s="26" t="s">
        <v>103</v>
      </c>
      <c r="F116" s="27">
        <f t="shared" ca="1" si="11"/>
        <v>67</v>
      </c>
      <c r="G116" s="27" t="str">
        <f>IFERROR(VLOOKUP(H116,Encerrados!#REF!,3,FALSE),
IFERROR(VLOOKUP(H116,Encerrados!#REF!,3,FALSE),
IFERROR(VLOOKUP(H116,Encerrados!#REF!,3,FALSE),
IFERROR(VLOOKUP(H116,Encerrados!#REF!,3,FALSE),"-"))))</f>
        <v>-</v>
      </c>
      <c r="H116" s="28" t="s">
        <v>104</v>
      </c>
      <c r="I116" s="29"/>
      <c r="J116" s="25" t="s">
        <v>60</v>
      </c>
      <c r="K116" s="25">
        <v>12</v>
      </c>
      <c r="L116" s="12" t="s">
        <v>368</v>
      </c>
      <c r="M116" s="21">
        <f>D116+(22*7)-7</f>
        <v>45953</v>
      </c>
      <c r="N116" s="21">
        <f>D116+24*7</f>
        <v>45974</v>
      </c>
      <c r="O116" s="413">
        <v>130225</v>
      </c>
      <c r="P116" s="20" t="str">
        <f>IFERROR(VLOOKUP(Q116,Encerrados!#REF!,3,FALSE),
IFERROR(VLOOKUP(Q116,Encerrados!#REF!,3,FALSE),
IFERROR(VLOOKUP(Q116,Encerrados!#REF!,3,FALSE),
IFERROR(VLOOKUP(Q116,Encerrados!#REF!,3,FALSE),"-"))))</f>
        <v>-</v>
      </c>
      <c r="Q116" s="184" t="s">
        <v>102</v>
      </c>
      <c r="R116" s="46">
        <v>27000</v>
      </c>
      <c r="S116" s="47">
        <f>D116+(T116*7)-1</f>
        <v>46274</v>
      </c>
      <c r="T116" s="48">
        <v>67</v>
      </c>
      <c r="U116" s="252"/>
      <c r="V116" s="50">
        <f>IFERROR(S116+U116," ")</f>
        <v>46274</v>
      </c>
      <c r="W116" t="e">
        <f>VLOOKUP(Q116,Q168:Q292,1,0)</f>
        <v>#N/A</v>
      </c>
      <c r="X116" s="132">
        <f t="shared" si="14"/>
        <v>45974</v>
      </c>
    </row>
    <row r="117" spans="1:24" ht="14.25" customHeight="1">
      <c r="A117" s="25" t="s">
        <v>17</v>
      </c>
      <c r="B117" s="24">
        <v>45807</v>
      </c>
      <c r="C117" s="20">
        <f t="shared" si="8"/>
        <v>2025</v>
      </c>
      <c r="D117" s="30">
        <v>45806</v>
      </c>
      <c r="E117" s="26" t="s">
        <v>106</v>
      </c>
      <c r="F117" s="27">
        <f t="shared" ca="1" si="11"/>
        <v>67</v>
      </c>
      <c r="G117" s="27" t="str">
        <f>IFERROR(VLOOKUP(H117,Encerrados!#REF!,3,FALSE),
IFERROR(VLOOKUP(H117,Encerrados!#REF!,3,FALSE),
IFERROR(VLOOKUP(H117,Encerrados!#REF!,3,FALSE),
IFERROR(VLOOKUP(H117,Encerrados!#REF!,3,FALSE),"-"))))</f>
        <v>-</v>
      </c>
      <c r="H117" s="28" t="s">
        <v>107</v>
      </c>
      <c r="I117" s="29">
        <v>42000</v>
      </c>
      <c r="J117" s="25" t="s">
        <v>45</v>
      </c>
      <c r="K117" s="25">
        <v>44</v>
      </c>
      <c r="L117" s="11" t="s">
        <v>365</v>
      </c>
      <c r="M117" s="21">
        <f t="shared" si="19"/>
        <v>45953</v>
      </c>
      <c r="N117" s="21">
        <f t="shared" si="15"/>
        <v>45974</v>
      </c>
      <c r="O117" s="413">
        <v>130425</v>
      </c>
      <c r="P117" s="20" t="str">
        <f>IFERROR(VLOOKUP(Q117,Encerrados!#REF!,3,FALSE),
IFERROR(VLOOKUP(Q117,Encerrados!#REF!,3,FALSE),
IFERROR(VLOOKUP(Q117,Encerrados!#REF!,3,FALSE),
IFERROR(VLOOKUP(Q117,Encerrados!#REF!,3,FALSE),"-"))))</f>
        <v>-</v>
      </c>
      <c r="Q117" s="184" t="s">
        <v>108</v>
      </c>
      <c r="R117" s="46">
        <v>23000</v>
      </c>
      <c r="S117" s="47">
        <f t="shared" si="12"/>
        <v>46274</v>
      </c>
      <c r="T117" s="48">
        <v>67</v>
      </c>
      <c r="U117" s="252"/>
      <c r="V117" s="50">
        <f t="shared" si="13"/>
        <v>46274</v>
      </c>
      <c r="W117" t="e">
        <f>VLOOKUP(Q117,Q169:Q293,1,0)</f>
        <v>#N/A</v>
      </c>
      <c r="X117" s="132">
        <f t="shared" si="14"/>
        <v>45974</v>
      </c>
    </row>
    <row r="118" spans="1:24" ht="14.25" customHeight="1">
      <c r="A118" s="25" t="s">
        <v>17</v>
      </c>
      <c r="B118" s="24">
        <v>45807</v>
      </c>
      <c r="C118" s="20">
        <f t="shared" ref="C118" si="20">YEAR(B118)</f>
        <v>2025</v>
      </c>
      <c r="D118" s="30">
        <v>45806</v>
      </c>
      <c r="E118" s="26" t="s">
        <v>106</v>
      </c>
      <c r="F118" s="27">
        <f t="shared" ref="F118" ca="1" si="21">IF((TODAY()-D118)/7&gt;T118,T118,(TODAY()-D118)/7)</f>
        <v>67</v>
      </c>
      <c r="G118" s="27" t="str">
        <f>IFERROR(VLOOKUP(H118,Encerrados!#REF!,3,FALSE),
IFERROR(VLOOKUP(H118,Encerrados!#REF!,3,FALSE),
IFERROR(VLOOKUP(H118,Encerrados!#REF!,3,FALSE),
IFERROR(VLOOKUP(H118,Encerrados!#REF!,3,FALSE),"-"))))</f>
        <v>-</v>
      </c>
      <c r="H118" s="28" t="s">
        <v>107</v>
      </c>
      <c r="I118" s="29"/>
      <c r="J118" s="25" t="s">
        <v>45</v>
      </c>
      <c r="K118" s="25">
        <v>44</v>
      </c>
      <c r="L118" s="11" t="s">
        <v>365</v>
      </c>
      <c r="M118" s="21">
        <f t="shared" ref="M118" si="22">D118+(22*7)-7</f>
        <v>45953</v>
      </c>
      <c r="N118" s="21">
        <f t="shared" ref="N118" si="23">D118+24*7</f>
        <v>45974</v>
      </c>
      <c r="O118" s="413">
        <v>130525</v>
      </c>
      <c r="P118" s="20" t="str">
        <f>IFERROR(VLOOKUP(Q118,Encerrados!#REF!,3,FALSE),
IFERROR(VLOOKUP(Q118,Encerrados!#REF!,3,FALSE),
IFERROR(VLOOKUP(Q118,Encerrados!#REF!,3,FALSE),
IFERROR(VLOOKUP(Q118,Encerrados!#REF!,3,FALSE),"-"))))</f>
        <v>-</v>
      </c>
      <c r="Q118" s="184" t="s">
        <v>109</v>
      </c>
      <c r="R118" s="46">
        <v>17000</v>
      </c>
      <c r="S118" s="47">
        <f t="shared" ref="S118" si="24">D118+(T118*7)-1</f>
        <v>46274</v>
      </c>
      <c r="T118" s="48">
        <v>67</v>
      </c>
      <c r="U118" s="252"/>
      <c r="V118" s="50">
        <f t="shared" ref="V118" si="25">IFERROR(S118+U118," ")</f>
        <v>46274</v>
      </c>
      <c r="W118" t="e">
        <f>VLOOKUP(Q118,Q170:Q294,1,0)</f>
        <v>#N/A</v>
      </c>
      <c r="X118" s="132">
        <f t="shared" si="14"/>
        <v>45974</v>
      </c>
    </row>
    <row r="119" spans="1:24" ht="14.25" customHeight="1">
      <c r="A119" s="25" t="s">
        <v>17</v>
      </c>
      <c r="B119" s="24">
        <v>45808</v>
      </c>
      <c r="C119" s="20">
        <f t="shared" si="8"/>
        <v>2025</v>
      </c>
      <c r="D119" s="30">
        <v>45806</v>
      </c>
      <c r="E119" s="26" t="s">
        <v>110</v>
      </c>
      <c r="F119" s="27">
        <f t="shared" ca="1" si="11"/>
        <v>67</v>
      </c>
      <c r="G119" s="27" t="str">
        <f>IFERROR(VLOOKUP(H119,Encerrados!#REF!,3,FALSE),
IFERROR(VLOOKUP(H119,Encerrados!#REF!,3,FALSE),
IFERROR(VLOOKUP(H119,Encerrados!#REF!,3,FALSE),
IFERROR(VLOOKUP(H119,Encerrados!#REF!,3,FALSE),"-"))))</f>
        <v>-</v>
      </c>
      <c r="H119" s="28" t="s">
        <v>111</v>
      </c>
      <c r="I119" s="29">
        <v>42000</v>
      </c>
      <c r="J119" s="25" t="s">
        <v>60</v>
      </c>
      <c r="K119" s="25">
        <v>20</v>
      </c>
      <c r="L119" s="11" t="s">
        <v>507</v>
      </c>
      <c r="M119" s="21">
        <f t="shared" si="19"/>
        <v>45953</v>
      </c>
      <c r="N119" s="21">
        <f t="shared" si="15"/>
        <v>45974</v>
      </c>
      <c r="O119" s="413">
        <v>130625</v>
      </c>
      <c r="P119" s="20" t="str">
        <f>IFERROR(VLOOKUP(Q119,Encerrados!#REF!,3,FALSE),
IFERROR(VLOOKUP(Q119,Encerrados!#REF!,3,FALSE),
IFERROR(VLOOKUP(Q119,Encerrados!#REF!,3,FALSE),
IFERROR(VLOOKUP(Q119,Encerrados!#REF!,3,FALSE),"-"))))</f>
        <v>-</v>
      </c>
      <c r="Q119" s="184" t="s">
        <v>113</v>
      </c>
      <c r="R119" s="46">
        <v>40000</v>
      </c>
      <c r="S119" s="47">
        <f t="shared" si="12"/>
        <v>46274</v>
      </c>
      <c r="T119" s="48">
        <v>67</v>
      </c>
      <c r="U119" s="252"/>
      <c r="V119" s="50">
        <f t="shared" si="13"/>
        <v>46274</v>
      </c>
      <c r="W119" t="e">
        <f>VLOOKUP(Q119,Q170:Q294,1,0)</f>
        <v>#N/A</v>
      </c>
      <c r="X119" s="132">
        <f t="shared" si="14"/>
        <v>45974</v>
      </c>
    </row>
    <row r="120" spans="1:24" ht="14.25" customHeight="1">
      <c r="A120" s="25" t="s">
        <v>17</v>
      </c>
      <c r="B120" s="24">
        <v>45814</v>
      </c>
      <c r="C120" s="20">
        <f t="shared" si="8"/>
        <v>2025</v>
      </c>
      <c r="D120" s="30">
        <v>45813</v>
      </c>
      <c r="E120" s="26" t="s">
        <v>114</v>
      </c>
      <c r="F120" s="27">
        <f t="shared" ca="1" si="11"/>
        <v>68.714285714285708</v>
      </c>
      <c r="G120" s="27" t="str">
        <f>IFERROR(VLOOKUP(H120,Encerrados!#REF!,3,FALSE),
IFERROR(VLOOKUP(H120,Encerrados!#REF!,3,FALSE),
IFERROR(VLOOKUP(H120,Encerrados!#REF!,3,FALSE),
IFERROR(VLOOKUP(H120,Encerrados!#REF!,3,FALSE),"-"))))</f>
        <v>-</v>
      </c>
      <c r="H120" s="28" t="s">
        <v>115</v>
      </c>
      <c r="I120" s="29">
        <v>63000</v>
      </c>
      <c r="J120" s="25" t="s">
        <v>20</v>
      </c>
      <c r="K120" s="25">
        <v>28</v>
      </c>
      <c r="L120" s="11" t="s">
        <v>365</v>
      </c>
      <c r="M120" s="21">
        <f t="shared" si="19"/>
        <v>45960</v>
      </c>
      <c r="N120" s="21">
        <f t="shared" si="15"/>
        <v>45981</v>
      </c>
      <c r="O120" s="413">
        <v>130725</v>
      </c>
      <c r="P120" s="20" t="str">
        <f>IFERROR(VLOOKUP(Q120,Encerrados!#REF!,3,FALSE),
IFERROR(VLOOKUP(Q120,Encerrados!#REF!,3,FALSE),
IFERROR(VLOOKUP(Q120,Encerrados!#REF!,3,FALSE),
IFERROR(VLOOKUP(Q120,Encerrados!#REF!,3,FALSE),"-"))))</f>
        <v>-</v>
      </c>
      <c r="Q120" s="184" t="s">
        <v>116</v>
      </c>
      <c r="R120" s="46">
        <v>54000</v>
      </c>
      <c r="S120" s="47">
        <f t="shared" si="12"/>
        <v>46302</v>
      </c>
      <c r="T120" s="48">
        <v>70</v>
      </c>
      <c r="U120" s="252"/>
      <c r="V120" s="50">
        <f t="shared" si="13"/>
        <v>46302</v>
      </c>
      <c r="W120" t="e">
        <f>VLOOKUP(Q120,Q172:Q296,1,0)</f>
        <v>#N/A</v>
      </c>
      <c r="X120" s="132">
        <f t="shared" si="14"/>
        <v>45981</v>
      </c>
    </row>
    <row r="121" spans="1:24" ht="14.25" customHeight="1">
      <c r="A121" s="25" t="s">
        <v>17</v>
      </c>
      <c r="B121" s="24">
        <v>45821</v>
      </c>
      <c r="C121" s="20">
        <f t="shared" ref="C121:C150" si="26">YEAR(B121)</f>
        <v>2025</v>
      </c>
      <c r="D121" s="30">
        <v>45820</v>
      </c>
      <c r="E121" s="26" t="s">
        <v>114</v>
      </c>
      <c r="F121" s="27">
        <f t="shared" ca="1" si="11"/>
        <v>67.714285714285708</v>
      </c>
      <c r="G121" s="27" t="str">
        <f>IFERROR(VLOOKUP(H121,Encerrados!#REF!,3,FALSE),
IFERROR(VLOOKUP(H121,Encerrados!#REF!,3,FALSE),
IFERROR(VLOOKUP(H121,Encerrados!#REF!,3,FALSE),
IFERROR(VLOOKUP(H121,Encerrados!#REF!,3,FALSE),"-"))))</f>
        <v>-</v>
      </c>
      <c r="H121" s="28" t="s">
        <v>115</v>
      </c>
      <c r="I121" s="29">
        <v>63000</v>
      </c>
      <c r="J121" s="25" t="s">
        <v>20</v>
      </c>
      <c r="K121" s="25">
        <v>29</v>
      </c>
      <c r="L121" s="11" t="s">
        <v>365</v>
      </c>
      <c r="M121" s="21">
        <f t="shared" si="19"/>
        <v>45967</v>
      </c>
      <c r="N121" s="21">
        <f t="shared" si="15"/>
        <v>45988</v>
      </c>
      <c r="O121" s="413">
        <v>130825</v>
      </c>
      <c r="P121" s="20" t="str">
        <f>IFERROR(VLOOKUP(Q121,Encerrados!#REF!,3,FALSE),
IFERROR(VLOOKUP(Q121,Encerrados!#REF!,3,FALSE),
IFERROR(VLOOKUP(Q121,Encerrados!#REF!,3,FALSE),
IFERROR(VLOOKUP(Q121,Encerrados!#REF!,3,FALSE),"-"))))</f>
        <v>-</v>
      </c>
      <c r="Q121" s="184" t="s">
        <v>117</v>
      </c>
      <c r="R121" s="46">
        <v>45000</v>
      </c>
      <c r="S121" s="47">
        <f t="shared" si="12"/>
        <v>46302</v>
      </c>
      <c r="T121" s="48">
        <v>69</v>
      </c>
      <c r="U121" s="252"/>
      <c r="V121" s="50">
        <f t="shared" si="13"/>
        <v>46302</v>
      </c>
      <c r="W121" t="e">
        <f>VLOOKUP(Q121,Q173:Q297,1,0)</f>
        <v>#N/A</v>
      </c>
      <c r="X121" s="132">
        <f t="shared" si="14"/>
        <v>45988</v>
      </c>
    </row>
    <row r="122" spans="1:24" ht="14.25" customHeight="1">
      <c r="A122" s="25" t="s">
        <v>17</v>
      </c>
      <c r="B122" s="24">
        <v>45821</v>
      </c>
      <c r="C122" s="20">
        <f t="shared" si="26"/>
        <v>2025</v>
      </c>
      <c r="D122" s="30">
        <v>45820</v>
      </c>
      <c r="E122" s="26" t="s">
        <v>114</v>
      </c>
      <c r="F122" s="27">
        <f t="shared" ca="1" si="11"/>
        <v>67.714285714285708</v>
      </c>
      <c r="G122" s="27" t="str">
        <f>IFERROR(VLOOKUP(H122,Encerrados!#REF!,3,FALSE),
IFERROR(VLOOKUP(H122,Encerrados!#REF!,3,FALSE),
IFERROR(VLOOKUP(H122,Encerrados!#REF!,3,FALSE),
IFERROR(VLOOKUP(H122,Encerrados!#REF!,3,FALSE),"-"))))</f>
        <v>-</v>
      </c>
      <c r="H122" s="28" t="s">
        <v>115</v>
      </c>
      <c r="I122" s="29"/>
      <c r="J122" s="25" t="s">
        <v>20</v>
      </c>
      <c r="K122" s="25">
        <v>29</v>
      </c>
      <c r="L122" s="11" t="s">
        <v>365</v>
      </c>
      <c r="M122" s="21">
        <f t="shared" si="19"/>
        <v>45967</v>
      </c>
      <c r="N122" s="21">
        <f t="shared" si="15"/>
        <v>45988</v>
      </c>
      <c r="O122" s="413">
        <v>130925</v>
      </c>
      <c r="P122" s="20" t="str">
        <f>IFERROR(VLOOKUP(Q122,Encerrados!#REF!,3,FALSE),
IFERROR(VLOOKUP(Q122,Encerrados!#REF!,3,FALSE),
IFERROR(VLOOKUP(Q122,Encerrados!#REF!,3,FALSE),
IFERROR(VLOOKUP(Q122,Encerrados!#REF!,3,FALSE),"-"))))</f>
        <v>-</v>
      </c>
      <c r="Q122" s="184" t="s">
        <v>118</v>
      </c>
      <c r="R122" s="46">
        <v>22000</v>
      </c>
      <c r="S122" s="47">
        <f t="shared" si="12"/>
        <v>46302</v>
      </c>
      <c r="T122" s="48">
        <v>69</v>
      </c>
      <c r="U122" s="252"/>
      <c r="V122" s="50">
        <f t="shared" si="13"/>
        <v>46302</v>
      </c>
      <c r="W122" t="e">
        <f>VLOOKUP(Q122,Q174:Q298,1,0)</f>
        <v>#N/A</v>
      </c>
      <c r="X122" s="132">
        <f t="shared" si="14"/>
        <v>45988</v>
      </c>
    </row>
    <row r="123" spans="1:24" ht="14.25" customHeight="1">
      <c r="A123" s="25" t="s">
        <v>17</v>
      </c>
      <c r="B123" s="24">
        <v>45818</v>
      </c>
      <c r="C123" s="20">
        <f t="shared" si="26"/>
        <v>2025</v>
      </c>
      <c r="D123" s="30">
        <v>45820</v>
      </c>
      <c r="E123" s="26" t="s">
        <v>119</v>
      </c>
      <c r="F123" s="27">
        <f t="shared" ca="1" si="11"/>
        <v>67</v>
      </c>
      <c r="G123" s="27" t="str">
        <f>IFERROR(VLOOKUP(H123,Encerrados!#REF!,3,FALSE),
IFERROR(VLOOKUP(H123,Encerrados!#REF!,3,FALSE),
IFERROR(VLOOKUP(H123,Encerrados!#REF!,3,FALSE),
IFERROR(VLOOKUP(H123,Encerrados!#REF!,3,FALSE),"-"))))</f>
        <v>-</v>
      </c>
      <c r="H123" s="28" t="s">
        <v>120</v>
      </c>
      <c r="I123" s="29">
        <v>50000</v>
      </c>
      <c r="J123" s="25" t="s">
        <v>20</v>
      </c>
      <c r="K123" s="25">
        <v>22</v>
      </c>
      <c r="L123" s="12" t="s">
        <v>368</v>
      </c>
      <c r="M123" s="21">
        <f t="shared" si="19"/>
        <v>45967</v>
      </c>
      <c r="N123" s="21">
        <f t="shared" si="15"/>
        <v>45988</v>
      </c>
      <c r="O123" s="413">
        <v>131025</v>
      </c>
      <c r="P123" s="20" t="str">
        <f>IFERROR(VLOOKUP(Q123,Encerrados!#REF!,3,FALSE),
IFERROR(VLOOKUP(Q123,Encerrados!#REF!,3,FALSE),
IFERROR(VLOOKUP(Q123,Encerrados!#REF!,3,FALSE),
IFERROR(VLOOKUP(Q123,Encerrados!#REF!,3,FALSE),"-"))))</f>
        <v>-</v>
      </c>
      <c r="Q123" s="184" t="s">
        <v>121</v>
      </c>
      <c r="R123" s="46">
        <f>I123*0.96</f>
        <v>48000</v>
      </c>
      <c r="S123" s="47">
        <f t="shared" si="12"/>
        <v>46288</v>
      </c>
      <c r="T123" s="48">
        <v>67</v>
      </c>
      <c r="U123" s="252"/>
      <c r="V123" s="50">
        <f t="shared" si="13"/>
        <v>46288</v>
      </c>
      <c r="W123" t="e">
        <f>VLOOKUP(Q123,Q175:Q299,1,0)</f>
        <v>#N/A</v>
      </c>
      <c r="X123" s="132">
        <f t="shared" si="14"/>
        <v>45988</v>
      </c>
    </row>
    <row r="124" spans="1:24" ht="16.2">
      <c r="A124" s="146" t="s">
        <v>17</v>
      </c>
      <c r="B124" s="147">
        <v>45828</v>
      </c>
      <c r="C124" s="146">
        <f>YEAR(B124)</f>
        <v>2025</v>
      </c>
      <c r="D124" s="148">
        <v>45827</v>
      </c>
      <c r="E124" s="149" t="s">
        <v>122</v>
      </c>
      <c r="F124" s="150">
        <f ca="1">IF((TODAY()-D124)/7&gt;T124,T124,(TODAY()-D124)/7)</f>
        <v>66.714285714285708</v>
      </c>
      <c r="G124" s="150" t="str">
        <f>IFERROR(VLOOKUP(H124,Encerrados!#REF!,3,FALSE),
IFERROR(VLOOKUP(H124,Encerrados!#REF!,3,FALSE),
IFERROR(VLOOKUP(H124,Encerrados!#REF!,3,FALSE),
IFERROR(VLOOKUP(H124,Encerrados!#REF!,3,FALSE),"-"))))</f>
        <v>-</v>
      </c>
      <c r="H124" s="151" t="s">
        <v>123</v>
      </c>
      <c r="I124" s="152">
        <v>42000</v>
      </c>
      <c r="J124" s="146" t="s">
        <v>45</v>
      </c>
      <c r="K124" s="153">
        <v>57</v>
      </c>
      <c r="L124" s="249" t="s">
        <v>376</v>
      </c>
      <c r="M124" s="21">
        <f>D124+(7*7)-7</f>
        <v>45869</v>
      </c>
      <c r="N124" s="21">
        <f>D124+24*7</f>
        <v>45995</v>
      </c>
      <c r="O124" s="413">
        <v>131625</v>
      </c>
      <c r="P124" s="20" t="str">
        <f>IFERROR(VLOOKUP(Q124,Encerrados!#REF!,3,FALSE),
IFERROR(VLOOKUP(Q124,Encerrados!#REF!,3,FALSE),
IFERROR(VLOOKUP(Q124,Encerrados!#REF!,3,FALSE),
IFERROR(VLOOKUP(Q124,Encerrados!#REF!,3,FALSE),"-"))))</f>
        <v>-</v>
      </c>
      <c r="Q124" s="184" t="s">
        <v>508</v>
      </c>
      <c r="R124" s="46">
        <f>I124*0.98</f>
        <v>41160</v>
      </c>
      <c r="S124" s="47">
        <f>D124+(T124*7)-1</f>
        <v>46302</v>
      </c>
      <c r="T124" s="48">
        <v>68</v>
      </c>
      <c r="U124" s="252"/>
      <c r="V124" s="163">
        <f>IFERROR(S124+U124," ")</f>
        <v>46302</v>
      </c>
      <c r="W124" t="e">
        <f>VLOOKUP(Q124,Q178:Q305,1,0)</f>
        <v>#N/A</v>
      </c>
      <c r="X124" s="132">
        <f>N124</f>
        <v>45995</v>
      </c>
    </row>
    <row r="125" spans="1:24" ht="14.25" customHeight="1">
      <c r="A125" s="25" t="s">
        <v>17</v>
      </c>
      <c r="B125" s="24">
        <v>45827</v>
      </c>
      <c r="C125" s="20">
        <f t="shared" ref="C125:C128" si="27">YEAR(B125)</f>
        <v>2025</v>
      </c>
      <c r="D125" s="30">
        <v>45827</v>
      </c>
      <c r="E125" s="26" t="s">
        <v>125</v>
      </c>
      <c r="F125" s="27">
        <f ca="1">IF((TODAY()-D125)/7&gt;T125,T125,(TODAY()-D125)/7)</f>
        <v>66.714285714285708</v>
      </c>
      <c r="G125" s="27" t="str">
        <f>IFERROR(VLOOKUP(H125,Encerrados!#REF!,3,FALSE),
IFERROR(VLOOKUP(H125,Encerrados!#REF!,3,FALSE),
IFERROR(VLOOKUP(H125,Encerrados!#REF!,3,FALSE),
IFERROR(VLOOKUP(H125,Encerrados!#REF!,3,FALSE),"-"))))</f>
        <v>-</v>
      </c>
      <c r="H125" s="28" t="s">
        <v>123</v>
      </c>
      <c r="I125" s="29">
        <v>42000</v>
      </c>
      <c r="J125" s="25" t="s">
        <v>45</v>
      </c>
      <c r="K125" s="25">
        <v>57</v>
      </c>
      <c r="L125" s="249" t="s">
        <v>376</v>
      </c>
      <c r="M125" s="21">
        <f>D125+(22*7)-7</f>
        <v>45974</v>
      </c>
      <c r="N125" s="21">
        <f t="shared" ref="N125:N128" si="28">D125+24*7</f>
        <v>45995</v>
      </c>
      <c r="O125" s="413">
        <v>131125</v>
      </c>
      <c r="P125" s="20" t="str">
        <f>IFERROR(VLOOKUP(Q125,Encerrados!#REF!,3,FALSE),
IFERROR(VLOOKUP(Q125,Encerrados!#REF!,3,FALSE),
IFERROR(VLOOKUP(Q125,Encerrados!#REF!,3,FALSE),
IFERROR(VLOOKUP(Q125,Encerrados!#REF!,3,FALSE),"-"))))</f>
        <v>-</v>
      </c>
      <c r="Q125" s="184" t="s">
        <v>126</v>
      </c>
      <c r="R125" s="46">
        <v>30000</v>
      </c>
      <c r="S125" s="47">
        <f t="shared" ref="S125:S128" si="29">D125+(T125*7)-1</f>
        <v>46302</v>
      </c>
      <c r="T125" s="48">
        <v>68</v>
      </c>
      <c r="U125" s="252"/>
      <c r="V125" s="50">
        <f>IFERROR(S125+U125," ")</f>
        <v>46302</v>
      </c>
      <c r="W125" t="e">
        <f>VLOOKUP(Q125,Q178:Q303,1,0)</f>
        <v>#N/A</v>
      </c>
      <c r="X125" s="132">
        <f t="shared" si="14"/>
        <v>45995</v>
      </c>
    </row>
    <row r="126" spans="1:24" ht="14.25" customHeight="1">
      <c r="A126" s="25" t="s">
        <v>17</v>
      </c>
      <c r="B126" s="24">
        <v>45827</v>
      </c>
      <c r="C126" s="20">
        <f t="shared" si="27"/>
        <v>2025</v>
      </c>
      <c r="D126" s="30">
        <v>45827</v>
      </c>
      <c r="E126" s="26" t="s">
        <v>125</v>
      </c>
      <c r="F126" s="27">
        <f ca="1">IF((TODAY()-D126)/7&gt;T126,T126,(TODAY()-D126)/7)</f>
        <v>66.714285714285708</v>
      </c>
      <c r="G126" s="27" t="str">
        <f>IFERROR(VLOOKUP(H126,Encerrados!#REF!,3,FALSE),
IFERROR(VLOOKUP(H126,Encerrados!#REF!,3,FALSE),
IFERROR(VLOOKUP(H126,Encerrados!#REF!,3,FALSE),
IFERROR(VLOOKUP(H126,Encerrados!#REF!,3,FALSE),"-"))))</f>
        <v>-</v>
      </c>
      <c r="H126" s="28" t="s">
        <v>123</v>
      </c>
      <c r="I126" s="29"/>
      <c r="J126" s="25" t="s">
        <v>45</v>
      </c>
      <c r="K126" s="25">
        <v>57</v>
      </c>
      <c r="L126" s="249" t="s">
        <v>376</v>
      </c>
      <c r="M126" s="21">
        <f>D126+(22*7)-7</f>
        <v>45974</v>
      </c>
      <c r="N126" s="21">
        <f t="shared" si="28"/>
        <v>45995</v>
      </c>
      <c r="O126" s="413">
        <v>131225</v>
      </c>
      <c r="P126" s="20" t="str">
        <f>IFERROR(VLOOKUP(Q126,Encerrados!#REF!,3,FALSE),
IFERROR(VLOOKUP(Q126,Encerrados!#REF!,3,FALSE),
IFERROR(VLOOKUP(Q126,Encerrados!#REF!,3,FALSE),
IFERROR(VLOOKUP(Q126,Encerrados!#REF!,3,FALSE),"-"))))</f>
        <v>-</v>
      </c>
      <c r="Q126" s="184" t="s">
        <v>127</v>
      </c>
      <c r="R126" s="46">
        <v>10000</v>
      </c>
      <c r="S126" s="47">
        <f t="shared" si="29"/>
        <v>46302</v>
      </c>
      <c r="T126" s="48">
        <v>68</v>
      </c>
      <c r="U126" s="252"/>
      <c r="V126" s="50">
        <f>IFERROR(S126+U126," ")</f>
        <v>46302</v>
      </c>
      <c r="W126" t="e">
        <f>VLOOKUP(Q126,Q179:Q304,1,0)</f>
        <v>#N/A</v>
      </c>
      <c r="X126" s="132">
        <f t="shared" si="14"/>
        <v>45995</v>
      </c>
    </row>
    <row r="127" spans="1:24" ht="14.25" customHeight="1">
      <c r="A127" s="25" t="s">
        <v>17</v>
      </c>
      <c r="B127" s="24">
        <v>45828</v>
      </c>
      <c r="C127" s="20">
        <f t="shared" si="27"/>
        <v>2025</v>
      </c>
      <c r="D127" s="30">
        <v>45827</v>
      </c>
      <c r="E127" s="26" t="s">
        <v>128</v>
      </c>
      <c r="F127" s="27">
        <f ca="1">IF((TODAY()-D127)/7&gt;T127,T127,(TODAY()-D127)/7)</f>
        <v>66</v>
      </c>
      <c r="G127" s="27" t="str">
        <f>IFERROR(VLOOKUP(H127,Encerrados!#REF!,3,FALSE),
IFERROR(VLOOKUP(H127,Encerrados!#REF!,3,FALSE),
IFERROR(VLOOKUP(H127,Encerrados!#REF!,3,FALSE),
IFERROR(VLOOKUP(H127,Encerrados!#REF!,3,FALSE),"-"))))</f>
        <v>-</v>
      </c>
      <c r="H127" s="28" t="s">
        <v>129</v>
      </c>
      <c r="I127" s="29">
        <v>38000</v>
      </c>
      <c r="J127" s="25" t="s">
        <v>20</v>
      </c>
      <c r="K127" s="25">
        <v>8</v>
      </c>
      <c r="L127" s="12" t="s">
        <v>368</v>
      </c>
      <c r="M127" s="21">
        <f>D127+(22*7)-7</f>
        <v>45974</v>
      </c>
      <c r="N127" s="21">
        <f t="shared" si="28"/>
        <v>45995</v>
      </c>
      <c r="O127" s="413">
        <v>131425</v>
      </c>
      <c r="P127" s="20" t="str">
        <f>IFERROR(VLOOKUP(Q127,Encerrados!#REF!,3,FALSE),
IFERROR(VLOOKUP(Q127,Encerrados!#REF!,3,FALSE),
IFERROR(VLOOKUP(Q127,Encerrados!#REF!,3,FALSE),
IFERROR(VLOOKUP(Q127,Encerrados!#REF!,3,FALSE),"-"))))</f>
        <v>-</v>
      </c>
      <c r="Q127" s="184" t="s">
        <v>130</v>
      </c>
      <c r="R127" s="46">
        <v>36000</v>
      </c>
      <c r="S127" s="47">
        <f t="shared" si="29"/>
        <v>46288</v>
      </c>
      <c r="T127" s="48">
        <v>66</v>
      </c>
      <c r="U127" s="252"/>
      <c r="V127" s="50">
        <f>IFERROR(S127+U127," ")</f>
        <v>46288</v>
      </c>
      <c r="W127" s="161" t="s">
        <v>127</v>
      </c>
      <c r="X127" s="132">
        <f t="shared" si="14"/>
        <v>45995</v>
      </c>
    </row>
    <row r="128" spans="1:24" ht="14.25" customHeight="1">
      <c r="A128" s="25" t="s">
        <v>17</v>
      </c>
      <c r="B128" s="24">
        <v>45827</v>
      </c>
      <c r="C128" s="20">
        <f t="shared" si="27"/>
        <v>2025</v>
      </c>
      <c r="D128" s="30">
        <v>45827</v>
      </c>
      <c r="E128" s="26" t="s">
        <v>131</v>
      </c>
      <c r="F128" s="27">
        <f t="shared" ca="1" si="11"/>
        <v>66.714285714285708</v>
      </c>
      <c r="G128" s="27" t="str">
        <f>IFERROR(VLOOKUP(H128,Encerrados!#REF!,3,FALSE),
IFERROR(VLOOKUP(H128,Encerrados!#REF!,3,FALSE),
IFERROR(VLOOKUP(H128,Encerrados!#REF!,3,FALSE),
IFERROR(VLOOKUP(H128,Encerrados!#REF!,3,FALSE),"-"))))</f>
        <v>-</v>
      </c>
      <c r="H128" s="28" t="s">
        <v>132</v>
      </c>
      <c r="I128" s="29">
        <v>72000</v>
      </c>
      <c r="J128" s="25" t="s">
        <v>20</v>
      </c>
      <c r="K128" s="25">
        <v>27</v>
      </c>
      <c r="L128" s="12" t="s">
        <v>368</v>
      </c>
      <c r="M128" s="21">
        <f t="shared" si="19"/>
        <v>45974</v>
      </c>
      <c r="N128" s="21">
        <f t="shared" si="28"/>
        <v>45995</v>
      </c>
      <c r="O128" s="413">
        <v>131525</v>
      </c>
      <c r="P128" s="20" t="str">
        <f>IFERROR(VLOOKUP(Q128,Encerrados!#REF!,3,FALSE),
IFERROR(VLOOKUP(Q128,Encerrados!#REF!,3,FALSE),
IFERROR(VLOOKUP(Q128,Encerrados!#REF!,3,FALSE),
IFERROR(VLOOKUP(Q128,Encerrados!#REF!,3,FALSE),"-"))))</f>
        <v>-</v>
      </c>
      <c r="Q128" s="184" t="s">
        <v>133</v>
      </c>
      <c r="R128" s="46">
        <v>64100</v>
      </c>
      <c r="S128" s="47">
        <f t="shared" si="29"/>
        <v>46295</v>
      </c>
      <c r="T128" s="48">
        <v>67</v>
      </c>
      <c r="U128" s="252"/>
      <c r="V128" s="50">
        <f t="shared" si="13"/>
        <v>46295</v>
      </c>
      <c r="W128" s="161" t="s">
        <v>509</v>
      </c>
      <c r="X128" s="132">
        <f t="shared" si="14"/>
        <v>45995</v>
      </c>
    </row>
    <row r="129" spans="1:24" ht="14.25" customHeight="1">
      <c r="A129" s="25" t="s">
        <v>17</v>
      </c>
      <c r="B129" s="24">
        <v>45836</v>
      </c>
      <c r="C129" s="20">
        <f t="shared" si="26"/>
        <v>2025</v>
      </c>
      <c r="D129" s="30">
        <v>45834</v>
      </c>
      <c r="E129" s="26" t="s">
        <v>134</v>
      </c>
      <c r="F129" s="27">
        <f t="shared" ref="F129:F140" ca="1" si="30">IF((TODAY()-D129)/7&gt;T129,T129,(TODAY()-D129)/7)</f>
        <v>65.714285714285708</v>
      </c>
      <c r="G129" s="27" t="str">
        <f>IFERROR(VLOOKUP(H129,Encerrados!#REF!,3,FALSE),
IFERROR(VLOOKUP(H129,Encerrados!#REF!,3,FALSE),
IFERROR(VLOOKUP(H129,Encerrados!#REF!,3,FALSE),
IFERROR(VLOOKUP(H129,Encerrados!#REF!,3,FALSE),"-"))))</f>
        <v>-</v>
      </c>
      <c r="H129" s="28" t="s">
        <v>135</v>
      </c>
      <c r="I129" s="29">
        <v>46000</v>
      </c>
      <c r="J129" s="25" t="s">
        <v>60</v>
      </c>
      <c r="K129" s="25">
        <v>29</v>
      </c>
      <c r="L129" s="12" t="s">
        <v>368</v>
      </c>
      <c r="M129" s="21">
        <f>D129+(22*7)-7</f>
        <v>45981</v>
      </c>
      <c r="N129" s="21">
        <f t="shared" si="15"/>
        <v>46002</v>
      </c>
      <c r="O129" s="413">
        <v>131525</v>
      </c>
      <c r="P129" s="20" t="str">
        <f>IFERROR(VLOOKUP(Q129,Encerrados!#REF!,3,FALSE),
IFERROR(VLOOKUP(Q129,Encerrados!#REF!,3,FALSE),
IFERROR(VLOOKUP(Q129,Encerrados!#REF!,3,FALSE),
IFERROR(VLOOKUP(Q129,Encerrados!#REF!,3,FALSE),"-"))))</f>
        <v>-</v>
      </c>
      <c r="Q129" s="184" t="s">
        <v>133</v>
      </c>
      <c r="R129" s="46">
        <v>16000</v>
      </c>
      <c r="S129" s="47">
        <f t="shared" si="12"/>
        <v>46295</v>
      </c>
      <c r="T129" s="48">
        <v>66</v>
      </c>
      <c r="U129" s="252"/>
      <c r="V129" s="50">
        <f t="shared" si="13"/>
        <v>46295</v>
      </c>
      <c r="W129" t="e">
        <f>VLOOKUP(Q129,Q185:Q306,1,0)</f>
        <v>#N/A</v>
      </c>
      <c r="X129" s="132">
        <f t="shared" si="14"/>
        <v>46002</v>
      </c>
    </row>
    <row r="130" spans="1:24" ht="14.25" customHeight="1">
      <c r="A130" s="25" t="s">
        <v>17</v>
      </c>
      <c r="B130" s="24">
        <v>45836</v>
      </c>
      <c r="C130" s="20">
        <f t="shared" ref="C130" si="31">YEAR(B130)</f>
        <v>2025</v>
      </c>
      <c r="D130" s="30">
        <v>45834</v>
      </c>
      <c r="E130" s="26" t="s">
        <v>134</v>
      </c>
      <c r="F130" s="27">
        <f t="shared" ref="F130" ca="1" si="32">IF((TODAY()-D130)/7&gt;T130,T130,(TODAY()-D130)/7)</f>
        <v>65.714285714285708</v>
      </c>
      <c r="G130" s="27" t="str">
        <f>IFERROR(VLOOKUP(H130,Encerrados!#REF!,3,FALSE),
IFERROR(VLOOKUP(H130,Encerrados!#REF!,3,FALSE),
IFERROR(VLOOKUP(H130,Encerrados!#REF!,3,FALSE),
IFERROR(VLOOKUP(H130,Encerrados!#REF!,3,FALSE),"-"))))</f>
        <v>-</v>
      </c>
      <c r="H130" s="28" t="s">
        <v>135</v>
      </c>
      <c r="I130" s="29"/>
      <c r="J130" s="25" t="s">
        <v>60</v>
      </c>
      <c r="K130" s="25">
        <v>29</v>
      </c>
      <c r="L130" s="12" t="s">
        <v>368</v>
      </c>
      <c r="M130" s="21">
        <f>D130+(22*7)-7</f>
        <v>45981</v>
      </c>
      <c r="N130" s="21">
        <f t="shared" ref="N130" si="33">D130+24*7</f>
        <v>46002</v>
      </c>
      <c r="O130" s="413">
        <v>131325</v>
      </c>
      <c r="P130" s="20" t="str">
        <f>IFERROR(VLOOKUP(Q130,Encerrados!#REF!,3,FALSE),
IFERROR(VLOOKUP(Q130,Encerrados!#REF!,3,FALSE),
IFERROR(VLOOKUP(Q130,Encerrados!#REF!,3,FALSE),
IFERROR(VLOOKUP(Q130,Encerrados!#REF!,3,FALSE),"-"))))</f>
        <v>-</v>
      </c>
      <c r="Q130" s="184" t="s">
        <v>127</v>
      </c>
      <c r="R130" s="46">
        <v>20000</v>
      </c>
      <c r="S130" s="47">
        <f t="shared" ref="S130" si="34">D130+(T130*7)-1</f>
        <v>46323</v>
      </c>
      <c r="T130" s="48">
        <v>70</v>
      </c>
      <c r="U130" s="252"/>
      <c r="V130" s="50">
        <f t="shared" ref="V130" si="35">IFERROR(S130+U130," ")</f>
        <v>46323</v>
      </c>
      <c r="W130" t="e">
        <f>VLOOKUP(Q130,Q189:Q308,1,0)</f>
        <v>#N/A</v>
      </c>
      <c r="X130" s="132">
        <f t="shared" ref="X130" si="36">N130</f>
        <v>46002</v>
      </c>
    </row>
    <row r="131" spans="1:24" ht="14.25" customHeight="1">
      <c r="A131" s="25" t="s">
        <v>17</v>
      </c>
      <c r="B131" s="24">
        <v>45836</v>
      </c>
      <c r="C131" s="20">
        <f t="shared" ref="C131" si="37">YEAR(B131)</f>
        <v>2025</v>
      </c>
      <c r="D131" s="30">
        <v>45834</v>
      </c>
      <c r="E131" s="26" t="s">
        <v>134</v>
      </c>
      <c r="F131" s="27">
        <f t="shared" ref="F131" ca="1" si="38">IF((TODAY()-D131)/7&gt;T131,T131,(TODAY()-D131)/7)</f>
        <v>65.714285714285708</v>
      </c>
      <c r="G131" s="27" t="str">
        <f>IFERROR(VLOOKUP(H131,Encerrados!#REF!,3,FALSE),
IFERROR(VLOOKUP(H131,Encerrados!#REF!,3,FALSE),
IFERROR(VLOOKUP(H131,Encerrados!#REF!,3,FALSE),
IFERROR(VLOOKUP(H131,Encerrados!#REF!,3,FALSE),"-"))))</f>
        <v>-</v>
      </c>
      <c r="H131" s="28" t="s">
        <v>135</v>
      </c>
      <c r="I131" s="29"/>
      <c r="J131" s="25" t="s">
        <v>60</v>
      </c>
      <c r="K131" s="25">
        <v>29</v>
      </c>
      <c r="L131" s="12" t="s">
        <v>368</v>
      </c>
      <c r="M131" s="21">
        <f>D131+(22*7)-7</f>
        <v>45981</v>
      </c>
      <c r="N131" s="21">
        <f t="shared" ref="N131" si="39">D131+24*7</f>
        <v>46002</v>
      </c>
      <c r="O131" s="413">
        <v>131425</v>
      </c>
      <c r="P131" s="20" t="str">
        <f>IFERROR(VLOOKUP(Q131,Encerrados!#REF!,3,FALSE),
IFERROR(VLOOKUP(Q131,Encerrados!#REF!,3,FALSE),
IFERROR(VLOOKUP(Q131,Encerrados!#REF!,3,FALSE),
IFERROR(VLOOKUP(Q131,Encerrados!#REF!,3,FALSE),"-"))))</f>
        <v>-</v>
      </c>
      <c r="Q131" s="184" t="s">
        <v>130</v>
      </c>
      <c r="R131" s="46">
        <v>3744</v>
      </c>
      <c r="S131" s="47">
        <f t="shared" si="12"/>
        <v>46323</v>
      </c>
      <c r="T131" s="48">
        <v>70</v>
      </c>
      <c r="U131" s="252"/>
      <c r="V131" s="50">
        <f t="shared" si="13"/>
        <v>46323</v>
      </c>
      <c r="W131" t="e">
        <f>VLOOKUP(Q131,Q185:Q306,1,0)</f>
        <v>#N/A</v>
      </c>
      <c r="X131" s="132">
        <f t="shared" ref="X131" si="40">N131</f>
        <v>46002</v>
      </c>
    </row>
    <row r="132" spans="1:24" ht="14.25" customHeight="1">
      <c r="A132" s="25" t="s">
        <v>17</v>
      </c>
      <c r="B132" s="24">
        <v>45836</v>
      </c>
      <c r="C132" s="20">
        <f t="shared" si="26"/>
        <v>2025</v>
      </c>
      <c r="D132" s="30">
        <v>45834</v>
      </c>
      <c r="E132" s="26" t="s">
        <v>134</v>
      </c>
      <c r="F132" s="27">
        <f t="shared" ca="1" si="30"/>
        <v>65.714285714285708</v>
      </c>
      <c r="G132" s="27" t="str">
        <f>IFERROR(VLOOKUP(H132,Encerrados!#REF!,3,FALSE),
IFERROR(VLOOKUP(H132,Encerrados!#REF!,3,FALSE),
IFERROR(VLOOKUP(H132,Encerrados!#REF!,3,FALSE),
IFERROR(VLOOKUP(H132,Encerrados!#REF!,3,FALSE),"-"))))</f>
        <v>-</v>
      </c>
      <c r="H132" s="28" t="s">
        <v>135</v>
      </c>
      <c r="I132" s="29"/>
      <c r="J132" s="25" t="s">
        <v>60</v>
      </c>
      <c r="K132" s="25">
        <v>29</v>
      </c>
      <c r="L132" s="12" t="s">
        <v>368</v>
      </c>
      <c r="M132" s="21">
        <f>D132+(22*7)-7</f>
        <v>45981</v>
      </c>
      <c r="N132" s="21">
        <f t="shared" si="15"/>
        <v>46002</v>
      </c>
      <c r="O132" s="413">
        <v>131725</v>
      </c>
      <c r="P132" s="20" t="str">
        <f>IFERROR(VLOOKUP(Q132,Encerrados!#REF!,3,FALSE),
IFERROR(VLOOKUP(Q132,Encerrados!#REF!,3,FALSE),
IFERROR(VLOOKUP(Q132,Encerrados!#REF!,3,FALSE),
IFERROR(VLOOKUP(Q132,Encerrados!#REF!,3,FALSE),"-"))))</f>
        <v>-</v>
      </c>
      <c r="Q132" s="184" t="s">
        <v>136</v>
      </c>
      <c r="R132" s="46">
        <v>3744</v>
      </c>
      <c r="S132" s="47">
        <f t="shared" ref="S132:S195" si="41">D132+(T132*7)-1</f>
        <v>46323</v>
      </c>
      <c r="T132" s="48">
        <v>70</v>
      </c>
      <c r="U132" s="252"/>
      <c r="V132" s="50">
        <f t="shared" ref="V132:V189" si="42">IFERROR(S132+U132," ")</f>
        <v>46323</v>
      </c>
      <c r="W132" t="e">
        <f>VLOOKUP(Q132,Q186:Q307,1,0)</f>
        <v>#N/A</v>
      </c>
      <c r="X132" s="132">
        <f t="shared" si="14"/>
        <v>46002</v>
      </c>
    </row>
    <row r="133" spans="1:24" ht="16.2">
      <c r="A133" s="146" t="s">
        <v>17</v>
      </c>
      <c r="B133" s="147">
        <v>45840</v>
      </c>
      <c r="C133" s="146">
        <f t="shared" si="26"/>
        <v>2025</v>
      </c>
      <c r="D133" s="148">
        <v>45841</v>
      </c>
      <c r="E133" s="149" t="s">
        <v>137</v>
      </c>
      <c r="F133" s="150">
        <f t="shared" ca="1" si="30"/>
        <v>64.714285714285708</v>
      </c>
      <c r="G133" s="150" t="str">
        <f>IFERROR(VLOOKUP(H133,Encerrados!#REF!,3,FALSE),
IFERROR(VLOOKUP(H133,Encerrados!#REF!,3,FALSE),
IFERROR(VLOOKUP(H133,Encerrados!#REF!,3,FALSE),
IFERROR(VLOOKUP(H133,Encerrados!#REF!,3,FALSE),"-"))))</f>
        <v>-</v>
      </c>
      <c r="H133" s="151" t="s">
        <v>135</v>
      </c>
      <c r="I133" s="152">
        <v>34000</v>
      </c>
      <c r="J133" s="146" t="s">
        <v>60</v>
      </c>
      <c r="K133" s="153">
        <v>29</v>
      </c>
      <c r="L133" s="12" t="s">
        <v>368</v>
      </c>
      <c r="M133" s="154">
        <f>D133+(7*7)-7</f>
        <v>45883</v>
      </c>
      <c r="N133" s="154">
        <f t="shared" si="15"/>
        <v>46009</v>
      </c>
      <c r="O133" s="414">
        <v>131725</v>
      </c>
      <c r="P133" s="153" t="str">
        <f>IFERROR(VLOOKUP(Q133,Encerrados!#REF!,3,FALSE),
IFERROR(VLOOKUP(Q133,Encerrados!#REF!,3,FALSE),
IFERROR(VLOOKUP(Q133,Encerrados!#REF!,3,FALSE),
IFERROR(VLOOKUP(Q133,Encerrados!#REF!,3,FALSE),"-"))))</f>
        <v>-</v>
      </c>
      <c r="Q133" s="220" t="s">
        <v>136</v>
      </c>
      <c r="R133" s="155">
        <f>I133*0.98</f>
        <v>33320</v>
      </c>
      <c r="S133" s="156">
        <f t="shared" si="41"/>
        <v>46323</v>
      </c>
      <c r="T133" s="157">
        <v>69</v>
      </c>
      <c r="U133" s="252"/>
      <c r="V133" s="163">
        <f t="shared" si="42"/>
        <v>46323</v>
      </c>
      <c r="W133" t="e">
        <f>VLOOKUP(Q133,Q189:Q308,1,0)</f>
        <v>#N/A</v>
      </c>
      <c r="X133" s="132">
        <f t="shared" ref="X133:X173" si="43">N133</f>
        <v>46009</v>
      </c>
    </row>
    <row r="134" spans="1:24" ht="14.25" customHeight="1">
      <c r="A134" s="25" t="s">
        <v>17</v>
      </c>
      <c r="B134" s="24">
        <v>45839</v>
      </c>
      <c r="C134" s="20">
        <f t="shared" si="26"/>
        <v>2025</v>
      </c>
      <c r="D134" s="30">
        <v>45841</v>
      </c>
      <c r="E134" s="26" t="s">
        <v>138</v>
      </c>
      <c r="F134" s="27">
        <f t="shared" ca="1" si="30"/>
        <v>64.714285714285708</v>
      </c>
      <c r="G134" s="27" t="str">
        <f>IFERROR(VLOOKUP(H134,Encerrados!#REF!,3,FALSE),
IFERROR(VLOOKUP(H134,Encerrados!#REF!,3,FALSE),
IFERROR(VLOOKUP(H134,Encerrados!#REF!,3,FALSE),
IFERROR(VLOOKUP(H134,Encerrados!#REF!,3,FALSE),"-"))))</f>
        <v>-</v>
      </c>
      <c r="H134" s="28" t="s">
        <v>139</v>
      </c>
      <c r="I134" s="29">
        <v>60000</v>
      </c>
      <c r="J134" s="25" t="s">
        <v>48</v>
      </c>
      <c r="K134" s="25">
        <v>14</v>
      </c>
      <c r="L134" s="247" t="s">
        <v>365</v>
      </c>
      <c r="M134" s="21">
        <f>D134+(22*7)-7</f>
        <v>45988</v>
      </c>
      <c r="N134" s="21">
        <f t="shared" si="15"/>
        <v>46009</v>
      </c>
      <c r="O134" s="413">
        <v>131825</v>
      </c>
      <c r="P134" s="20" t="str">
        <f>IFERROR(VLOOKUP(Q134,Encerrados!#REF!,3,FALSE),
IFERROR(VLOOKUP(Q134,Encerrados!#REF!,3,FALSE),
IFERROR(VLOOKUP(Q134,Encerrados!#REF!,3,FALSE),
IFERROR(VLOOKUP(Q134,Encerrados!#REF!,3,FALSE),"-"))))</f>
        <v>-</v>
      </c>
      <c r="Q134" s="184" t="s">
        <v>395</v>
      </c>
      <c r="R134" s="46">
        <v>57000</v>
      </c>
      <c r="S134" s="47">
        <f t="shared" si="41"/>
        <v>46302</v>
      </c>
      <c r="T134" s="48">
        <v>66</v>
      </c>
      <c r="U134" s="252"/>
      <c r="V134" s="50">
        <f t="shared" si="42"/>
        <v>46302</v>
      </c>
      <c r="W134" t="e">
        <f>VLOOKUP(Q134,Q190:Q309,1,0)</f>
        <v>#N/A</v>
      </c>
      <c r="X134" s="132">
        <f t="shared" si="43"/>
        <v>46009</v>
      </c>
    </row>
    <row r="135" spans="1:24" ht="16.2">
      <c r="A135" s="146" t="s">
        <v>17</v>
      </c>
      <c r="B135" s="147">
        <v>45839</v>
      </c>
      <c r="C135" s="146">
        <f t="shared" si="26"/>
        <v>2025</v>
      </c>
      <c r="D135" s="148">
        <v>45841</v>
      </c>
      <c r="E135" s="149" t="s">
        <v>141</v>
      </c>
      <c r="F135" s="150">
        <f t="shared" ca="1" si="30"/>
        <v>64.714285714285708</v>
      </c>
      <c r="G135" s="150" t="str">
        <f>IFERROR(VLOOKUP(H135,Encerrados!#REF!,3,FALSE),
IFERROR(VLOOKUP(H135,Encerrados!#REF!,3,FALSE),
IFERROR(VLOOKUP(H135,Encerrados!#REF!,3,FALSE),
IFERROR(VLOOKUP(H135,Encerrados!#REF!,3,FALSE),"-"))))</f>
        <v>-</v>
      </c>
      <c r="H135" s="151" t="s">
        <v>139</v>
      </c>
      <c r="I135" s="152">
        <v>28000</v>
      </c>
      <c r="J135" s="146" t="s">
        <v>48</v>
      </c>
      <c r="K135" s="153">
        <v>14</v>
      </c>
      <c r="L135" s="247" t="s">
        <v>365</v>
      </c>
      <c r="M135" s="154">
        <f>D135+(8*7)-7</f>
        <v>45890</v>
      </c>
      <c r="N135" s="154">
        <f t="shared" ref="N135:N198" si="44">D135+24*7</f>
        <v>46009</v>
      </c>
      <c r="O135" s="414">
        <v>131925</v>
      </c>
      <c r="P135" s="153" t="str">
        <f>IFERROR(VLOOKUP(Q135,Encerrados!#REF!,3,FALSE),
IFERROR(VLOOKUP(Q135,Encerrados!#REF!,3,FALSE),
IFERROR(VLOOKUP(Q135,Encerrados!#REF!,3,FALSE),
IFERROR(VLOOKUP(Q135,Encerrados!#REF!,3,FALSE),"-"))))</f>
        <v>-</v>
      </c>
      <c r="Q135" s="220" t="s">
        <v>142</v>
      </c>
      <c r="R135" s="155">
        <f>I135*0.98</f>
        <v>27440</v>
      </c>
      <c r="S135" s="156">
        <f t="shared" si="41"/>
        <v>46323</v>
      </c>
      <c r="T135" s="157">
        <v>69</v>
      </c>
      <c r="U135" s="252"/>
      <c r="V135" s="163">
        <f t="shared" si="42"/>
        <v>46323</v>
      </c>
      <c r="W135" t="e">
        <f>VLOOKUP(Q135,Q181:Q310,1,0)</f>
        <v>#N/A</v>
      </c>
      <c r="X135" s="132">
        <f t="shared" si="43"/>
        <v>46009</v>
      </c>
    </row>
    <row r="136" spans="1:24" ht="14.25" customHeight="1">
      <c r="A136" s="25" t="s">
        <v>17</v>
      </c>
      <c r="B136" s="24">
        <v>45846</v>
      </c>
      <c r="C136" s="20">
        <f t="shared" si="26"/>
        <v>2025</v>
      </c>
      <c r="D136" s="30">
        <v>45848</v>
      </c>
      <c r="E136" s="26" t="s">
        <v>143</v>
      </c>
      <c r="F136" s="27">
        <f t="shared" ca="1" si="30"/>
        <v>63.714285714285715</v>
      </c>
      <c r="G136" s="27" t="str">
        <f>IFERROR(VLOOKUP(H136,Encerrados!#REF!,3,FALSE),
IFERROR(VLOOKUP(H136,Encerrados!#REF!,3,FALSE),
IFERROR(VLOOKUP(H136,Encerrados!#REF!,3,FALSE),
IFERROR(VLOOKUP(H136,Encerrados!#REF!,3,FALSE),"-"))))</f>
        <v>-</v>
      </c>
      <c r="H136" s="28" t="s">
        <v>144</v>
      </c>
      <c r="I136" s="29">
        <v>60000</v>
      </c>
      <c r="J136" s="25" t="s">
        <v>45</v>
      </c>
      <c r="K136" s="25">
        <v>59</v>
      </c>
      <c r="L136" s="11" t="s">
        <v>365</v>
      </c>
      <c r="M136" s="21">
        <f>D136+(22*7)-7</f>
        <v>45995</v>
      </c>
      <c r="N136" s="21">
        <f t="shared" si="44"/>
        <v>46016</v>
      </c>
      <c r="O136" s="413">
        <v>131925</v>
      </c>
      <c r="P136" s="20" t="str">
        <f>IFERROR(VLOOKUP(Q136,Encerrados!#REF!,3,FALSE),
IFERROR(VLOOKUP(Q136,Encerrados!#REF!,3,FALSE),
IFERROR(VLOOKUP(Q136,Encerrados!#REF!,3,FALSE),
IFERROR(VLOOKUP(Q136,Encerrados!#REF!,3,FALSE),"-"))))</f>
        <v>-</v>
      </c>
      <c r="Q136" s="184" t="s">
        <v>142</v>
      </c>
      <c r="R136" s="46">
        <v>6000</v>
      </c>
      <c r="S136" s="47">
        <f t="shared" si="41"/>
        <v>46330</v>
      </c>
      <c r="T136" s="48">
        <v>69</v>
      </c>
      <c r="U136" s="252"/>
      <c r="V136" s="50">
        <f t="shared" si="42"/>
        <v>46330</v>
      </c>
      <c r="W136" t="e">
        <f>VLOOKUP(Q136,Q182:Q311,1,0)</f>
        <v>#N/A</v>
      </c>
      <c r="X136" s="132">
        <f t="shared" si="43"/>
        <v>46016</v>
      </c>
    </row>
    <row r="137" spans="1:24" ht="14.25" customHeight="1">
      <c r="A137" s="25" t="s">
        <v>17</v>
      </c>
      <c r="B137" s="24">
        <v>45846</v>
      </c>
      <c r="C137" s="20">
        <f t="shared" si="26"/>
        <v>2025</v>
      </c>
      <c r="D137" s="30">
        <v>45848</v>
      </c>
      <c r="E137" s="26" t="s">
        <v>143</v>
      </c>
      <c r="F137" s="27">
        <f ca="1">IF((TODAY()-D137)/7&gt;T137,T137,(TODAY()-D137)/7)</f>
        <v>63.714285714285715</v>
      </c>
      <c r="G137" s="27" t="str">
        <f>IFERROR(VLOOKUP(H137,Encerrados!#REF!,3,FALSE),
IFERROR(VLOOKUP(H137,Encerrados!#REF!,3,FALSE),
IFERROR(VLOOKUP(H137,Encerrados!#REF!,3,FALSE),
IFERROR(VLOOKUP(H137,Encerrados!#REF!,3,FALSE),"-"))))</f>
        <v>-</v>
      </c>
      <c r="H137" s="28" t="s">
        <v>144</v>
      </c>
      <c r="I137" s="29"/>
      <c r="J137" s="25" t="s">
        <v>45</v>
      </c>
      <c r="K137" s="25">
        <v>59</v>
      </c>
      <c r="L137" s="11" t="s">
        <v>365</v>
      </c>
      <c r="M137" s="45">
        <f>D137+(22*7)-7</f>
        <v>45995</v>
      </c>
      <c r="N137" s="45">
        <f t="shared" si="44"/>
        <v>46016</v>
      </c>
      <c r="O137" s="305">
        <v>132025</v>
      </c>
      <c r="P137" s="23" t="str">
        <f>IFERROR(VLOOKUP(Q137,Encerrados!#REF!,3,FALSE),
IFERROR(VLOOKUP(Q137,Encerrados!#REF!,3,FALSE),
IFERROR(VLOOKUP(Q137,Encerrados!#REF!,3,FALSE),
IFERROR(VLOOKUP(Q137,Encerrados!#REF!,3,FALSE),"-"))))</f>
        <v>-</v>
      </c>
      <c r="Q137" s="184" t="s">
        <v>145</v>
      </c>
      <c r="R137" s="46">
        <v>33000</v>
      </c>
      <c r="S137" s="47">
        <f t="shared" si="41"/>
        <v>46330</v>
      </c>
      <c r="T137" s="48">
        <v>69</v>
      </c>
      <c r="U137" s="252"/>
      <c r="V137" s="50">
        <f t="shared" si="42"/>
        <v>46330</v>
      </c>
      <c r="W137" t="e">
        <f>VLOOKUP(Q137,Q187:Q312,1,0)</f>
        <v>#N/A</v>
      </c>
      <c r="X137" s="132">
        <f t="shared" si="43"/>
        <v>46016</v>
      </c>
    </row>
    <row r="138" spans="1:24" ht="14.25" customHeight="1">
      <c r="A138" s="25" t="s">
        <v>17</v>
      </c>
      <c r="B138" s="24">
        <v>45846</v>
      </c>
      <c r="C138" s="20">
        <f t="shared" si="26"/>
        <v>2025</v>
      </c>
      <c r="D138" s="30">
        <v>45848</v>
      </c>
      <c r="E138" s="26" t="s">
        <v>143</v>
      </c>
      <c r="F138" s="27">
        <f ca="1">IF((TODAY()-D138)/7&gt;T138,T138,(TODAY()-D138)/7)</f>
        <v>63.714285714285715</v>
      </c>
      <c r="G138" s="27" t="str">
        <f>IFERROR(VLOOKUP(H138,Encerrados!#REF!,3,FALSE),
IFERROR(VLOOKUP(H138,Encerrados!#REF!,3,FALSE),
IFERROR(VLOOKUP(H138,Encerrados!#REF!,3,FALSE),
IFERROR(VLOOKUP(H138,Encerrados!#REF!,3,FALSE),"-"))))</f>
        <v>-</v>
      </c>
      <c r="H138" s="28" t="s">
        <v>144</v>
      </c>
      <c r="I138" s="29"/>
      <c r="J138" s="25" t="s">
        <v>45</v>
      </c>
      <c r="K138" s="25">
        <v>59</v>
      </c>
      <c r="L138" s="11" t="s">
        <v>365</v>
      </c>
      <c r="M138" s="45">
        <f>D138+(22*7)-7</f>
        <v>45995</v>
      </c>
      <c r="N138" s="45">
        <f t="shared" si="44"/>
        <v>46016</v>
      </c>
      <c r="O138" s="305">
        <v>132125</v>
      </c>
      <c r="P138" s="23" t="str">
        <f>IFERROR(VLOOKUP(Q138,Encerrados!#REF!,3,FALSE),
IFERROR(VLOOKUP(Q138,Encerrados!#REF!,3,FALSE),
IFERROR(VLOOKUP(Q138,Encerrados!#REF!,3,FALSE),
IFERROR(VLOOKUP(Q138,Encerrados!#REF!,3,FALSE),"-"))))</f>
        <v>-</v>
      </c>
      <c r="Q138" s="184" t="s">
        <v>146</v>
      </c>
      <c r="R138" s="46">
        <v>19000</v>
      </c>
      <c r="S138" s="47">
        <f t="shared" si="41"/>
        <v>46330</v>
      </c>
      <c r="T138" s="48">
        <v>69</v>
      </c>
      <c r="U138" s="252"/>
      <c r="V138" s="50">
        <f t="shared" si="42"/>
        <v>46330</v>
      </c>
      <c r="W138" t="e">
        <f>VLOOKUP(Q138,Q187:Q313,1,0)</f>
        <v>#N/A</v>
      </c>
      <c r="X138" s="132">
        <f t="shared" si="43"/>
        <v>46016</v>
      </c>
    </row>
    <row r="139" spans="1:24" ht="14.25" customHeight="1">
      <c r="A139" s="25" t="s">
        <v>17</v>
      </c>
      <c r="B139" s="24">
        <v>45863</v>
      </c>
      <c r="C139" s="20">
        <f t="shared" si="26"/>
        <v>2025</v>
      </c>
      <c r="D139" s="30">
        <v>45862</v>
      </c>
      <c r="E139" s="26" t="s">
        <v>147</v>
      </c>
      <c r="F139" s="27">
        <f t="shared" ca="1" si="30"/>
        <v>61.714285714285715</v>
      </c>
      <c r="G139" s="27" t="str">
        <f>IFERROR(VLOOKUP(H139,Encerrados!#REF!,3,FALSE),
IFERROR(VLOOKUP(H139,Encerrados!#REF!,3,FALSE),
IFERROR(VLOOKUP(H139,Encerrados!#REF!,3,FALSE),
IFERROR(VLOOKUP(H139,Encerrados!#REF!,3,FALSE),"-"))))</f>
        <v>-</v>
      </c>
      <c r="H139" s="28" t="s">
        <v>148</v>
      </c>
      <c r="I139" s="29">
        <v>60000</v>
      </c>
      <c r="J139" s="25" t="s">
        <v>20</v>
      </c>
      <c r="K139" s="25">
        <v>23</v>
      </c>
      <c r="L139" s="11" t="s">
        <v>510</v>
      </c>
      <c r="M139" s="45">
        <f t="shared" ref="M139:M155" si="45">D139+(22*7)-7</f>
        <v>46009</v>
      </c>
      <c r="N139" s="45">
        <f t="shared" si="44"/>
        <v>46030</v>
      </c>
      <c r="O139" s="305">
        <v>132125</v>
      </c>
      <c r="P139" s="23" t="str">
        <f>IFERROR(VLOOKUP(Q139,Encerrados!#REF!,3,FALSE),
IFERROR(VLOOKUP(Q139,Encerrados!#REF!,3,FALSE),
IFERROR(VLOOKUP(Q139,Encerrados!#REF!,3,FALSE),
IFERROR(VLOOKUP(Q139,Encerrados!#REF!,3,FALSE),"-"))))</f>
        <v>-</v>
      </c>
      <c r="Q139" s="184" t="s">
        <v>146</v>
      </c>
      <c r="R139" s="46">
        <v>57000</v>
      </c>
      <c r="S139" s="47">
        <f t="shared" si="41"/>
        <v>46330</v>
      </c>
      <c r="T139" s="48">
        <v>67</v>
      </c>
      <c r="U139" s="252"/>
      <c r="V139" s="50">
        <f t="shared" si="42"/>
        <v>46330</v>
      </c>
      <c r="W139" t="e">
        <f>VLOOKUP(Q139,Q192:Q314,1,0)</f>
        <v>#N/A</v>
      </c>
      <c r="X139" s="132">
        <f t="shared" si="43"/>
        <v>46030</v>
      </c>
    </row>
    <row r="140" spans="1:24" ht="16.2">
      <c r="A140" s="25" t="s">
        <v>17</v>
      </c>
      <c r="B140" s="24">
        <v>45862</v>
      </c>
      <c r="C140" s="20">
        <f t="shared" si="26"/>
        <v>2025</v>
      </c>
      <c r="D140" s="30">
        <v>45869</v>
      </c>
      <c r="E140" s="26" t="s">
        <v>150</v>
      </c>
      <c r="F140" s="27">
        <f t="shared" ca="1" si="30"/>
        <v>60.714285714285715</v>
      </c>
      <c r="G140" s="27" t="str">
        <f>IFERROR(VLOOKUP(H140,Encerrados!#REF!,3,FALSE),
IFERROR(VLOOKUP(H140,Encerrados!#REF!,3,FALSE),
IFERROR(VLOOKUP(H140,Encerrados!#REF!,3,FALSE),
IFERROR(VLOOKUP(H140,Encerrados!#REF!,3,FALSE),"-"))))</f>
        <v>-</v>
      </c>
      <c r="H140" s="28" t="s">
        <v>151</v>
      </c>
      <c r="I140" s="29">
        <v>42000</v>
      </c>
      <c r="J140" s="25" t="s">
        <v>20</v>
      </c>
      <c r="K140" s="25">
        <v>14</v>
      </c>
      <c r="L140" s="11" t="s">
        <v>365</v>
      </c>
      <c r="M140" s="45">
        <f t="shared" si="45"/>
        <v>46016</v>
      </c>
      <c r="N140" s="45">
        <f t="shared" si="44"/>
        <v>46037</v>
      </c>
      <c r="O140" s="305">
        <v>132225</v>
      </c>
      <c r="P140" s="23" t="str">
        <f>IFERROR(VLOOKUP(Q140,Encerrados!#REF!,3,FALSE),
IFERROR(VLOOKUP(Q140,Encerrados!#REF!,3,FALSE),
IFERROR(VLOOKUP(Q140,Encerrados!#REF!,3,FALSE),
IFERROR(VLOOKUP(Q140,Encerrados!#REF!,3,FALSE),"-"))))</f>
        <v>-</v>
      </c>
      <c r="Q140" s="184" t="s">
        <v>152</v>
      </c>
      <c r="R140" s="46">
        <v>40000</v>
      </c>
      <c r="S140" s="47">
        <f t="shared" si="41"/>
        <v>46330</v>
      </c>
      <c r="T140" s="48">
        <v>66</v>
      </c>
      <c r="U140" s="252"/>
      <c r="V140" s="50">
        <f t="shared" si="42"/>
        <v>46330</v>
      </c>
      <c r="W140" t="e">
        <f>VLOOKUP(Q140,Q195:Q315,1,0)</f>
        <v>#N/A</v>
      </c>
      <c r="X140" s="132">
        <f t="shared" si="43"/>
        <v>46037</v>
      </c>
    </row>
    <row r="141" spans="1:24" ht="14.25" customHeight="1">
      <c r="A141" s="25" t="s">
        <v>17</v>
      </c>
      <c r="B141" s="24">
        <f>M76+K76</f>
        <v>45869</v>
      </c>
      <c r="C141" s="20">
        <f>YEAR(B141)</f>
        <v>2025</v>
      </c>
      <c r="D141" s="30">
        <v>45869</v>
      </c>
      <c r="E141" s="26" t="s">
        <v>153</v>
      </c>
      <c r="F141" s="27">
        <f ca="1">IF((TODAY()-D141)/7&gt;T151,T151,(TODAY()-D141)/7)</f>
        <v>60.714285714285715</v>
      </c>
      <c r="G141" s="27" t="str">
        <f>IFERROR(VLOOKUP('[1]Pluma 2025 30.04'!J65,Encerrados!#REF!,3,FALSE),
IFERROR(VLOOKUP('[1]Pluma 2025 30.04'!J65,Encerrados!#REF!,3,FALSE),
IFERROR(VLOOKUP('[1]Pluma 2025 30.04'!J65,Encerrados!#REF!,3,FALSE),
IFERROR(VLOOKUP('[1]Pluma 2025 30.04'!J65,Encerrados!#REF!,3,FALSE),"-"))))</f>
        <v>-</v>
      </c>
      <c r="H141" s="28" t="s">
        <v>417</v>
      </c>
      <c r="I141" s="29">
        <v>60000</v>
      </c>
      <c r="J141" s="25" t="s">
        <v>45</v>
      </c>
      <c r="K141" s="25">
        <v>58</v>
      </c>
      <c r="L141" s="38" t="s">
        <v>472</v>
      </c>
      <c r="M141" s="45">
        <f>D141+(22*7)-7</f>
        <v>46016</v>
      </c>
      <c r="N141" s="45">
        <f>D141+24*7</f>
        <v>46037</v>
      </c>
      <c r="O141" s="305">
        <v>132325</v>
      </c>
      <c r="P141" s="23" t="str">
        <f>IFERROR(VLOOKUP(Q141,Encerrados!#REF!,3,FALSE),
IFERROR(VLOOKUP(Q141,Encerrados!#REF!,3,FALSE),
IFERROR(VLOOKUP(Q141,Encerrados!#REF!,3,FALSE),
IFERROR(VLOOKUP(Q141,Encerrados!#REF!,3,FALSE),"-"))))</f>
        <v>-</v>
      </c>
      <c r="Q141" s="184" t="s">
        <v>155</v>
      </c>
      <c r="R141" s="46">
        <v>57000</v>
      </c>
      <c r="S141" s="47">
        <f>D141+(T141*7)-1</f>
        <v>46323</v>
      </c>
      <c r="T141" s="48">
        <v>65</v>
      </c>
      <c r="U141" s="252"/>
      <c r="V141" s="50">
        <f>IFERROR(S141+U141," ")</f>
        <v>46323</v>
      </c>
      <c r="W141" t="e">
        <f>VLOOKUP(Q141,Q187:Q316,1,0)</f>
        <v>#N/A</v>
      </c>
      <c r="X141" s="132">
        <f t="shared" si="43"/>
        <v>46037</v>
      </c>
    </row>
    <row r="142" spans="1:24" ht="14.25" customHeight="1">
      <c r="A142" s="25" t="s">
        <v>17</v>
      </c>
      <c r="B142" s="24">
        <f>M70+K70</f>
        <v>45871</v>
      </c>
      <c r="C142" s="20">
        <f t="shared" si="26"/>
        <v>2025</v>
      </c>
      <c r="D142" s="30">
        <v>45869</v>
      </c>
      <c r="E142" s="26" t="s">
        <v>156</v>
      </c>
      <c r="F142" s="27">
        <f t="shared" ref="F142:F150" ca="1" si="46">IF((TODAY()-D142)/7&gt;T142,T142,(TODAY()-D142)/7)</f>
        <v>60.714285714285715</v>
      </c>
      <c r="G142" s="27" t="str">
        <f>IFERROR(VLOOKUP(H142,Encerrados!#REF!,3,FALSE),
IFERROR(VLOOKUP(H142,Encerrados!#REF!,3,FALSE),
IFERROR(VLOOKUP(H142,Encerrados!#REF!,3,FALSE),
IFERROR(VLOOKUP(H142,Encerrados!#REF!,3,FALSE),"-"))))</f>
        <v>-</v>
      </c>
      <c r="H142" s="28" t="s">
        <v>157</v>
      </c>
      <c r="I142" s="29">
        <v>38000</v>
      </c>
      <c r="J142" s="25" t="s">
        <v>60</v>
      </c>
      <c r="K142" s="25">
        <v>22</v>
      </c>
      <c r="L142" s="12" t="s">
        <v>368</v>
      </c>
      <c r="M142" s="45">
        <f t="shared" ref="M142" si="47">D142+(22*7)-7</f>
        <v>46016</v>
      </c>
      <c r="N142" s="45">
        <f t="shared" ref="N142" si="48">D142+24*7</f>
        <v>46037</v>
      </c>
      <c r="O142" s="364">
        <v>130126</v>
      </c>
      <c r="P142" s="23" t="str">
        <f>IFERROR(VLOOKUP(Q142,Encerrados!#REF!,3,FALSE),
IFERROR(VLOOKUP(Q142,Encerrados!#REF!,3,FALSE),
IFERROR(VLOOKUP(Q142,Encerrados!#REF!,3,FALSE),
IFERROR(VLOOKUP(Q142,Encerrados!#REF!,3,FALSE),"-"))))</f>
        <v>-</v>
      </c>
      <c r="Q142" s="184" t="s">
        <v>158</v>
      </c>
      <c r="R142" s="46">
        <v>36000</v>
      </c>
      <c r="S142" s="47">
        <f t="shared" ref="S142" si="49">D142+(T142*7)-1</f>
        <v>46330</v>
      </c>
      <c r="T142" s="48">
        <v>66</v>
      </c>
      <c r="U142" s="49"/>
      <c r="V142" s="50">
        <f t="shared" ref="V142" si="50">IFERROR(S142+U142," ")</f>
        <v>46330</v>
      </c>
      <c r="W142" t="e">
        <f>VLOOKUP(Q142,Q196:Q317,1,0)</f>
        <v>#N/A</v>
      </c>
      <c r="X142" s="132">
        <f t="shared" si="43"/>
        <v>46037</v>
      </c>
    </row>
    <row r="143" spans="1:24" ht="14.25" customHeight="1">
      <c r="A143" s="25" t="s">
        <v>17</v>
      </c>
      <c r="B143" s="88">
        <f>M72+K72</f>
        <v>45885</v>
      </c>
      <c r="C143" s="20">
        <f t="shared" si="26"/>
        <v>2025</v>
      </c>
      <c r="D143" s="30">
        <v>45883</v>
      </c>
      <c r="E143" s="26" t="s">
        <v>159</v>
      </c>
      <c r="F143" s="27">
        <f t="shared" ca="1" si="46"/>
        <v>58.714285714285715</v>
      </c>
      <c r="G143" s="27" t="str">
        <f>IFERROR(VLOOKUP(H143,Encerrados!#REF!,3,FALSE),
IFERROR(VLOOKUP(H143,Encerrados!#REF!,3,FALSE),
IFERROR(VLOOKUP(H143,Encerrados!#REF!,3,FALSE),
IFERROR(VLOOKUP(H143,Encerrados!#REF!,3,FALSE),"-"))))</f>
        <v>-</v>
      </c>
      <c r="H143" s="28" t="s">
        <v>402</v>
      </c>
      <c r="I143" s="29">
        <v>84000</v>
      </c>
      <c r="J143" s="25" t="s">
        <v>60</v>
      </c>
      <c r="K143" s="25">
        <v>14</v>
      </c>
      <c r="L143" s="12" t="s">
        <v>368</v>
      </c>
      <c r="M143" s="45">
        <f t="shared" si="45"/>
        <v>46030</v>
      </c>
      <c r="N143" s="45">
        <f t="shared" si="44"/>
        <v>46051</v>
      </c>
      <c r="O143" s="364">
        <v>130126</v>
      </c>
      <c r="P143" s="23" t="str">
        <f>IFERROR(VLOOKUP(Q143,Encerrados!#REF!,3,FALSE),
IFERROR(VLOOKUP(Q143,Encerrados!#REF!,3,FALSE),
IFERROR(VLOOKUP(Q143,Encerrados!#REF!,3,FALSE),
IFERROR(VLOOKUP(Q143,Encerrados!#REF!,3,FALSE),"-"))))</f>
        <v>-</v>
      </c>
      <c r="Q143" s="184" t="s">
        <v>158</v>
      </c>
      <c r="R143" s="46">
        <v>22500</v>
      </c>
      <c r="S143" s="47">
        <f t="shared" si="41"/>
        <v>46344</v>
      </c>
      <c r="T143" s="48">
        <v>66</v>
      </c>
      <c r="U143" s="49"/>
      <c r="V143" s="50">
        <f t="shared" si="42"/>
        <v>46344</v>
      </c>
      <c r="W143" t="e">
        <f>VLOOKUP(Q143,Q196:Q318,1,0)</f>
        <v>#N/A</v>
      </c>
      <c r="X143" s="132">
        <f t="shared" si="43"/>
        <v>46051</v>
      </c>
    </row>
    <row r="144" spans="1:24" ht="14.25" customHeight="1">
      <c r="A144" s="25" t="s">
        <v>17</v>
      </c>
      <c r="B144" s="88">
        <f>M72+K72</f>
        <v>45885</v>
      </c>
      <c r="C144" s="20">
        <f t="shared" si="26"/>
        <v>2025</v>
      </c>
      <c r="D144" s="30">
        <v>45883</v>
      </c>
      <c r="E144" s="26" t="s">
        <v>159</v>
      </c>
      <c r="F144" s="27">
        <f t="shared" ca="1" si="46"/>
        <v>58.714285714285715</v>
      </c>
      <c r="G144" s="27" t="str">
        <f>IFERROR(VLOOKUP(H144,Encerrados!#REF!,3,FALSE),
IFERROR(VLOOKUP(H144,Encerrados!#REF!,3,FALSE),
IFERROR(VLOOKUP(H144,Encerrados!#REF!,3,FALSE),
IFERROR(VLOOKUP(H144,Encerrados!#REF!,3,FALSE),"-"))))</f>
        <v>-</v>
      </c>
      <c r="H144" s="28" t="s">
        <v>402</v>
      </c>
      <c r="I144" s="29"/>
      <c r="J144" s="25" t="s">
        <v>60</v>
      </c>
      <c r="K144" s="25">
        <v>14</v>
      </c>
      <c r="L144" s="12" t="s">
        <v>368</v>
      </c>
      <c r="M144" s="45">
        <f t="shared" si="45"/>
        <v>46030</v>
      </c>
      <c r="N144" s="45">
        <f t="shared" si="44"/>
        <v>46051</v>
      </c>
      <c r="O144" s="364">
        <v>130226</v>
      </c>
      <c r="P144" s="23" t="str">
        <f>IFERROR(VLOOKUP(Q144,Encerrados!#REF!,3,FALSE),
IFERROR(VLOOKUP(Q144,Encerrados!#REF!,3,FALSE),
IFERROR(VLOOKUP(Q144,Encerrados!#REF!,3,FALSE),
IFERROR(VLOOKUP(Q144,Encerrados!#REF!,3,FALSE),"-"))))</f>
        <v>-</v>
      </c>
      <c r="Q144" s="184" t="s">
        <v>174</v>
      </c>
      <c r="R144" s="46">
        <v>32000</v>
      </c>
      <c r="S144" s="47">
        <f t="shared" si="41"/>
        <v>46344</v>
      </c>
      <c r="T144" s="48">
        <v>66</v>
      </c>
      <c r="U144" s="49"/>
      <c r="V144" s="50">
        <f t="shared" si="42"/>
        <v>46344</v>
      </c>
      <c r="W144" t="e">
        <f>VLOOKUP(Q144,Q196:Q319,1,0)</f>
        <v>#N/A</v>
      </c>
      <c r="X144" s="132">
        <f t="shared" si="43"/>
        <v>46051</v>
      </c>
    </row>
    <row r="145" spans="1:26" ht="14.25" customHeight="1">
      <c r="A145" s="25" t="s">
        <v>17</v>
      </c>
      <c r="B145" s="88">
        <f>M73+K73</f>
        <v>45885</v>
      </c>
      <c r="C145" s="20">
        <f t="shared" si="26"/>
        <v>2025</v>
      </c>
      <c r="D145" s="30">
        <v>45883</v>
      </c>
      <c r="E145" s="26" t="s">
        <v>159</v>
      </c>
      <c r="F145" s="27">
        <f t="shared" ca="1" si="46"/>
        <v>58.714285714285715</v>
      </c>
      <c r="G145" s="27" t="str">
        <f>IFERROR(VLOOKUP(H145,Encerrados!#REF!,3,FALSE),
IFERROR(VLOOKUP(H145,Encerrados!#REF!,3,FALSE),
IFERROR(VLOOKUP(H145,Encerrados!#REF!,3,FALSE),
IFERROR(VLOOKUP(H145,Encerrados!#REF!,3,FALSE),"-"))))</f>
        <v>-</v>
      </c>
      <c r="H145" s="28" t="s">
        <v>402</v>
      </c>
      <c r="I145" s="29"/>
      <c r="J145" s="25" t="s">
        <v>60</v>
      </c>
      <c r="K145" s="25">
        <v>14</v>
      </c>
      <c r="L145" s="12" t="s">
        <v>368</v>
      </c>
      <c r="M145" s="45">
        <f t="shared" si="45"/>
        <v>46030</v>
      </c>
      <c r="N145" s="45">
        <f t="shared" si="44"/>
        <v>46051</v>
      </c>
      <c r="O145" s="364">
        <v>130326</v>
      </c>
      <c r="P145" s="23" t="str">
        <f>IFERROR(VLOOKUP(Q145,Encerrados!#REF!,3,FALSE),
IFERROR(VLOOKUP(Q145,Encerrados!#REF!,3,FALSE),
IFERROR(VLOOKUP(Q145,Encerrados!#REF!,3,FALSE),
IFERROR(VLOOKUP(Q145,Encerrados!#REF!,3,FALSE),"-"))))</f>
        <v>-</v>
      </c>
      <c r="Q145" s="184" t="s">
        <v>167</v>
      </c>
      <c r="R145" s="46">
        <v>26500</v>
      </c>
      <c r="S145" s="47">
        <f t="shared" si="41"/>
        <v>46344</v>
      </c>
      <c r="T145" s="48">
        <v>66</v>
      </c>
      <c r="U145" s="49"/>
      <c r="V145" s="50">
        <f t="shared" si="42"/>
        <v>46344</v>
      </c>
      <c r="W145" t="e">
        <f>VLOOKUP(Q145,Q196:Q320,1,0)</f>
        <v>#N/A</v>
      </c>
      <c r="X145" s="132">
        <f t="shared" si="43"/>
        <v>46051</v>
      </c>
    </row>
    <row r="146" spans="1:26" ht="14.25" customHeight="1">
      <c r="A146" s="25" t="s">
        <v>17</v>
      </c>
      <c r="B146" s="24">
        <f>M82+K82</f>
        <v>45883</v>
      </c>
      <c r="C146" s="20">
        <f>YEAR(B146)</f>
        <v>2025</v>
      </c>
      <c r="D146" s="30">
        <v>45883</v>
      </c>
      <c r="E146" s="26" t="s">
        <v>162</v>
      </c>
      <c r="F146" s="27">
        <f t="shared" ca="1" si="46"/>
        <v>58.714285714285715</v>
      </c>
      <c r="G146" s="27" t="str">
        <f>IFERROR(VLOOKUP(H146,Encerrados!#REF!,3,FALSE),
IFERROR(VLOOKUP(H146,Encerrados!#REF!,3,FALSE),
IFERROR(VLOOKUP(H146,Encerrados!#REF!,3,FALSE),
IFERROR(VLOOKUP(H146,Encerrados!#REF!,3,FALSE),"-"))))</f>
        <v>-</v>
      </c>
      <c r="H146" s="28" t="s">
        <v>429</v>
      </c>
      <c r="I146" s="29">
        <v>60000</v>
      </c>
      <c r="J146" s="25" t="s">
        <v>45</v>
      </c>
      <c r="K146" s="25">
        <v>47</v>
      </c>
      <c r="L146" s="11" t="s">
        <v>365</v>
      </c>
      <c r="M146" s="45">
        <f>D146+(22*7)-7</f>
        <v>46030</v>
      </c>
      <c r="N146" s="45">
        <f>D146+24*7</f>
        <v>46051</v>
      </c>
      <c r="O146" s="364">
        <v>130426</v>
      </c>
      <c r="P146" s="23" t="str">
        <f>IFERROR(VLOOKUP(Q146,Encerrados!#REF!,3,FALSE),
IFERROR(VLOOKUP(Q146,Encerrados!#REF!,3,FALSE),
IFERROR(VLOOKUP(Q146,Encerrados!#REF!,3,FALSE),
IFERROR(VLOOKUP(Q146,Encerrados!#REF!,3,FALSE),"-"))))</f>
        <v>-</v>
      </c>
      <c r="Q146" s="184" t="s">
        <v>163</v>
      </c>
      <c r="R146" s="46">
        <v>57000</v>
      </c>
      <c r="S146" s="47">
        <f>D146+(T146*7)-1</f>
        <v>46344</v>
      </c>
      <c r="T146" s="48">
        <v>66</v>
      </c>
      <c r="U146" s="49"/>
      <c r="V146" s="50">
        <f>IFERROR(S146+U146," ")</f>
        <v>46344</v>
      </c>
      <c r="W146" t="e">
        <f>VLOOKUP(Q146,Q197:Q321,1,0)</f>
        <v>#N/A</v>
      </c>
      <c r="X146" s="132">
        <f t="shared" si="43"/>
        <v>46051</v>
      </c>
    </row>
    <row r="147" spans="1:26" ht="14.25" customHeight="1">
      <c r="A147" s="25" t="s">
        <v>17</v>
      </c>
      <c r="B147" s="24">
        <f>M79+K79</f>
        <v>45891</v>
      </c>
      <c r="C147" s="20">
        <f>YEAR(B147)</f>
        <v>2025</v>
      </c>
      <c r="D147" s="30">
        <v>45890</v>
      </c>
      <c r="E147" s="26" t="s">
        <v>164</v>
      </c>
      <c r="F147" s="27">
        <f t="shared" ca="1" si="46"/>
        <v>57.714285714285715</v>
      </c>
      <c r="G147" s="27" t="str">
        <f>IFERROR(VLOOKUP(H147,Encerrados!#REF!,3,FALSE),
IFERROR(VLOOKUP(H147,Encerrados!#REF!,3,FALSE),
IFERROR(VLOOKUP(H147,Encerrados!#REF!,3,FALSE),
IFERROR(VLOOKUP(H147,Encerrados!#REF!,3,FALSE),"-"))))</f>
        <v>-</v>
      </c>
      <c r="H147" s="28" t="s">
        <v>19</v>
      </c>
      <c r="I147" s="29">
        <v>84000</v>
      </c>
      <c r="J147" s="25" t="s">
        <v>45</v>
      </c>
      <c r="K147" s="25">
        <v>48</v>
      </c>
      <c r="L147" s="11" t="s">
        <v>510</v>
      </c>
      <c r="M147" s="240">
        <f t="shared" ref="M147" si="51">D147+(22*7)-7</f>
        <v>46037</v>
      </c>
      <c r="N147" s="240">
        <f t="shared" ref="N147" si="52">D147+24*7</f>
        <v>46058</v>
      </c>
      <c r="O147" s="365"/>
      <c r="P147" s="241" t="str">
        <f>IFERROR(VLOOKUP(Q147,Encerrados!#REF!,3,FALSE),
IFERROR(VLOOKUP(Q147,Encerrados!#REF!,3,FALSE),
IFERROR(VLOOKUP(Q147,Encerrados!#REF!,3,FALSE),
IFERROR(VLOOKUP(Q147,Encerrados!#REF!,3,FALSE),"-"))))</f>
        <v>-</v>
      </c>
      <c r="Q147" s="216" t="s">
        <v>511</v>
      </c>
      <c r="R147" s="242">
        <v>20000</v>
      </c>
      <c r="S147" s="243">
        <f t="shared" ref="S147" si="53">D147+(T147*7)-1</f>
        <v>46351</v>
      </c>
      <c r="T147" s="182">
        <v>66</v>
      </c>
      <c r="U147" s="244"/>
      <c r="V147" s="245">
        <f t="shared" ref="V147" si="54">IFERROR(S147+U147," ")</f>
        <v>46351</v>
      </c>
      <c r="W147" t="e">
        <f>VLOOKUP(Q147,Q198:Q322,1,0)</f>
        <v>#N/A</v>
      </c>
      <c r="X147" s="132">
        <f t="shared" si="43"/>
        <v>46058</v>
      </c>
    </row>
    <row r="148" spans="1:26" ht="14.25" customHeight="1">
      <c r="A148" s="25" t="s">
        <v>17</v>
      </c>
      <c r="B148" s="24">
        <f>M79+K79</f>
        <v>45891</v>
      </c>
      <c r="C148" s="20">
        <f>YEAR(B148)</f>
        <v>2025</v>
      </c>
      <c r="D148" s="30">
        <v>45890</v>
      </c>
      <c r="E148" s="26" t="s">
        <v>164</v>
      </c>
      <c r="F148" s="27">
        <f t="shared" ca="1" si="46"/>
        <v>57.714285714285715</v>
      </c>
      <c r="G148" s="27" t="str">
        <f>IFERROR(VLOOKUP(H148,Encerrados!#REF!,3,FALSE),
IFERROR(VLOOKUP(H148,Encerrados!#REF!,3,FALSE),
IFERROR(VLOOKUP(H148,Encerrados!#REF!,3,FALSE),
IFERROR(VLOOKUP(H148,Encerrados!#REF!,3,FALSE),"-"))))</f>
        <v>-</v>
      </c>
      <c r="H148" s="28" t="s">
        <v>19</v>
      </c>
      <c r="I148" s="29"/>
      <c r="J148" s="25" t="s">
        <v>45</v>
      </c>
      <c r="K148" s="25">
        <v>48</v>
      </c>
      <c r="L148" s="11" t="s">
        <v>510</v>
      </c>
      <c r="M148" s="45">
        <f>D148+(22*7)-7</f>
        <v>46037</v>
      </c>
      <c r="N148" s="45">
        <f>D148+24*7</f>
        <v>46058</v>
      </c>
      <c r="O148" s="364">
        <v>130526</v>
      </c>
      <c r="P148" s="23" t="str">
        <f>IFERROR(VLOOKUP(Q148,Encerrados!#REF!,3,FALSE),
IFERROR(VLOOKUP(Q148,Encerrados!#REF!,3,FALSE),
IFERROR(VLOOKUP(Q148,Encerrados!#REF!,3,FALSE),
IFERROR(VLOOKUP(Q148,Encerrados!#REF!,3,FALSE),"-"))))</f>
        <v>-</v>
      </c>
      <c r="Q148" s="184" t="s">
        <v>161</v>
      </c>
      <c r="R148" s="46">
        <v>57000</v>
      </c>
      <c r="S148" s="47">
        <f>D148+(T148*7)-1</f>
        <v>46351</v>
      </c>
      <c r="T148" s="48">
        <v>66</v>
      </c>
      <c r="U148" s="49"/>
      <c r="V148" s="50">
        <f>IFERROR(S148+U148," ")</f>
        <v>46351</v>
      </c>
      <c r="W148" t="e">
        <f>VLOOKUP(Q148,Q193:Q323,1,0)</f>
        <v>#N/A</v>
      </c>
      <c r="X148" s="132">
        <f t="shared" si="43"/>
        <v>46058</v>
      </c>
    </row>
    <row r="149" spans="1:26" ht="14.25" customHeight="1">
      <c r="A149" s="25" t="s">
        <v>17</v>
      </c>
      <c r="B149" s="24">
        <f>M83+K83</f>
        <v>45895</v>
      </c>
      <c r="C149" s="20">
        <f t="shared" si="26"/>
        <v>2025</v>
      </c>
      <c r="D149" s="30">
        <v>45897</v>
      </c>
      <c r="E149" s="26" t="s">
        <v>168</v>
      </c>
      <c r="F149" s="27">
        <f t="shared" ca="1" si="46"/>
        <v>56.714285714285715</v>
      </c>
      <c r="G149" s="27" t="str">
        <f>IFERROR(VLOOKUP(H149,Encerrados!#REF!,3,FALSE),
IFERROR(VLOOKUP(H149,Encerrados!#REF!,3,FALSE),
IFERROR(VLOOKUP(H149,Encerrados!#REF!,3,FALSE),
IFERROR(VLOOKUP(H149,Encerrados!#REF!,3,FALSE),"-"))))</f>
        <v>-</v>
      </c>
      <c r="H149" s="28" t="s">
        <v>303</v>
      </c>
      <c r="I149" s="29">
        <v>42000</v>
      </c>
      <c r="J149" s="25" t="s">
        <v>45</v>
      </c>
      <c r="K149" s="25">
        <v>50</v>
      </c>
      <c r="L149" s="11" t="s">
        <v>512</v>
      </c>
      <c r="M149" s="45">
        <f>D149+(22*7)-7</f>
        <v>46044</v>
      </c>
      <c r="N149" s="45">
        <f>D149+24*7</f>
        <v>46065</v>
      </c>
      <c r="O149" s="364">
        <v>130626</v>
      </c>
      <c r="P149" s="23" t="str">
        <f>IFERROR(VLOOKUP(Q149,Encerrados!#REF!,3,FALSE),
IFERROR(VLOOKUP(Q149,Encerrados!#REF!,3,FALSE),
IFERROR(VLOOKUP(Q149,Encerrados!#REF!,3,FALSE),
IFERROR(VLOOKUP(Q149,Encerrados!#REF!,3,FALSE),"-"))))</f>
        <v>-</v>
      </c>
      <c r="Q149" s="184" t="s">
        <v>166</v>
      </c>
      <c r="R149" s="46">
        <v>20000</v>
      </c>
      <c r="S149" s="47">
        <f>D149+(T149*7)-1</f>
        <v>46358</v>
      </c>
      <c r="T149" s="48">
        <v>66</v>
      </c>
      <c r="U149" s="49"/>
      <c r="V149" s="50">
        <f t="shared" si="42"/>
        <v>46358</v>
      </c>
      <c r="W149" t="e">
        <f>VLOOKUP(Q149,Q200:Q324,1,0)</f>
        <v>#N/A</v>
      </c>
      <c r="X149" s="132">
        <f t="shared" si="43"/>
        <v>46065</v>
      </c>
    </row>
    <row r="150" spans="1:26" ht="14.25" customHeight="1">
      <c r="A150" s="25" t="s">
        <v>17</v>
      </c>
      <c r="B150" s="24">
        <f>M83+K83</f>
        <v>45895</v>
      </c>
      <c r="C150" s="20">
        <f t="shared" si="26"/>
        <v>2025</v>
      </c>
      <c r="D150" s="30">
        <v>45897</v>
      </c>
      <c r="E150" s="26" t="s">
        <v>168</v>
      </c>
      <c r="F150" s="27">
        <f t="shared" ca="1" si="46"/>
        <v>56.714285714285715</v>
      </c>
      <c r="G150" s="27" t="str">
        <f>IFERROR(VLOOKUP(H150,Encerrados!#REF!,3,FALSE),
IFERROR(VLOOKUP(H150,Encerrados!#REF!,3,FALSE),
IFERROR(VLOOKUP(H150,Encerrados!#REF!,3,FALSE),
IFERROR(VLOOKUP(H150,Encerrados!#REF!,3,FALSE),"-"))))</f>
        <v>-</v>
      </c>
      <c r="H150" s="28" t="s">
        <v>303</v>
      </c>
      <c r="I150" s="29"/>
      <c r="J150" s="25" t="s">
        <v>45</v>
      </c>
      <c r="K150" s="25">
        <v>50</v>
      </c>
      <c r="L150" s="11" t="s">
        <v>512</v>
      </c>
      <c r="M150" s="45">
        <f>D150+(22*7)-7</f>
        <v>46044</v>
      </c>
      <c r="N150" s="45">
        <f>D150+24*7</f>
        <v>46065</v>
      </c>
      <c r="O150" s="364">
        <v>130726</v>
      </c>
      <c r="P150" s="23" t="str">
        <f>IFERROR(VLOOKUP(Q150,Encerrados!#REF!,3,FALSE),
IFERROR(VLOOKUP(Q150,Encerrados!#REF!,3,FALSE),
IFERROR(VLOOKUP(Q150,Encerrados!#REF!,3,FALSE),
IFERROR(VLOOKUP(Q150,Encerrados!#REF!,3,FALSE),"-"))))</f>
        <v>-</v>
      </c>
      <c r="Q150" s="184" t="s">
        <v>179</v>
      </c>
      <c r="R150" s="46">
        <v>23000</v>
      </c>
      <c r="S150" s="47">
        <f>D150+(T150*7)-1</f>
        <v>46358</v>
      </c>
      <c r="T150" s="48">
        <v>66</v>
      </c>
      <c r="U150" s="49"/>
      <c r="V150" s="50">
        <f t="shared" si="42"/>
        <v>46358</v>
      </c>
      <c r="W150" t="e">
        <f>VLOOKUP(Q150,Q204:Q325,1,0)</f>
        <v>#N/A</v>
      </c>
      <c r="X150" s="132">
        <f t="shared" si="43"/>
        <v>46065</v>
      </c>
    </row>
    <row r="151" spans="1:26" ht="14.25" customHeight="1">
      <c r="A151" s="25" t="s">
        <v>17</v>
      </c>
      <c r="B151" s="24">
        <f>M85+K85</f>
        <v>45898</v>
      </c>
      <c r="C151" s="20">
        <f>YEAR(B151)</f>
        <v>2025</v>
      </c>
      <c r="D151" s="30">
        <v>45897</v>
      </c>
      <c r="E151" s="26" t="s">
        <v>171</v>
      </c>
      <c r="F151" s="27">
        <f ca="1">IF((TODAY()-D151)/7&gt;T160,T160,(TODAY()-D151)/7)</f>
        <v>56.714285714285715</v>
      </c>
      <c r="G151" s="27" t="str">
        <f>IFERROR(VLOOKUP(H151,Encerrados!#REF!,3,FALSE),
IFERROR(VLOOKUP(H151,Encerrados!#REF!,3,FALSE),
IFERROR(VLOOKUP(H151,Encerrados!#REF!,3,FALSE),
IFERROR(VLOOKUP(H151,Encerrados!#REF!,3,FALSE),"-"))))</f>
        <v>-</v>
      </c>
      <c r="H151" s="28" t="s">
        <v>36</v>
      </c>
      <c r="I151" s="29">
        <v>62500</v>
      </c>
      <c r="J151" s="25" t="s">
        <v>45</v>
      </c>
      <c r="K151" s="25">
        <v>50</v>
      </c>
      <c r="L151" s="11" t="s">
        <v>510</v>
      </c>
      <c r="M151" s="45">
        <f t="shared" si="45"/>
        <v>46044</v>
      </c>
      <c r="N151" s="45">
        <f t="shared" si="44"/>
        <v>46065</v>
      </c>
      <c r="O151" s="364">
        <v>130826</v>
      </c>
      <c r="P151" s="23" t="str">
        <f>IFERROR(VLOOKUP(Q151,Encerrados!#REF!,3,FALSE),
IFERROR(VLOOKUP(Q151,Encerrados!#REF!,3,FALSE),
IFERROR(VLOOKUP(Q151,Encerrados!#REF!,3,FALSE),
IFERROR(VLOOKUP(Q151,Encerrados!#REF!,3,FALSE),"-"))))</f>
        <v>-</v>
      </c>
      <c r="Q151" s="184" t="s">
        <v>433</v>
      </c>
      <c r="R151" s="46">
        <v>60000</v>
      </c>
      <c r="S151" s="47">
        <f t="shared" si="41"/>
        <v>46358</v>
      </c>
      <c r="T151" s="48">
        <v>66</v>
      </c>
      <c r="U151" s="49"/>
      <c r="V151" s="50">
        <f t="shared" si="42"/>
        <v>46358</v>
      </c>
      <c r="W151" t="e">
        <f>VLOOKUP(Q151,Q201:Q326,1,0)</f>
        <v>#N/A</v>
      </c>
      <c r="X151" s="132">
        <f t="shared" si="43"/>
        <v>46065</v>
      </c>
    </row>
    <row r="152" spans="1:26" ht="14.1" customHeight="1">
      <c r="A152" s="25" t="s">
        <v>17</v>
      </c>
      <c r="B152" s="24">
        <f>M88+K88</f>
        <v>45904</v>
      </c>
      <c r="C152" s="20">
        <f>YEAR(B152)</f>
        <v>2025</v>
      </c>
      <c r="D152" s="30">
        <v>45904</v>
      </c>
      <c r="E152" s="26" t="s">
        <v>175</v>
      </c>
      <c r="F152" s="27">
        <f t="shared" ref="F152:F213" ca="1" si="55">IF((TODAY()-D152)/7&gt;T152,T152,(TODAY()-D152)/7)</f>
        <v>55.714285714285715</v>
      </c>
      <c r="G152" s="27" t="str">
        <f>IFERROR(VLOOKUP(H152,Encerrados!#REF!,3,FALSE),
IFERROR(VLOOKUP(H152,Encerrados!#REF!,3,FALSE),
IFERROR(VLOOKUP(H152,Encerrados!#REF!,3,FALSE),
IFERROR(VLOOKUP(H152,Encerrados!#REF!,3,FALSE),"-"))))</f>
        <v>-</v>
      </c>
      <c r="H152" s="28" t="s">
        <v>47</v>
      </c>
      <c r="I152" s="29">
        <v>60000</v>
      </c>
      <c r="J152" s="25" t="s">
        <v>45</v>
      </c>
      <c r="K152" s="25">
        <v>50</v>
      </c>
      <c r="L152" s="12" t="s">
        <v>368</v>
      </c>
      <c r="M152" s="45">
        <f>D152+(22*7)-7</f>
        <v>46051</v>
      </c>
      <c r="N152" s="45">
        <f>D152+24*7</f>
        <v>46072</v>
      </c>
      <c r="O152" s="364">
        <v>130926</v>
      </c>
      <c r="P152" s="23" t="str">
        <f>IFERROR(VLOOKUP(Q152,Encerrados!#REF!,3,FALSE),
IFERROR(VLOOKUP(Q152,Encerrados!#REF!,3,FALSE),
IFERROR(VLOOKUP(Q152,Encerrados!#REF!,3,FALSE),
IFERROR(VLOOKUP(Q152,Encerrados!#REF!,3,FALSE),"-"))))</f>
        <v>-</v>
      </c>
      <c r="Q152" s="184" t="s">
        <v>436</v>
      </c>
      <c r="R152" s="46">
        <v>57000</v>
      </c>
      <c r="S152" s="47">
        <f>D152+(T152*7)-1</f>
        <v>46365</v>
      </c>
      <c r="T152" s="48">
        <v>66</v>
      </c>
      <c r="U152" s="49"/>
      <c r="V152" s="50">
        <f t="shared" si="42"/>
        <v>46365</v>
      </c>
      <c r="W152" t="e">
        <f>VLOOKUP(Q152,Q204:Q327,1,0)</f>
        <v>#N/A</v>
      </c>
      <c r="X152" s="132">
        <f t="shared" si="43"/>
        <v>46072</v>
      </c>
    </row>
    <row r="153" spans="1:26" ht="14.25" customHeight="1">
      <c r="A153" s="25" t="s">
        <v>17</v>
      </c>
      <c r="B153" s="24">
        <f>M90+K90</f>
        <v>45905</v>
      </c>
      <c r="C153" s="20">
        <f>YEAR(B153)</f>
        <v>2025</v>
      </c>
      <c r="D153" s="30">
        <v>45904</v>
      </c>
      <c r="E153" s="26" t="s">
        <v>173</v>
      </c>
      <c r="F153" s="27">
        <f t="shared" ca="1" si="55"/>
        <v>55.714285714285715</v>
      </c>
      <c r="G153" s="27" t="str">
        <f>IFERROR(VLOOKUP(H153,Encerrados!#REF!,3,FALSE),
IFERROR(VLOOKUP(H153,Encerrados!#REF!,3,FALSE),
IFERROR(VLOOKUP(H153,Encerrados!#REF!,3,FALSE),
IFERROR(VLOOKUP(H153,Encerrados!#REF!,3,FALSE),"-"))))</f>
        <v>-</v>
      </c>
      <c r="H153" s="28" t="s">
        <v>52</v>
      </c>
      <c r="I153" s="29">
        <v>30000</v>
      </c>
      <c r="J153" s="25" t="s">
        <v>45</v>
      </c>
      <c r="K153" s="25">
        <v>50</v>
      </c>
      <c r="L153" s="12" t="s">
        <v>368</v>
      </c>
      <c r="M153" s="45">
        <f>D153+(22*7)-7</f>
        <v>46051</v>
      </c>
      <c r="N153" s="45">
        <f>D153+24*7</f>
        <v>46072</v>
      </c>
      <c r="O153" s="364">
        <v>131026</v>
      </c>
      <c r="P153" s="23" t="str">
        <f>IFERROR(VLOOKUP(Q153,Encerrados!#REF!,3,FALSE),
IFERROR(VLOOKUP(Q153,Encerrados!#REF!,3,FALSE),
IFERROR(VLOOKUP(Q153,Encerrados!#REF!,3,FALSE),
IFERROR(VLOOKUP(Q153,Encerrados!#REF!,3,FALSE),"-"))))</f>
        <v>-</v>
      </c>
      <c r="Q153" s="184" t="s">
        <v>170</v>
      </c>
      <c r="R153" s="46">
        <f>I153*0.96</f>
        <v>28800</v>
      </c>
      <c r="S153" s="47">
        <f>D153+(T153*7)-1</f>
        <v>46365</v>
      </c>
      <c r="T153" s="48">
        <v>66</v>
      </c>
      <c r="U153" s="49"/>
      <c r="V153" s="50">
        <f t="shared" si="42"/>
        <v>46365</v>
      </c>
      <c r="W153" t="e">
        <f>VLOOKUP(Q153,Q204:Q328,1,0)</f>
        <v>#N/A</v>
      </c>
      <c r="X153" s="132">
        <f t="shared" si="43"/>
        <v>46072</v>
      </c>
    </row>
    <row r="154" spans="1:26" s="67" customFormat="1" ht="15" customHeight="1">
      <c r="A154" s="72" t="s">
        <v>177</v>
      </c>
      <c r="B154" s="73">
        <v>45913</v>
      </c>
      <c r="C154" s="72">
        <v>2025</v>
      </c>
      <c r="D154" s="74">
        <v>45911</v>
      </c>
      <c r="E154" s="134"/>
      <c r="F154" s="70">
        <f t="shared" ca="1" si="55"/>
        <v>54.714285714285715</v>
      </c>
      <c r="G154" s="70">
        <v>39</v>
      </c>
      <c r="H154" s="170" t="s">
        <v>178</v>
      </c>
      <c r="I154" s="71"/>
      <c r="J154" s="69" t="s">
        <v>60</v>
      </c>
      <c r="K154" s="69">
        <v>25</v>
      </c>
      <c r="L154" s="38" t="s">
        <v>376</v>
      </c>
      <c r="M154" s="45">
        <f t="shared" si="45"/>
        <v>46058</v>
      </c>
      <c r="N154" s="45">
        <f t="shared" si="44"/>
        <v>46079</v>
      </c>
      <c r="O154" s="364">
        <v>131126</v>
      </c>
      <c r="P154" s="23" t="str">
        <f>IFERROR(VLOOKUP(Q154,Encerrados!#REF!,3,FALSE),
IFERROR(VLOOKUP(Q154,Encerrados!#REF!,3,FALSE),
IFERROR(VLOOKUP(Q154,Encerrados!#REF!,3,FALSE),
IFERROR(VLOOKUP(Q154,Encerrados!#REF!,3,FALSE),"-"))))</f>
        <v>-</v>
      </c>
      <c r="Q154" s="184" t="s">
        <v>170</v>
      </c>
      <c r="R154" s="46">
        <v>8000</v>
      </c>
      <c r="S154" s="47">
        <f t="shared" si="41"/>
        <v>46372</v>
      </c>
      <c r="T154" s="48">
        <v>66</v>
      </c>
      <c r="U154" s="49"/>
      <c r="V154" s="50">
        <f t="shared" si="42"/>
        <v>46372</v>
      </c>
      <c r="W154" t="e">
        <f>VLOOKUP(Q154,Q204:Q329,1,0)</f>
        <v>#N/A</v>
      </c>
      <c r="X154" s="132">
        <f t="shared" si="43"/>
        <v>46079</v>
      </c>
      <c r="Y154" s="31"/>
      <c r="Z154" s="31"/>
    </row>
    <row r="155" spans="1:26" s="67" customFormat="1" ht="15" customHeight="1">
      <c r="A155" s="72" t="s">
        <v>177</v>
      </c>
      <c r="B155" s="73">
        <v>45913</v>
      </c>
      <c r="C155" s="72">
        <v>2025</v>
      </c>
      <c r="D155" s="74">
        <v>45911</v>
      </c>
      <c r="E155" s="134"/>
      <c r="F155" s="70">
        <f t="shared" ca="1" si="55"/>
        <v>54.714285714285715</v>
      </c>
      <c r="G155" s="70">
        <v>39</v>
      </c>
      <c r="H155" s="170" t="s">
        <v>178</v>
      </c>
      <c r="I155" s="71"/>
      <c r="J155" s="69" t="s">
        <v>60</v>
      </c>
      <c r="K155" s="69">
        <v>25</v>
      </c>
      <c r="L155" s="38" t="s">
        <v>376</v>
      </c>
      <c r="M155" s="45">
        <f t="shared" si="45"/>
        <v>46058</v>
      </c>
      <c r="N155" s="45">
        <f t="shared" si="44"/>
        <v>46079</v>
      </c>
      <c r="O155" s="364">
        <v>131226</v>
      </c>
      <c r="P155" s="23" t="str">
        <f>IFERROR(VLOOKUP(Q155,Encerrados!#REF!,3,FALSE),
IFERROR(VLOOKUP(Q155,Encerrados!#REF!,3,FALSE),
IFERROR(VLOOKUP(Q155,Encerrados!#REF!,3,FALSE),
IFERROR(VLOOKUP(Q155,Encerrados!#REF!,3,FALSE),"-"))))</f>
        <v>-</v>
      </c>
      <c r="Q155" s="184" t="s">
        <v>182</v>
      </c>
      <c r="R155" s="46">
        <v>30000</v>
      </c>
      <c r="S155" s="47">
        <f t="shared" si="41"/>
        <v>46372</v>
      </c>
      <c r="T155" s="48">
        <v>66</v>
      </c>
      <c r="U155" s="49"/>
      <c r="V155" s="50">
        <f t="shared" si="42"/>
        <v>46372</v>
      </c>
      <c r="W155" t="e">
        <f>VLOOKUP(Q155,Q202:Q330,1,0)</f>
        <v>#N/A</v>
      </c>
      <c r="X155" s="132">
        <f t="shared" si="43"/>
        <v>46079</v>
      </c>
      <c r="Y155" s="31"/>
      <c r="Z155" s="31"/>
    </row>
    <row r="156" spans="1:26" ht="14.25" customHeight="1">
      <c r="A156" s="25" t="s">
        <v>17</v>
      </c>
      <c r="B156" s="24">
        <f>M91+K91</f>
        <v>45924</v>
      </c>
      <c r="C156" s="20">
        <f t="shared" ref="C156:C217" si="56">YEAR(B156)</f>
        <v>2025</v>
      </c>
      <c r="D156" s="30">
        <v>45925</v>
      </c>
      <c r="E156" s="26" t="s">
        <v>181</v>
      </c>
      <c r="F156" s="27">
        <f t="shared" ca="1" si="55"/>
        <v>52.714285714285715</v>
      </c>
      <c r="G156" s="27" t="str">
        <f>IFERROR(VLOOKUP(H156,Encerrados!#REF!,3,FALSE),
IFERROR(VLOOKUP(H156,Encerrados!#REF!,3,FALSE),
IFERROR(VLOOKUP(H156,Encerrados!#REF!,3,FALSE),
IFERROR(VLOOKUP(H156,Encerrados!#REF!,3,FALSE),"-"))))</f>
        <v>-</v>
      </c>
      <c r="H156" s="28" t="s">
        <v>59</v>
      </c>
      <c r="I156" s="29">
        <v>60000</v>
      </c>
      <c r="J156" s="25" t="s">
        <v>45</v>
      </c>
      <c r="K156" s="25">
        <v>50</v>
      </c>
      <c r="L156" s="11" t="s">
        <v>507</v>
      </c>
      <c r="M156" s="45">
        <f>D156+(22*7)-7</f>
        <v>46072</v>
      </c>
      <c r="N156" s="45">
        <f t="shared" si="44"/>
        <v>46093</v>
      </c>
      <c r="O156" s="364">
        <v>131226</v>
      </c>
      <c r="P156" s="23" t="str">
        <f>IFERROR(VLOOKUP(Q156,Encerrados!#REF!,3,FALSE),
IFERROR(VLOOKUP(Q156,Encerrados!#REF!,3,FALSE),
IFERROR(VLOOKUP(Q156,Encerrados!#REF!,3,FALSE),
IFERROR(VLOOKUP(Q156,Encerrados!#REF!,3,FALSE),"-"))))</f>
        <v>-</v>
      </c>
      <c r="Q156" s="184" t="s">
        <v>182</v>
      </c>
      <c r="R156" s="46">
        <v>20000</v>
      </c>
      <c r="S156" s="47">
        <f t="shared" si="41"/>
        <v>46386</v>
      </c>
      <c r="T156" s="48">
        <v>66</v>
      </c>
      <c r="U156" s="49"/>
      <c r="V156" s="50">
        <f t="shared" si="42"/>
        <v>46386</v>
      </c>
      <c r="W156" t="e">
        <f>VLOOKUP(Q156,Q203:Q331,1,0)</f>
        <v>#N/A</v>
      </c>
      <c r="X156" s="132">
        <f t="shared" si="43"/>
        <v>46093</v>
      </c>
    </row>
    <row r="157" spans="1:26" ht="14.25" customHeight="1">
      <c r="A157" s="25" t="s">
        <v>17</v>
      </c>
      <c r="B157" s="24">
        <f>M91+K91</f>
        <v>45924</v>
      </c>
      <c r="C157" s="20">
        <f t="shared" si="56"/>
        <v>2025</v>
      </c>
      <c r="D157" s="30">
        <v>45925</v>
      </c>
      <c r="E157" s="26" t="s">
        <v>181</v>
      </c>
      <c r="F157" s="27">
        <f t="shared" ca="1" si="55"/>
        <v>52.714285714285715</v>
      </c>
      <c r="G157" s="27" t="str">
        <f>IFERROR(VLOOKUP(H157,Encerrados!#REF!,3,FALSE),
IFERROR(VLOOKUP(H157,Encerrados!#REF!,3,FALSE),
IFERROR(VLOOKUP(H157,Encerrados!#REF!,3,FALSE),
IFERROR(VLOOKUP(H157,Encerrados!#REF!,3,FALSE),"-"))))</f>
        <v>-</v>
      </c>
      <c r="H157" s="28" t="s">
        <v>59</v>
      </c>
      <c r="I157" s="29"/>
      <c r="J157" s="25" t="s">
        <v>45</v>
      </c>
      <c r="K157" s="25">
        <v>50</v>
      </c>
      <c r="L157" s="11" t="s">
        <v>507</v>
      </c>
      <c r="M157" s="45">
        <f>D157+(22*7)-7</f>
        <v>46072</v>
      </c>
      <c r="N157" s="45">
        <f t="shared" si="44"/>
        <v>46093</v>
      </c>
      <c r="O157" s="364">
        <v>131326</v>
      </c>
      <c r="P157" s="23" t="str">
        <f>IFERROR(VLOOKUP(Q157,Encerrados!#REF!,3,FALSE),
IFERROR(VLOOKUP(Q157,Encerrados!#REF!,3,FALSE),
IFERROR(VLOOKUP(Q157,Encerrados!#REF!,3,FALSE),
IFERROR(VLOOKUP(Q157,Encerrados!#REF!,3,FALSE),"-"))))</f>
        <v>-</v>
      </c>
      <c r="Q157" s="184" t="s">
        <v>180</v>
      </c>
      <c r="R157" s="46">
        <v>38000</v>
      </c>
      <c r="S157" s="47">
        <f t="shared" si="41"/>
        <v>46386</v>
      </c>
      <c r="T157" s="48">
        <v>66</v>
      </c>
      <c r="U157" s="49"/>
      <c r="V157" s="50">
        <f t="shared" si="42"/>
        <v>46386</v>
      </c>
      <c r="W157" t="e">
        <f>VLOOKUP(Q157,Q205:Q332,1,0)</f>
        <v>#N/A</v>
      </c>
      <c r="X157" s="132">
        <f t="shared" si="43"/>
        <v>46093</v>
      </c>
    </row>
    <row r="158" spans="1:26" ht="14.25" customHeight="1">
      <c r="A158" s="25" t="s">
        <v>17</v>
      </c>
      <c r="B158" s="24">
        <f>M99+K99</f>
        <v>45926</v>
      </c>
      <c r="C158" s="20">
        <f t="shared" si="56"/>
        <v>2025</v>
      </c>
      <c r="D158" s="30">
        <v>45925</v>
      </c>
      <c r="E158" s="26" t="s">
        <v>183</v>
      </c>
      <c r="F158" s="27">
        <f t="shared" ca="1" si="55"/>
        <v>52.714285714285715</v>
      </c>
      <c r="G158" s="27" t="str">
        <f>IFERROR(VLOOKUP(H158,Encerrados!#REF!,3,FALSE),
IFERROR(VLOOKUP(H158,Encerrados!#REF!,3,FALSE),
IFERROR(VLOOKUP(H158,Encerrados!#REF!,3,FALSE),
IFERROR(VLOOKUP(H158,Encerrados!#REF!,3,FALSE),"-"))))</f>
        <v>-</v>
      </c>
      <c r="H158" s="28" t="s">
        <v>68</v>
      </c>
      <c r="I158" s="29">
        <v>107000</v>
      </c>
      <c r="J158" s="25" t="s">
        <v>45</v>
      </c>
      <c r="K158" s="25">
        <v>50</v>
      </c>
      <c r="L158" s="12" t="s">
        <v>368</v>
      </c>
      <c r="M158" s="45">
        <f t="shared" ref="M158:M205" si="57">D158+(22*7)-7</f>
        <v>46072</v>
      </c>
      <c r="N158" s="45">
        <f t="shared" si="44"/>
        <v>46093</v>
      </c>
      <c r="O158" s="364">
        <v>131426</v>
      </c>
      <c r="P158" s="23" t="str">
        <f>IFERROR(VLOOKUP(Q158,Encerrados!#REF!,3,FALSE),
IFERROR(VLOOKUP(Q158,Encerrados!#REF!,3,FALSE),
IFERROR(VLOOKUP(Q158,Encerrados!#REF!,3,FALSE),
IFERROR(VLOOKUP(Q158,Encerrados!#REF!,3,FALSE),"-"))))</f>
        <v>-</v>
      </c>
      <c r="Q158" s="184" t="s">
        <v>184</v>
      </c>
      <c r="R158" s="46">
        <v>57000</v>
      </c>
      <c r="S158" s="47">
        <f t="shared" si="41"/>
        <v>46386</v>
      </c>
      <c r="T158" s="48">
        <v>66</v>
      </c>
      <c r="U158" s="49"/>
      <c r="V158" s="50">
        <f t="shared" si="42"/>
        <v>46386</v>
      </c>
      <c r="W158" t="e">
        <f>VLOOKUP(Q158,Q206:Q333,1,0)</f>
        <v>#N/A</v>
      </c>
      <c r="X158" s="132">
        <f t="shared" si="43"/>
        <v>46093</v>
      </c>
    </row>
    <row r="159" spans="1:26" ht="14.25" customHeight="1">
      <c r="A159" s="25" t="s">
        <v>17</v>
      </c>
      <c r="B159" s="24">
        <f>M99+K99</f>
        <v>45926</v>
      </c>
      <c r="C159" s="20">
        <f t="shared" si="56"/>
        <v>2025</v>
      </c>
      <c r="D159" s="30">
        <v>45925</v>
      </c>
      <c r="E159" s="26" t="s">
        <v>183</v>
      </c>
      <c r="F159" s="27">
        <f t="shared" ca="1" si="55"/>
        <v>52.714285714285715</v>
      </c>
      <c r="G159" s="27" t="str">
        <f>IFERROR(VLOOKUP(H159,Encerrados!#REF!,3,FALSE),
IFERROR(VLOOKUP(H159,Encerrados!#REF!,3,FALSE),
IFERROR(VLOOKUP(H159,Encerrados!#REF!,3,FALSE),
IFERROR(VLOOKUP(H159,Encerrados!#REF!,3,FALSE),"-"))))</f>
        <v>-</v>
      </c>
      <c r="H159" s="28" t="s">
        <v>68</v>
      </c>
      <c r="I159" s="29"/>
      <c r="J159" s="25" t="s">
        <v>45</v>
      </c>
      <c r="K159" s="25">
        <v>50</v>
      </c>
      <c r="L159" s="12" t="s">
        <v>368</v>
      </c>
      <c r="M159" s="45">
        <f t="shared" si="57"/>
        <v>46072</v>
      </c>
      <c r="N159" s="45">
        <f t="shared" si="44"/>
        <v>46093</v>
      </c>
      <c r="O159" s="364">
        <v>131526</v>
      </c>
      <c r="P159" s="23" t="str">
        <f>IFERROR(VLOOKUP(Q159,Encerrados!#REF!,3,FALSE),
IFERROR(VLOOKUP(Q159,Encerrados!#REF!,3,FALSE),
IFERROR(VLOOKUP(Q159,Encerrados!#REF!,3,FALSE),
IFERROR(VLOOKUP(Q159,Encerrados!#REF!,3,FALSE),"-"))))</f>
        <v>-</v>
      </c>
      <c r="Q159" s="184" t="s">
        <v>192</v>
      </c>
      <c r="R159" s="46">
        <v>44000</v>
      </c>
      <c r="S159" s="47">
        <f t="shared" si="41"/>
        <v>46386</v>
      </c>
      <c r="T159" s="48">
        <v>66</v>
      </c>
      <c r="U159" s="49"/>
      <c r="V159" s="50">
        <f t="shared" si="42"/>
        <v>46386</v>
      </c>
      <c r="W159" t="e">
        <f>VLOOKUP(Q159,Q209:Q334,1,0)</f>
        <v>#N/A</v>
      </c>
      <c r="X159" s="132">
        <f t="shared" si="43"/>
        <v>46093</v>
      </c>
    </row>
    <row r="160" spans="1:26" ht="13.95" customHeight="1">
      <c r="A160" s="25" t="s">
        <v>17</v>
      </c>
      <c r="B160" s="24">
        <v>45931</v>
      </c>
      <c r="C160" s="20">
        <f>YEAR(B160)</f>
        <v>2025</v>
      </c>
      <c r="D160" s="30">
        <v>45925</v>
      </c>
      <c r="E160" s="26" t="s">
        <v>186</v>
      </c>
      <c r="F160" s="27">
        <f ca="1">IF((TODAY()-D160)/7&gt;T141,T141,(TODAY()-D160)/7)</f>
        <v>52.714285714285715</v>
      </c>
      <c r="G160" s="27" t="str">
        <f>IFERROR(VLOOKUP(H160,Encerrados!#REF!,3,FALSE),
IFERROR(VLOOKUP(H160,Encerrados!#REF!,3,FALSE),
IFERROR(VLOOKUP(H160,Encerrados!#REF!,3,FALSE),
IFERROR(VLOOKUP(H160,Encerrados!#REF!,3,FALSE),"-"))))</f>
        <v>-</v>
      </c>
      <c r="H160" s="28" t="s">
        <v>187</v>
      </c>
      <c r="I160" s="29">
        <v>60000</v>
      </c>
      <c r="J160" s="25" t="s">
        <v>60</v>
      </c>
      <c r="K160" s="25">
        <v>25</v>
      </c>
      <c r="L160" s="11" t="s">
        <v>365</v>
      </c>
      <c r="M160" s="126">
        <f>D160+(22*7)-7</f>
        <v>46072</v>
      </c>
      <c r="N160" s="126">
        <f>D160+24*7</f>
        <v>46093</v>
      </c>
      <c r="O160" s="121"/>
      <c r="P160" s="121" t="str">
        <f>IFERROR(VLOOKUP(Q160,Encerrados!#REF!,3,FALSE),
IFERROR(VLOOKUP(Q160,Encerrados!#REF!,3,FALSE),
IFERROR(VLOOKUP(Q160,Encerrados!#REF!,3,FALSE),
IFERROR(VLOOKUP(Q160,Encerrados!#REF!,3,FALSE),"-"))))</f>
        <v>-</v>
      </c>
      <c r="Q160" s="248" t="s">
        <v>188</v>
      </c>
      <c r="R160" s="127">
        <f>I160*0.96</f>
        <v>57600</v>
      </c>
      <c r="S160" s="128">
        <f>D160+(T160*7)-1</f>
        <v>46386</v>
      </c>
      <c r="T160" s="129">
        <v>66</v>
      </c>
      <c r="U160" s="130"/>
      <c r="V160" s="131">
        <f>IFERROR(S160+U160," ")</f>
        <v>46386</v>
      </c>
      <c r="W160" t="e">
        <f>VLOOKUP(Q160,Q210:Q335,1,0)</f>
        <v>#N/A</v>
      </c>
      <c r="X160" s="132">
        <f t="shared" si="43"/>
        <v>46093</v>
      </c>
    </row>
    <row r="161" spans="1:24" ht="14.25" customHeight="1">
      <c r="A161" s="25" t="s">
        <v>17</v>
      </c>
      <c r="B161" s="24">
        <f>M87+K87</f>
        <v>45931</v>
      </c>
      <c r="C161" s="20">
        <f t="shared" si="56"/>
        <v>2025</v>
      </c>
      <c r="D161" s="30">
        <v>45932</v>
      </c>
      <c r="E161" s="26" t="s">
        <v>189</v>
      </c>
      <c r="F161" s="27">
        <f t="shared" ca="1" si="55"/>
        <v>51.714285714285715</v>
      </c>
      <c r="G161" s="27" t="str">
        <f>IFERROR(VLOOKUP(H161,Encerrados!#REF!,3,FALSE),
IFERROR(VLOOKUP(H161,Encerrados!#REF!,3,FALSE),
IFERROR(VLOOKUP(H161,Encerrados!#REF!,3,FALSE),
IFERROR(VLOOKUP(H161,Encerrados!#REF!,3,FALSE),"-"))))</f>
        <v>-</v>
      </c>
      <c r="H161" s="28" t="s">
        <v>44</v>
      </c>
      <c r="I161" s="29">
        <v>38000</v>
      </c>
      <c r="J161" s="25" t="s">
        <v>60</v>
      </c>
      <c r="K161" s="25">
        <v>26</v>
      </c>
      <c r="L161" s="12" t="s">
        <v>368</v>
      </c>
      <c r="M161" s="45">
        <f t="shared" si="57"/>
        <v>46079</v>
      </c>
      <c r="N161" s="45">
        <f t="shared" si="44"/>
        <v>46100</v>
      </c>
      <c r="O161" s="23"/>
      <c r="P161" s="23" t="str">
        <f>IFERROR(VLOOKUP(Q161,Encerrados!#REF!,3,FALSE),
IFERROR(VLOOKUP(Q161,Encerrados!#REF!,3,FALSE),
IFERROR(VLOOKUP(Q161,Encerrados!#REF!,3,FALSE),
IFERROR(VLOOKUP(Q161,Encerrados!#REF!,3,FALSE),"-"))))</f>
        <v>-</v>
      </c>
      <c r="Q161" s="184" t="s">
        <v>199</v>
      </c>
      <c r="R161" s="46">
        <v>36000</v>
      </c>
      <c r="S161" s="47">
        <f t="shared" si="41"/>
        <v>46393</v>
      </c>
      <c r="T161" s="48">
        <v>66</v>
      </c>
      <c r="U161" s="49"/>
      <c r="V161" s="50">
        <f t="shared" si="42"/>
        <v>46393</v>
      </c>
      <c r="W161" t="e">
        <f>VLOOKUP(Q161,Q211:Q336,1,0)</f>
        <v>#N/A</v>
      </c>
      <c r="X161" s="132">
        <f t="shared" si="43"/>
        <v>46100</v>
      </c>
    </row>
    <row r="162" spans="1:24" ht="14.25" customHeight="1">
      <c r="A162" s="25" t="s">
        <v>17</v>
      </c>
      <c r="B162" s="24">
        <f>M103+K103</f>
        <v>45934</v>
      </c>
      <c r="C162" s="20">
        <f t="shared" si="56"/>
        <v>2025</v>
      </c>
      <c r="D162" s="30">
        <v>45932</v>
      </c>
      <c r="E162" s="26" t="s">
        <v>191</v>
      </c>
      <c r="F162" s="27">
        <f t="shared" ca="1" si="55"/>
        <v>51.714285714285715</v>
      </c>
      <c r="G162" s="27" t="str">
        <f>IFERROR(VLOOKUP(H162,Encerrados!#REF!,3,FALSE),
IFERROR(VLOOKUP(H162,Encerrados!#REF!,3,FALSE),
IFERROR(VLOOKUP(H162,Encerrados!#REF!,3,FALSE),
IFERROR(VLOOKUP(H162,Encerrados!#REF!,3,FALSE),"-"))))</f>
        <v>-</v>
      </c>
      <c r="H162" s="28" t="s">
        <v>79</v>
      </c>
      <c r="I162" s="29">
        <v>60000</v>
      </c>
      <c r="J162" s="25" t="s">
        <v>45</v>
      </c>
      <c r="K162" s="25">
        <v>56</v>
      </c>
      <c r="L162" s="38" t="s">
        <v>472</v>
      </c>
      <c r="M162" s="45">
        <f>D162+(22*7)-7</f>
        <v>46079</v>
      </c>
      <c r="N162" s="45">
        <f t="shared" si="44"/>
        <v>46100</v>
      </c>
      <c r="O162" s="23"/>
      <c r="P162" s="23" t="str">
        <f>IFERROR(VLOOKUP(Q162,Encerrados!#REF!,3,FALSE),
IFERROR(VLOOKUP(Q162,Encerrados!#REF!,3,FALSE),
IFERROR(VLOOKUP(Q162,Encerrados!#REF!,3,FALSE),
IFERROR(VLOOKUP(Q162,Encerrados!#REF!,3,FALSE),"-"))))</f>
        <v>-</v>
      </c>
      <c r="Q162" s="184" t="s">
        <v>199</v>
      </c>
      <c r="R162" s="46">
        <v>57000</v>
      </c>
      <c r="S162" s="47">
        <f t="shared" si="41"/>
        <v>46393</v>
      </c>
      <c r="T162" s="48">
        <v>66</v>
      </c>
      <c r="U162" s="49"/>
      <c r="V162" s="50">
        <f t="shared" si="42"/>
        <v>46393</v>
      </c>
      <c r="W162" t="e">
        <f>VLOOKUP(Q162,Q207:Q337,1,0)</f>
        <v>#N/A</v>
      </c>
      <c r="X162" s="132">
        <f t="shared" si="43"/>
        <v>46100</v>
      </c>
    </row>
    <row r="163" spans="1:24" ht="14.25" customHeight="1">
      <c r="A163" s="146" t="s">
        <v>17</v>
      </c>
      <c r="B163" s="147">
        <v>45939</v>
      </c>
      <c r="C163" s="146">
        <f t="shared" si="56"/>
        <v>2025</v>
      </c>
      <c r="D163" s="148">
        <v>45939</v>
      </c>
      <c r="E163" s="149" t="s">
        <v>193</v>
      </c>
      <c r="F163" s="150">
        <f t="shared" ca="1" si="55"/>
        <v>50.714285714285715</v>
      </c>
      <c r="G163" s="150" t="str">
        <f>IFERROR(VLOOKUP(H163,[2]Capacidades!A:C,3,FALSE),
IFERROR(VLOOKUP(H163,[2]Capacidades!E:G,3,FALSE),
IFERROR(VLOOKUP(H163,[2]Capacidades!J:L,3,FALSE),
IFERROR(VLOOKUP(H163,[2]Capacidades!N:P,3,FALSE),"-"))))</f>
        <v>10_776</v>
      </c>
      <c r="H163" s="151" t="s">
        <v>89</v>
      </c>
      <c r="I163" s="152">
        <v>35000</v>
      </c>
      <c r="J163" s="146" t="s">
        <v>20</v>
      </c>
      <c r="K163" s="153">
        <v>25</v>
      </c>
      <c r="L163" s="247" t="s">
        <v>365</v>
      </c>
      <c r="M163" s="154">
        <f>D163+(10*7)-7</f>
        <v>46002</v>
      </c>
      <c r="N163" s="154">
        <f t="shared" si="44"/>
        <v>46107</v>
      </c>
      <c r="O163" s="305"/>
      <c r="P163" s="153" t="str">
        <f>IFERROR(VLOOKUP(Q163,[2]Capacidades!A:C,3,FALSE),
IFERROR(VLOOKUP(Q163,[2]Capacidades!E:G,3,FALSE),
IFERROR(VLOOKUP(Q163,[2]Capacidades!J:L,3,FALSE),
IFERROR(VLOOKUP(Q163,[2]Capacidades!N:P,3,FALSE),"-"))))</f>
        <v>122_22</v>
      </c>
      <c r="Q163" s="220" t="s">
        <v>194</v>
      </c>
      <c r="R163" s="155">
        <f>I163*0.96</f>
        <v>33600</v>
      </c>
      <c r="S163" s="156">
        <f t="shared" si="41"/>
        <v>46400</v>
      </c>
      <c r="T163" s="157">
        <v>66</v>
      </c>
      <c r="U163" s="252"/>
      <c r="V163" s="163">
        <f t="shared" si="42"/>
        <v>46400</v>
      </c>
      <c r="W163" t="e">
        <f t="shared" ref="W163:W169" si="58">VLOOKUP(Q163,Q212:Q338,1,0)</f>
        <v>#N/A</v>
      </c>
      <c r="X163" s="132">
        <f t="shared" si="43"/>
        <v>46107</v>
      </c>
    </row>
    <row r="164" spans="1:24" ht="14.25" customHeight="1">
      <c r="A164" s="25" t="s">
        <v>17</v>
      </c>
      <c r="B164" s="24">
        <f>M107+K107</f>
        <v>45940</v>
      </c>
      <c r="C164" s="20">
        <f t="shared" si="56"/>
        <v>2025</v>
      </c>
      <c r="D164" s="30">
        <v>45939</v>
      </c>
      <c r="E164" s="309">
        <v>100025</v>
      </c>
      <c r="F164" s="27">
        <f t="shared" ca="1" si="55"/>
        <v>50.714285714285715</v>
      </c>
      <c r="G164" s="27" t="str">
        <f>IFERROR(VLOOKUP(H164,Encerrados!#REF!,3,FALSE),
IFERROR(VLOOKUP(H164,Encerrados!#REF!,3,FALSE),
IFERROR(VLOOKUP(H164,Encerrados!#REF!,3,FALSE),
IFERROR(VLOOKUP(H164,Encerrados!#REF!,3,FALSE),"-"))))</f>
        <v>-</v>
      </c>
      <c r="H164" s="296" t="s">
        <v>89</v>
      </c>
      <c r="I164" s="29">
        <v>74000</v>
      </c>
      <c r="J164" s="25" t="s">
        <v>20</v>
      </c>
      <c r="K164" s="25">
        <v>30</v>
      </c>
      <c r="L164" s="11" t="s">
        <v>365</v>
      </c>
      <c r="M164" s="45">
        <f t="shared" si="57"/>
        <v>46086</v>
      </c>
      <c r="N164" s="45">
        <f t="shared" si="44"/>
        <v>46107</v>
      </c>
      <c r="O164" s="23"/>
      <c r="P164" s="23" t="str">
        <f>IFERROR(VLOOKUP(Q164,Encerrados!#REF!,3,FALSE),
IFERROR(VLOOKUP(Q164,Encerrados!#REF!,3,FALSE),
IFERROR(VLOOKUP(Q164,Encerrados!#REF!,3,FALSE),
IFERROR(VLOOKUP(Q164,Encerrados!#REF!,3,FALSE),"-"))))</f>
        <v>-</v>
      </c>
      <c r="Q164" s="184" t="s">
        <v>185</v>
      </c>
      <c r="R164" s="46">
        <v>38000</v>
      </c>
      <c r="S164" s="47">
        <f t="shared" si="41"/>
        <v>46400</v>
      </c>
      <c r="T164" s="48">
        <v>66</v>
      </c>
      <c r="U164" s="49"/>
      <c r="V164" s="50">
        <f t="shared" si="42"/>
        <v>46400</v>
      </c>
      <c r="W164" t="e">
        <f t="shared" si="58"/>
        <v>#N/A</v>
      </c>
      <c r="X164" s="132">
        <f t="shared" si="43"/>
        <v>46107</v>
      </c>
    </row>
    <row r="165" spans="1:24" ht="14.25" customHeight="1">
      <c r="A165" s="25" t="s">
        <v>17</v>
      </c>
      <c r="B165" s="24">
        <f>M107+K107</f>
        <v>45940</v>
      </c>
      <c r="C165" s="20">
        <f t="shared" si="56"/>
        <v>2025</v>
      </c>
      <c r="D165" s="30">
        <v>45939</v>
      </c>
      <c r="E165" s="309">
        <v>100025</v>
      </c>
      <c r="F165" s="27">
        <f t="shared" ca="1" si="55"/>
        <v>50.714285714285715</v>
      </c>
      <c r="G165" s="27" t="str">
        <f>IFERROR(VLOOKUP(H165,Encerrados!#REF!,3,FALSE),
IFERROR(VLOOKUP(H165,Encerrados!#REF!,3,FALSE),
IFERROR(VLOOKUP(H165,Encerrados!#REF!,3,FALSE),
IFERROR(VLOOKUP(H165,Encerrados!#REF!,3,FALSE),"-"))))</f>
        <v>-</v>
      </c>
      <c r="H165" s="296" t="s">
        <v>89</v>
      </c>
      <c r="I165" s="29"/>
      <c r="J165" s="25" t="s">
        <v>20</v>
      </c>
      <c r="K165" s="25">
        <v>30</v>
      </c>
      <c r="L165" s="11" t="s">
        <v>365</v>
      </c>
      <c r="M165" s="45">
        <f t="shared" si="57"/>
        <v>46086</v>
      </c>
      <c r="N165" s="45">
        <f t="shared" si="44"/>
        <v>46107</v>
      </c>
      <c r="O165" s="23"/>
      <c r="P165" s="23" t="str">
        <f>IFERROR(VLOOKUP(Q165,Encerrados!#REF!,3,FALSE),
IFERROR(VLOOKUP(Q165,Encerrados!#REF!,3,FALSE),
IFERROR(VLOOKUP(Q165,Encerrados!#REF!,3,FALSE),
IFERROR(VLOOKUP(Q165,Encerrados!#REF!,3,FALSE),"-"))))</f>
        <v>-</v>
      </c>
      <c r="Q165" s="184" t="s">
        <v>195</v>
      </c>
      <c r="R165" s="46">
        <v>32000</v>
      </c>
      <c r="S165" s="47">
        <f t="shared" si="41"/>
        <v>46400</v>
      </c>
      <c r="T165" s="48">
        <v>66</v>
      </c>
      <c r="U165" s="49"/>
      <c r="V165" s="50">
        <f t="shared" si="42"/>
        <v>46400</v>
      </c>
      <c r="W165" t="e">
        <f t="shared" si="58"/>
        <v>#N/A</v>
      </c>
      <c r="X165" s="132">
        <f t="shared" si="43"/>
        <v>46107</v>
      </c>
    </row>
    <row r="166" spans="1:24" ht="14.25" customHeight="1">
      <c r="A166" s="146" t="s">
        <v>17</v>
      </c>
      <c r="B166" s="147">
        <v>45948</v>
      </c>
      <c r="C166" s="146">
        <f>YEAR(B166)</f>
        <v>2025</v>
      </c>
      <c r="D166" s="148">
        <v>45946</v>
      </c>
      <c r="E166" s="149" t="s">
        <v>197</v>
      </c>
      <c r="F166" s="150">
        <f ca="1">IF((TODAY()-D166)/7&gt;T166,T166,(TODAY()-D166)/7)</f>
        <v>49.714285714285715</v>
      </c>
      <c r="G166" s="150" t="str">
        <f>IFERROR(VLOOKUP(H166,Encerrados!#REF!,3,FALSE),
IFERROR(VLOOKUP(H166,Encerrados!#REF!,3,FALSE),
IFERROR(VLOOKUP(H166,Encerrados!#REF!,3,FALSE),
IFERROR(VLOOKUP(H166,Encerrados!#REF!,3,FALSE),"-"))))</f>
        <v>-</v>
      </c>
      <c r="H166" s="151" t="s">
        <v>75</v>
      </c>
      <c r="I166" s="152">
        <v>25000</v>
      </c>
      <c r="J166" s="146" t="s">
        <v>45</v>
      </c>
      <c r="K166" s="153">
        <v>50</v>
      </c>
      <c r="L166" s="11" t="s">
        <v>365</v>
      </c>
      <c r="M166" s="154">
        <f>D166+(8*7)-7</f>
        <v>45995</v>
      </c>
      <c r="N166" s="154">
        <f>D166+24*7</f>
        <v>46114</v>
      </c>
      <c r="O166" s="305"/>
      <c r="P166" s="153" t="str">
        <f>IFERROR(VLOOKUP(Q166,Encerrados!#REF!,3,FALSE),
IFERROR(VLOOKUP(Q166,Encerrados!#REF!,3,FALSE),
IFERROR(VLOOKUP(Q166,Encerrados!#REF!,3,FALSE),
IFERROR(VLOOKUP(Q166,Encerrados!#REF!,3,FALSE),"-"))))</f>
        <v>-</v>
      </c>
      <c r="Q166" s="220" t="s">
        <v>198</v>
      </c>
      <c r="R166" s="155">
        <f>I166*0.96</f>
        <v>24000</v>
      </c>
      <c r="S166" s="156">
        <f>D166+(T166*7)-1</f>
        <v>46407</v>
      </c>
      <c r="T166" s="157">
        <v>66</v>
      </c>
      <c r="U166" s="252"/>
      <c r="V166" s="163">
        <f>IFERROR(S166+U166," ")</f>
        <v>46407</v>
      </c>
      <c r="W166" t="e">
        <f t="shared" si="58"/>
        <v>#N/A</v>
      </c>
      <c r="X166" s="132">
        <f t="shared" si="43"/>
        <v>46114</v>
      </c>
    </row>
    <row r="167" spans="1:24" ht="14.25" customHeight="1">
      <c r="A167" s="25" t="s">
        <v>17</v>
      </c>
      <c r="B167" s="24">
        <f>M101+K101</f>
        <v>45948</v>
      </c>
      <c r="C167" s="25">
        <f>YEAR(B167)</f>
        <v>2025</v>
      </c>
      <c r="D167" s="30">
        <v>45946</v>
      </c>
      <c r="E167" s="309">
        <v>100125</v>
      </c>
      <c r="F167" s="27">
        <f ca="1">IF((TODAY()-D167)/7&gt;T167,T167,(TODAY()-D167)/7)</f>
        <v>49.714285714285715</v>
      </c>
      <c r="G167" s="27" t="str">
        <f>IFERROR(VLOOKUP(H167,Encerrados!#REF!,3,FALSE),
IFERROR(VLOOKUP(H167,Encerrados!#REF!,3,FALSE),
IFERROR(VLOOKUP(H167,Encerrados!#REF!,3,FALSE),
IFERROR(VLOOKUP(H167,Encerrados!#REF!,3,FALSE),"-"))))</f>
        <v>-</v>
      </c>
      <c r="H167" s="28" t="s">
        <v>75</v>
      </c>
      <c r="I167" s="29">
        <v>45000</v>
      </c>
      <c r="J167" s="25" t="s">
        <v>45</v>
      </c>
      <c r="K167" s="25">
        <v>50</v>
      </c>
      <c r="L167" s="12" t="s">
        <v>368</v>
      </c>
      <c r="M167" s="126">
        <f t="shared" ref="M167:M169" si="59">D167+(22*7)-7</f>
        <v>46093</v>
      </c>
      <c r="N167" s="126">
        <f>D167+24*7</f>
        <v>46114</v>
      </c>
      <c r="O167" s="121"/>
      <c r="P167" s="121" t="str">
        <f>IFERROR(VLOOKUP(Q167,Encerrados!#REF!,3,FALSE),
IFERROR(VLOOKUP(Q167,Encerrados!#REF!,3,FALSE),
IFERROR(VLOOKUP(Q167,Encerrados!#REF!,3,FALSE),
IFERROR(VLOOKUP(Q167,Encerrados!#REF!,3,FALSE),"-"))))</f>
        <v>-</v>
      </c>
      <c r="Q167" s="248" t="s">
        <v>238</v>
      </c>
      <c r="R167" s="127">
        <v>42000</v>
      </c>
      <c r="S167" s="128">
        <f>D167+(T167*7)-1</f>
        <v>46414</v>
      </c>
      <c r="T167" s="129">
        <v>67</v>
      </c>
      <c r="U167" s="130"/>
      <c r="V167" s="131">
        <f t="shared" ref="V167:V169" si="60">IFERROR(S167+U167," ")</f>
        <v>46414</v>
      </c>
      <c r="W167" t="e">
        <f t="shared" si="58"/>
        <v>#N/A</v>
      </c>
      <c r="X167" s="132">
        <f t="shared" si="43"/>
        <v>46114</v>
      </c>
    </row>
    <row r="168" spans="1:24" ht="14.25" customHeight="1">
      <c r="A168" s="25" t="s">
        <v>17</v>
      </c>
      <c r="B168" s="24">
        <f>M104+K104</f>
        <v>45953</v>
      </c>
      <c r="C168" s="25">
        <f t="shared" si="56"/>
        <v>2025</v>
      </c>
      <c r="D168" s="30">
        <v>45953</v>
      </c>
      <c r="E168" s="309">
        <v>100225</v>
      </c>
      <c r="F168" s="27">
        <f t="shared" ca="1" si="55"/>
        <v>48.714285714285715</v>
      </c>
      <c r="G168" s="27" t="str">
        <f>IFERROR(VLOOKUP(H168,Encerrados!#REF!,3,FALSE),
IFERROR(VLOOKUP(H168,Encerrados!#REF!,3,FALSE),
IFERROR(VLOOKUP(H168,Encerrados!#REF!,3,FALSE),
IFERROR(VLOOKUP(H168,Encerrados!#REF!,3,FALSE),"-"))))</f>
        <v>-</v>
      </c>
      <c r="H168" s="28" t="s">
        <v>83</v>
      </c>
      <c r="I168" s="29">
        <v>84000</v>
      </c>
      <c r="J168" s="25" t="s">
        <v>45</v>
      </c>
      <c r="K168" s="25">
        <v>57</v>
      </c>
      <c r="L168" s="11" t="s">
        <v>365</v>
      </c>
      <c r="M168" s="126">
        <f t="shared" si="59"/>
        <v>46100</v>
      </c>
      <c r="N168" s="126">
        <f>D168+24*7</f>
        <v>46121</v>
      </c>
      <c r="O168" s="121"/>
      <c r="P168" s="121" t="str">
        <f>IFERROR(VLOOKUP(Q168,Encerrados!#REF!,3,FALSE),
IFERROR(VLOOKUP(Q168,Encerrados!#REF!,3,FALSE),
IFERROR(VLOOKUP(Q168,Encerrados!#REF!,3,FALSE),
IFERROR(VLOOKUP(Q168,Encerrados!#REF!,3,FALSE),"-"))))</f>
        <v>-</v>
      </c>
      <c r="Q168" s="248" t="s">
        <v>238</v>
      </c>
      <c r="R168" s="127">
        <v>42000</v>
      </c>
      <c r="S168" s="128">
        <f>D168+(T168*7)-1</f>
        <v>46421</v>
      </c>
      <c r="T168" s="129">
        <v>67</v>
      </c>
      <c r="U168" s="130"/>
      <c r="V168" s="131">
        <f t="shared" si="60"/>
        <v>46421</v>
      </c>
      <c r="W168" t="e">
        <f t="shared" si="58"/>
        <v>#N/A</v>
      </c>
      <c r="X168" s="132">
        <f t="shared" si="43"/>
        <v>46121</v>
      </c>
    </row>
    <row r="169" spans="1:24" ht="14.25" customHeight="1">
      <c r="A169" s="25" t="s">
        <v>17</v>
      </c>
      <c r="B169" s="24">
        <f>M104+K104</f>
        <v>45953</v>
      </c>
      <c r="C169" s="25">
        <f t="shared" si="56"/>
        <v>2025</v>
      </c>
      <c r="D169" s="30">
        <v>45953</v>
      </c>
      <c r="E169" s="309">
        <v>100225</v>
      </c>
      <c r="F169" s="27">
        <f t="shared" ca="1" si="55"/>
        <v>48.714285714285715</v>
      </c>
      <c r="G169" s="27" t="str">
        <f>IFERROR(VLOOKUP(H169,Encerrados!#REF!,3,FALSE),
IFERROR(VLOOKUP(H169,Encerrados!#REF!,3,FALSE),
IFERROR(VLOOKUP(H169,Encerrados!#REF!,3,FALSE),
IFERROR(VLOOKUP(H169,Encerrados!#REF!,3,FALSE),"-"))))</f>
        <v>-</v>
      </c>
      <c r="H169" s="28" t="s">
        <v>83</v>
      </c>
      <c r="I169" s="29"/>
      <c r="J169" s="25" t="s">
        <v>45</v>
      </c>
      <c r="K169" s="25">
        <v>57</v>
      </c>
      <c r="L169" s="11" t="s">
        <v>365</v>
      </c>
      <c r="M169" s="45">
        <f t="shared" si="59"/>
        <v>46100</v>
      </c>
      <c r="N169" s="45">
        <f t="shared" ref="N169" si="61">D169+24*7</f>
        <v>46121</v>
      </c>
      <c r="O169" s="23"/>
      <c r="P169" s="23" t="str">
        <f>IFERROR(VLOOKUP(Q169,Encerrados!#REF!,3,FALSE),
IFERROR(VLOOKUP(Q169,Encerrados!#REF!,3,FALSE),
IFERROR(VLOOKUP(Q169,Encerrados!#REF!,3,FALSE),
IFERROR(VLOOKUP(Q169,Encerrados!#REF!,3,FALSE),"-"))))</f>
        <v>-</v>
      </c>
      <c r="Q169" s="184" t="s">
        <v>200</v>
      </c>
      <c r="R169" s="46">
        <v>36000</v>
      </c>
      <c r="S169" s="47">
        <f t="shared" ref="S169" si="62">D169+(T169*7)-1</f>
        <v>46414</v>
      </c>
      <c r="T169" s="48">
        <v>66</v>
      </c>
      <c r="U169" s="49"/>
      <c r="V169" s="50">
        <f t="shared" si="60"/>
        <v>46414</v>
      </c>
      <c r="W169" t="e">
        <f t="shared" si="58"/>
        <v>#N/A</v>
      </c>
      <c r="X169" s="132">
        <f t="shared" si="43"/>
        <v>46121</v>
      </c>
    </row>
    <row r="170" spans="1:24" ht="14.25" customHeight="1">
      <c r="A170" s="25" t="s">
        <v>17</v>
      </c>
      <c r="B170" s="24">
        <f>M104+K104</f>
        <v>45953</v>
      </c>
      <c r="C170" s="25">
        <f t="shared" si="56"/>
        <v>2025</v>
      </c>
      <c r="D170" s="30">
        <v>45953</v>
      </c>
      <c r="E170" s="309">
        <v>100325</v>
      </c>
      <c r="F170" s="27">
        <f t="shared" ca="1" si="55"/>
        <v>48.714285714285715</v>
      </c>
      <c r="G170" s="27" t="str">
        <f>IFERROR(VLOOKUP(H170,Encerrados!#REF!,3,FALSE),
IFERROR(VLOOKUP(H170,Encerrados!#REF!,3,FALSE),
IFERROR(VLOOKUP(H170,Encerrados!#REF!,3,FALSE),
IFERROR(VLOOKUP(H170,Encerrados!#REF!,3,FALSE),"-"))))</f>
        <v>-</v>
      </c>
      <c r="H170" s="28" t="s">
        <v>132</v>
      </c>
      <c r="I170" s="29">
        <v>60000</v>
      </c>
      <c r="J170" s="25" t="s">
        <v>45</v>
      </c>
      <c r="K170" s="25">
        <v>60</v>
      </c>
      <c r="L170" s="11" t="s">
        <v>365</v>
      </c>
      <c r="M170" s="45">
        <f t="shared" si="57"/>
        <v>46100</v>
      </c>
      <c r="N170" s="45">
        <f t="shared" si="44"/>
        <v>46121</v>
      </c>
      <c r="O170" s="23"/>
      <c r="P170" s="23" t="str">
        <f>IFERROR(VLOOKUP(Q170,Encerrados!#REF!,3,FALSE),
IFERROR(VLOOKUP(Q170,Encerrados!#REF!,3,FALSE),
IFERROR(VLOOKUP(Q170,Encerrados!#REF!,3,FALSE),
IFERROR(VLOOKUP(Q170,Encerrados!#REF!,3,FALSE),"-"))))</f>
        <v>-</v>
      </c>
      <c r="Q170" s="184" t="s">
        <v>196</v>
      </c>
      <c r="R170" s="46">
        <v>34000</v>
      </c>
      <c r="S170" s="47">
        <f t="shared" si="41"/>
        <v>46414</v>
      </c>
      <c r="T170" s="48">
        <v>66</v>
      </c>
      <c r="U170" s="49"/>
      <c r="V170" s="50">
        <f t="shared" si="42"/>
        <v>46414</v>
      </c>
      <c r="W170" t="e">
        <f>VLOOKUP(Q170,Q218:Q345,1,0)</f>
        <v>#N/A</v>
      </c>
      <c r="X170" s="132">
        <f t="shared" si="43"/>
        <v>46121</v>
      </c>
    </row>
    <row r="171" spans="1:24" ht="14.25" customHeight="1">
      <c r="A171" s="25" t="s">
        <v>17</v>
      </c>
      <c r="B171" s="24">
        <f>M104+K104</f>
        <v>45953</v>
      </c>
      <c r="C171" s="25">
        <f t="shared" si="56"/>
        <v>2025</v>
      </c>
      <c r="D171" s="30">
        <v>45953</v>
      </c>
      <c r="E171" s="309">
        <v>100325</v>
      </c>
      <c r="F171" s="27">
        <f t="shared" ca="1" si="55"/>
        <v>48.714285714285715</v>
      </c>
      <c r="G171" s="27" t="str">
        <f>IFERROR(VLOOKUP(H171,Encerrados!#REF!,3,FALSE),
IFERROR(VLOOKUP(H171,Encerrados!#REF!,3,FALSE),
IFERROR(VLOOKUP(H171,Encerrados!#REF!,3,FALSE),
IFERROR(VLOOKUP(H171,Encerrados!#REF!,3,FALSE),"-"))))</f>
        <v>-</v>
      </c>
      <c r="H171" s="28" t="s">
        <v>132</v>
      </c>
      <c r="I171" s="29"/>
      <c r="J171" s="25" t="s">
        <v>45</v>
      </c>
      <c r="K171" s="25">
        <v>60</v>
      </c>
      <c r="L171" s="11" t="s">
        <v>365</v>
      </c>
      <c r="M171" s="45">
        <f t="shared" si="57"/>
        <v>46100</v>
      </c>
      <c r="N171" s="45">
        <f t="shared" si="44"/>
        <v>46121</v>
      </c>
      <c r="O171" s="23"/>
      <c r="P171" s="23" t="str">
        <f>IFERROR(VLOOKUP(Q171,Encerrados!#REF!,3,FALSE),
IFERROR(VLOOKUP(Q171,Encerrados!#REF!,3,FALSE),
IFERROR(VLOOKUP(Q171,Encerrados!#REF!,3,FALSE),
IFERROR(VLOOKUP(Q171,Encerrados!#REF!,3,FALSE),"-"))))</f>
        <v>-</v>
      </c>
      <c r="Q171" s="184" t="s">
        <v>201</v>
      </c>
      <c r="R171" s="46">
        <v>24000</v>
      </c>
      <c r="S171" s="47">
        <f t="shared" si="41"/>
        <v>46414</v>
      </c>
      <c r="T171" s="48">
        <v>66</v>
      </c>
      <c r="U171" s="49"/>
      <c r="V171" s="50">
        <f t="shared" si="42"/>
        <v>46414</v>
      </c>
      <c r="W171" t="e">
        <f>VLOOKUP(Q171,Q218:Q346,1,0)</f>
        <v>#N/A</v>
      </c>
      <c r="X171" s="132">
        <f t="shared" si="43"/>
        <v>46121</v>
      </c>
    </row>
    <row r="172" spans="1:24" ht="14.25" customHeight="1">
      <c r="A172" s="25" t="s">
        <v>17</v>
      </c>
      <c r="B172" s="24">
        <f>M110+K110</f>
        <v>45965</v>
      </c>
      <c r="C172" s="20">
        <f>YEAR(B172)</f>
        <v>2025</v>
      </c>
      <c r="D172" s="30">
        <v>45960</v>
      </c>
      <c r="E172" s="309">
        <v>100425</v>
      </c>
      <c r="F172" s="27">
        <f ca="1">IF((TODAY()-D172)/7&gt;T172,T172,(TODAY()-D172)/7)</f>
        <v>47.714285714285715</v>
      </c>
      <c r="G172" s="27" t="str">
        <f>IFERROR(VLOOKUP(H172,[2]Capacidades!A:C,3,FALSE),
IFERROR(VLOOKUP(H172,[2]Capacidades!E:G,3,FALSE),
IFERROR(VLOOKUP(H172,[2]Capacidades!J:L,3,FALSE),
IFERROR(VLOOKUP(H172,[2]Capacidades!N:P,3,FALSE),"-"))))</f>
        <v>10_169</v>
      </c>
      <c r="H172" s="296" t="s">
        <v>375</v>
      </c>
      <c r="I172" s="29">
        <v>48000</v>
      </c>
      <c r="J172" s="25" t="s">
        <v>45</v>
      </c>
      <c r="K172" s="25">
        <v>48</v>
      </c>
      <c r="L172" s="11" t="s">
        <v>365</v>
      </c>
      <c r="M172" s="45">
        <f>D172+(22*7)-7</f>
        <v>46107</v>
      </c>
      <c r="N172" s="45">
        <f>D172+24*7</f>
        <v>46128</v>
      </c>
      <c r="O172" s="23"/>
      <c r="P172" s="23" t="str">
        <f>IFERROR(VLOOKUP(Q172,Encerrados!#REF!,3,FALSE),
IFERROR(VLOOKUP(Q172,Encerrados!#REF!,3,FALSE),
IFERROR(VLOOKUP(Q172,Encerrados!#REF!,3,FALSE),
IFERROR(VLOOKUP(Q172,Encerrados!#REF!,3,FALSE),"-"))))</f>
        <v>-</v>
      </c>
      <c r="Q172" s="184" t="s">
        <v>214</v>
      </c>
      <c r="R172" s="46">
        <v>28000</v>
      </c>
      <c r="S172" s="47">
        <f>D172+(T172*7)-1</f>
        <v>46421</v>
      </c>
      <c r="T172" s="48">
        <v>66</v>
      </c>
      <c r="U172" s="49"/>
      <c r="V172" s="50">
        <f>IFERROR(S172+U172," ")</f>
        <v>46421</v>
      </c>
      <c r="W172" t="e">
        <f>VLOOKUP(Q172,Q219:Q347,1,0)</f>
        <v>#N/A</v>
      </c>
      <c r="X172" s="132">
        <f t="shared" si="43"/>
        <v>46128</v>
      </c>
    </row>
    <row r="173" spans="1:24" ht="14.25" customHeight="1">
      <c r="A173" s="25" t="s">
        <v>17</v>
      </c>
      <c r="B173" s="24">
        <f>M110+K110</f>
        <v>45965</v>
      </c>
      <c r="C173" s="20">
        <f t="shared" ref="C173:C175" si="63">YEAR(B173)</f>
        <v>2025</v>
      </c>
      <c r="D173" s="30">
        <v>45960</v>
      </c>
      <c r="E173" s="309">
        <v>100425</v>
      </c>
      <c r="F173" s="27">
        <f t="shared" ref="F173:F175" ca="1" si="64">IF((TODAY()-D173)/7&gt;T173,T173,(TODAY()-D173)/7)</f>
        <v>47.714285714285715</v>
      </c>
      <c r="G173" s="27" t="str">
        <f>IFERROR(VLOOKUP(H173,[2]Capacidades!A:C,3,FALSE),
IFERROR(VLOOKUP(H173,[2]Capacidades!E:G,3,FALSE),
IFERROR(VLOOKUP(H173,[2]Capacidades!J:L,3,FALSE),
IFERROR(VLOOKUP(H173,[2]Capacidades!N:P,3,FALSE),"-"))))</f>
        <v>10_169</v>
      </c>
      <c r="H173" s="296" t="s">
        <v>375</v>
      </c>
      <c r="I173" s="29"/>
      <c r="J173" s="25" t="s">
        <v>45</v>
      </c>
      <c r="K173" s="25">
        <v>48</v>
      </c>
      <c r="L173" s="11" t="s">
        <v>365</v>
      </c>
      <c r="M173" s="45">
        <f t="shared" ref="M173" si="65">D173+(22*7)-7</f>
        <v>46107</v>
      </c>
      <c r="N173" s="45">
        <f t="shared" ref="N173" si="66">D173+24*7</f>
        <v>46128</v>
      </c>
      <c r="O173" s="23"/>
      <c r="P173" s="23" t="str">
        <f>IFERROR(VLOOKUP(Q173,Encerrados!#REF!,3,FALSE),
IFERROR(VLOOKUP(Q173,Encerrados!#REF!,3,FALSE),
IFERROR(VLOOKUP(Q173,Encerrados!#REF!,3,FALSE),
IFERROR(VLOOKUP(Q173,Encerrados!#REF!,3,FALSE),"-"))))</f>
        <v>-</v>
      </c>
      <c r="Q173" s="184" t="s">
        <v>237</v>
      </c>
      <c r="R173" s="46">
        <v>15000</v>
      </c>
      <c r="S173" s="47">
        <f t="shared" ref="S173" si="67">D173+(T173*7)-1</f>
        <v>46421</v>
      </c>
      <c r="T173" s="48">
        <v>66</v>
      </c>
      <c r="U173" s="49"/>
      <c r="V173" s="50">
        <f t="shared" ref="V173" si="68">IFERROR(S173+U173," ")</f>
        <v>46421</v>
      </c>
      <c r="W173" t="e">
        <f>VLOOKUP(Q173,Q220:Q348,1,0)</f>
        <v>#N/A</v>
      </c>
      <c r="X173" s="132">
        <f t="shared" si="43"/>
        <v>46128</v>
      </c>
    </row>
    <row r="174" spans="1:24" ht="14.25" customHeight="1">
      <c r="A174" s="25" t="s">
        <v>17</v>
      </c>
      <c r="B174" s="24">
        <f>M115+K115</f>
        <v>45965</v>
      </c>
      <c r="C174" s="20">
        <f t="shared" si="63"/>
        <v>2025</v>
      </c>
      <c r="D174" s="30">
        <v>45967</v>
      </c>
      <c r="E174" s="309">
        <v>100525</v>
      </c>
      <c r="F174" s="27">
        <f t="shared" ca="1" si="64"/>
        <v>46.714285714285715</v>
      </c>
      <c r="G174" s="27" t="str">
        <f>IFERROR(VLOOKUP(H174,[2]Capacidades!A:C,3,FALSE),
IFERROR(VLOOKUP(H174,[2]Capacidades!E:G,3,FALSE),
IFERROR(VLOOKUP(H174,[2]Capacidades!J:L,3,FALSE),
IFERROR(VLOOKUP(H174,[2]Capacidades!N:P,3,FALSE),"-"))))</f>
        <v>10_369</v>
      </c>
      <c r="H174" s="296" t="s">
        <v>104</v>
      </c>
      <c r="I174" s="29">
        <v>66000</v>
      </c>
      <c r="J174" s="25" t="s">
        <v>20</v>
      </c>
      <c r="K174" s="25">
        <v>27</v>
      </c>
      <c r="L174" s="11" t="s">
        <v>365</v>
      </c>
      <c r="M174" s="45">
        <f t="shared" si="57"/>
        <v>46114</v>
      </c>
      <c r="N174" s="45">
        <f t="shared" si="44"/>
        <v>46135</v>
      </c>
      <c r="O174" s="23"/>
      <c r="P174" s="23" t="str">
        <f>IFERROR(VLOOKUP(Q174,Encerrados!#REF!,3,FALSE),
IFERROR(VLOOKUP(Q174,Encerrados!#REF!,3,FALSE),
IFERROR(VLOOKUP(Q174,Encerrados!#REF!,3,FALSE),
IFERROR(VLOOKUP(Q174,Encerrados!#REF!,3,FALSE),"-"))))</f>
        <v>-</v>
      </c>
      <c r="Q174" s="184" t="s">
        <v>205</v>
      </c>
      <c r="R174" s="46">
        <v>63000</v>
      </c>
      <c r="S174" s="47">
        <f t="shared" si="41"/>
        <v>46428</v>
      </c>
      <c r="T174" s="48">
        <v>66</v>
      </c>
      <c r="U174" s="49"/>
      <c r="V174" s="50">
        <f t="shared" si="42"/>
        <v>46428</v>
      </c>
      <c r="W174" t="e">
        <f>VLOOKUP(Q174,Q224:Q349,1,0)</f>
        <v>#N/A</v>
      </c>
      <c r="X174" s="132">
        <f>N174</f>
        <v>46135</v>
      </c>
    </row>
    <row r="175" spans="1:24" ht="14.25" customHeight="1">
      <c r="A175" s="25" t="s">
        <v>17</v>
      </c>
      <c r="B175" s="24">
        <f>M119+K119</f>
        <v>45973</v>
      </c>
      <c r="C175" s="20">
        <f t="shared" si="63"/>
        <v>2025</v>
      </c>
      <c r="D175" s="30">
        <v>45974</v>
      </c>
      <c r="E175" s="309">
        <v>100725</v>
      </c>
      <c r="F175" s="27">
        <f t="shared" ca="1" si="64"/>
        <v>45.714285714285715</v>
      </c>
      <c r="G175" s="27" t="str">
        <f>IFERROR(VLOOKUP(H175,[2]Capacidades!A:C,3,FALSE),
IFERROR(VLOOKUP(H175,[2]Capacidades!E:G,3,FALSE),
IFERROR(VLOOKUP(H175,[2]Capacidades!J:L,3,FALSE),
IFERROR(VLOOKUP(H175,[2]Capacidades!N:P,3,FALSE),"-"))))</f>
        <v>27_181</v>
      </c>
      <c r="H175" s="296" t="s">
        <v>111</v>
      </c>
      <c r="I175" s="29">
        <v>42000</v>
      </c>
      <c r="J175" s="25" t="s">
        <v>20</v>
      </c>
      <c r="K175" s="25">
        <v>25</v>
      </c>
      <c r="L175" s="11" t="s">
        <v>365</v>
      </c>
      <c r="M175" s="45">
        <f t="shared" si="57"/>
        <v>46121</v>
      </c>
      <c r="N175" s="45">
        <f t="shared" si="44"/>
        <v>46142</v>
      </c>
      <c r="O175" s="23"/>
      <c r="P175" s="23" t="str">
        <f>IFERROR(VLOOKUP(Q175,Encerrados!#REF!,3,FALSE),
IFERROR(VLOOKUP(Q175,Encerrados!#REF!,3,FALSE),
IFERROR(VLOOKUP(Q175,Encerrados!#REF!,3,FALSE),
IFERROR(VLOOKUP(Q175,Encerrados!#REF!,3,FALSE),"-"))))</f>
        <v>-</v>
      </c>
      <c r="Q175" s="184" t="s">
        <v>206</v>
      </c>
      <c r="R175" s="46">
        <v>40000</v>
      </c>
      <c r="S175" s="47">
        <f t="shared" si="41"/>
        <v>46435</v>
      </c>
      <c r="T175" s="48">
        <v>66</v>
      </c>
      <c r="U175" s="49"/>
      <c r="V175" s="50">
        <f t="shared" si="42"/>
        <v>46435</v>
      </c>
      <c r="W175" t="e">
        <f>VLOOKUP(Q175,Q226:Q351,1,0)</f>
        <v>#N/A</v>
      </c>
    </row>
    <row r="176" spans="1:24" ht="14.25" customHeight="1">
      <c r="A176" s="25" t="s">
        <v>17</v>
      </c>
      <c r="B176" s="24">
        <f>M127+K127</f>
        <v>45982</v>
      </c>
      <c r="C176" s="20">
        <f>YEAR(B176)</f>
        <v>2025</v>
      </c>
      <c r="D176" s="30">
        <v>45981</v>
      </c>
      <c r="E176" s="309">
        <v>100825</v>
      </c>
      <c r="F176" s="27">
        <f ca="1">IF((TODAY()-D176)/7&gt;T176,T176,(TODAY()-D176)/7)</f>
        <v>44.714285714285715</v>
      </c>
      <c r="G176" s="27" t="str">
        <f>IFERROR(VLOOKUP(H176,Encerrados!#REF!,3,FALSE),
IFERROR(VLOOKUP(H176,Encerrados!#REF!,3,FALSE),
IFERROR(VLOOKUP(H176,Encerrados!#REF!,3,FALSE),
IFERROR(VLOOKUP(H176,Encerrados!#REF!,3,FALSE),"-"))))</f>
        <v>-</v>
      </c>
      <c r="H176" s="296" t="s">
        <v>129</v>
      </c>
      <c r="I176" s="29">
        <v>38000</v>
      </c>
      <c r="J176" s="25" t="s">
        <v>45</v>
      </c>
      <c r="K176" s="25">
        <v>50</v>
      </c>
      <c r="L176" s="11" t="s">
        <v>510</v>
      </c>
      <c r="M176" s="45">
        <f>D176+(22*7)-7</f>
        <v>46128</v>
      </c>
      <c r="N176" s="45">
        <f>D176+24*7</f>
        <v>46149</v>
      </c>
      <c r="O176" s="23"/>
      <c r="P176" s="23" t="str">
        <f>IFERROR(VLOOKUP(Q176,Encerrados!#REF!,3,FALSE),
IFERROR(VLOOKUP(Q176,Encerrados!#REF!,3,FALSE),
IFERROR(VLOOKUP(Q176,Encerrados!#REF!,3,FALSE),
IFERROR(VLOOKUP(Q176,Encerrados!#REF!,3,FALSE),"-"))))</f>
        <v>-</v>
      </c>
      <c r="Q176" s="184" t="s">
        <v>202</v>
      </c>
      <c r="R176" s="46">
        <v>36000</v>
      </c>
      <c r="S176" s="47">
        <f>D176+(T176*7)-1</f>
        <v>46442</v>
      </c>
      <c r="T176" s="48">
        <v>66</v>
      </c>
      <c r="U176" s="49"/>
      <c r="V176" s="50">
        <f>IFERROR(S176+U176," ")</f>
        <v>46442</v>
      </c>
      <c r="W176" t="e">
        <f>VLOOKUP(Q176,Q223:Q352,1,0)</f>
        <v>#N/A</v>
      </c>
    </row>
    <row r="177" spans="1:23" ht="14.25" customHeight="1">
      <c r="A177" s="25" t="s">
        <v>17</v>
      </c>
      <c r="B177" s="24">
        <f>M120+K120</f>
        <v>45988</v>
      </c>
      <c r="C177" s="20">
        <f t="shared" ref="C177:C186" si="69">YEAR(B177)</f>
        <v>2025</v>
      </c>
      <c r="D177" s="30">
        <v>45988</v>
      </c>
      <c r="E177" s="309">
        <v>100925</v>
      </c>
      <c r="F177" s="27">
        <f t="shared" ref="F177:F186" ca="1" si="70">IF((TODAY()-D177)/7&gt;T177,T177,(TODAY()-D177)/7)</f>
        <v>43.714285714285715</v>
      </c>
      <c r="G177" s="27" t="str">
        <f>IFERROR(VLOOKUP(H177,Encerrados!#REF!,3,FALSE),
IFERROR(VLOOKUP(H177,Encerrados!#REF!,3,FALSE),
IFERROR(VLOOKUP(H177,Encerrados!#REF!,3,FALSE),
IFERROR(VLOOKUP(H177,Encerrados!#REF!,3,FALSE),"-"))))</f>
        <v>-</v>
      </c>
      <c r="H177" s="296" t="s">
        <v>115</v>
      </c>
      <c r="I177" s="29">
        <v>63000</v>
      </c>
      <c r="J177" s="25" t="s">
        <v>45</v>
      </c>
      <c r="K177" s="25">
        <v>50</v>
      </c>
      <c r="L177" s="11" t="s">
        <v>365</v>
      </c>
      <c r="M177" s="45">
        <f t="shared" si="57"/>
        <v>46135</v>
      </c>
      <c r="N177" s="45">
        <f t="shared" si="44"/>
        <v>46156</v>
      </c>
      <c r="O177" s="23"/>
      <c r="P177" s="23" t="str">
        <f>IFERROR(VLOOKUP(Q177,Encerrados!#REF!,3,FALSE),
IFERROR(VLOOKUP(Q177,Encerrados!#REF!,3,FALSE),
IFERROR(VLOOKUP(Q177,Encerrados!#REF!,3,FALSE),
IFERROR(VLOOKUP(Q177,Encerrados!#REF!,3,FALSE),"-"))))</f>
        <v>-</v>
      </c>
      <c r="Q177" s="184" t="s">
        <v>208</v>
      </c>
      <c r="R177" s="46">
        <v>61000</v>
      </c>
      <c r="S177" s="47">
        <f t="shared" si="41"/>
        <v>46449</v>
      </c>
      <c r="T177" s="48">
        <v>66</v>
      </c>
      <c r="U177" s="49"/>
      <c r="V177" s="50">
        <f t="shared" si="42"/>
        <v>46449</v>
      </c>
      <c r="W177" t="e">
        <f>VLOOKUP(Q177,Q232:Q353,1,0)</f>
        <v>#N/A</v>
      </c>
    </row>
    <row r="178" spans="1:23" ht="14.25" customHeight="1">
      <c r="A178" s="25" t="s">
        <v>17</v>
      </c>
      <c r="B178" s="24">
        <f>M121+K121</f>
        <v>45996</v>
      </c>
      <c r="C178" s="20">
        <f t="shared" si="69"/>
        <v>2025</v>
      </c>
      <c r="D178" s="30">
        <v>45995</v>
      </c>
      <c r="E178" s="309">
        <v>100925</v>
      </c>
      <c r="F178" s="27">
        <f t="shared" ca="1" si="70"/>
        <v>42.714285714285715</v>
      </c>
      <c r="G178" s="27" t="str">
        <f>IFERROR(VLOOKUP(H178,Encerrados!#REF!,3,FALSE),
IFERROR(VLOOKUP(H178,Encerrados!#REF!,3,FALSE),
IFERROR(VLOOKUP(H178,Encerrados!#REF!,3,FALSE),
IFERROR(VLOOKUP(H178,Encerrados!#REF!,3,FALSE),"-"))))</f>
        <v>-</v>
      </c>
      <c r="H178" s="296" t="s">
        <v>115</v>
      </c>
      <c r="I178" s="29">
        <v>63000</v>
      </c>
      <c r="J178" s="25" t="s">
        <v>45</v>
      </c>
      <c r="K178" s="25">
        <v>45</v>
      </c>
      <c r="L178" s="11" t="s">
        <v>365</v>
      </c>
      <c r="M178" s="45">
        <f t="shared" si="57"/>
        <v>46142</v>
      </c>
      <c r="N178" s="45">
        <f t="shared" si="44"/>
        <v>46163</v>
      </c>
      <c r="O178" s="23"/>
      <c r="P178" s="23" t="str">
        <f>IFERROR(VLOOKUP(Q178,Encerrados!#REF!,3,FALSE),
IFERROR(VLOOKUP(Q178,Encerrados!#REF!,3,FALSE),
IFERROR(VLOOKUP(Q178,Encerrados!#REF!,3,FALSE),
IFERROR(VLOOKUP(Q178,Encerrados!#REF!,3,FALSE),"-"))))</f>
        <v>-</v>
      </c>
      <c r="Q178" s="184" t="s">
        <v>208</v>
      </c>
      <c r="R178" s="46">
        <v>32000</v>
      </c>
      <c r="S178" s="47">
        <f t="shared" si="41"/>
        <v>46456</v>
      </c>
      <c r="T178" s="48">
        <v>66</v>
      </c>
      <c r="U178" s="49"/>
      <c r="V178" s="50">
        <f t="shared" si="42"/>
        <v>46456</v>
      </c>
      <c r="W178" t="e">
        <f>VLOOKUP(Q178,Q233:Q354,1,0)</f>
        <v>#N/A</v>
      </c>
    </row>
    <row r="179" spans="1:23" ht="14.25" customHeight="1">
      <c r="A179" s="25" t="s">
        <v>17</v>
      </c>
      <c r="B179" s="24">
        <f>M121+K121</f>
        <v>45996</v>
      </c>
      <c r="C179" s="20">
        <f t="shared" si="69"/>
        <v>2025</v>
      </c>
      <c r="D179" s="30">
        <v>45995</v>
      </c>
      <c r="E179" s="309">
        <v>100925</v>
      </c>
      <c r="F179" s="27">
        <f t="shared" ca="1" si="70"/>
        <v>42.714285714285715</v>
      </c>
      <c r="G179" s="27" t="str">
        <f>IFERROR(VLOOKUP(H179,Encerrados!#REF!,3,FALSE),
IFERROR(VLOOKUP(H179,Encerrados!#REF!,3,FALSE),
IFERROR(VLOOKUP(H179,Encerrados!#REF!,3,FALSE),
IFERROR(VLOOKUP(H179,Encerrados!#REF!,3,FALSE),"-"))))</f>
        <v>-</v>
      </c>
      <c r="H179" s="296" t="s">
        <v>115</v>
      </c>
      <c r="I179" s="29"/>
      <c r="J179" s="25" t="s">
        <v>45</v>
      </c>
      <c r="K179" s="25">
        <v>45</v>
      </c>
      <c r="L179" s="11" t="s">
        <v>365</v>
      </c>
      <c r="M179" s="45">
        <f t="shared" si="57"/>
        <v>46142</v>
      </c>
      <c r="N179" s="45">
        <f t="shared" si="44"/>
        <v>46163</v>
      </c>
      <c r="O179" s="23"/>
      <c r="P179" s="23" t="str">
        <f>IFERROR(VLOOKUP(Q179,Encerrados!#REF!,3,FALSE),
IFERROR(VLOOKUP(Q179,Encerrados!#REF!,3,FALSE),
IFERROR(VLOOKUP(Q179,Encerrados!#REF!,3,FALSE),
IFERROR(VLOOKUP(Q179,Encerrados!#REF!,3,FALSE),"-"))))</f>
        <v>-</v>
      </c>
      <c r="Q179" s="184" t="s">
        <v>213</v>
      </c>
      <c r="R179" s="46">
        <v>28000</v>
      </c>
      <c r="S179" s="47">
        <f t="shared" si="41"/>
        <v>46456</v>
      </c>
      <c r="T179" s="48">
        <v>66</v>
      </c>
      <c r="U179" s="49"/>
      <c r="V179" s="50">
        <f t="shared" si="42"/>
        <v>46456</v>
      </c>
      <c r="W179" t="e">
        <f>VLOOKUP(Q179,Q230:Q355,1,0)</f>
        <v>#N/A</v>
      </c>
    </row>
    <row r="180" spans="1:23" ht="13.95" customHeight="1">
      <c r="A180" s="25" t="s">
        <v>17</v>
      </c>
      <c r="B180" s="24">
        <f>M123+K123</f>
        <v>45989</v>
      </c>
      <c r="C180" s="20">
        <f>YEAR(B180)</f>
        <v>2025</v>
      </c>
      <c r="D180" s="30">
        <v>45988</v>
      </c>
      <c r="E180" s="309">
        <v>101025</v>
      </c>
      <c r="F180" s="27">
        <f ca="1">IF((TODAY()-D180)/7&gt;T180,T180,(TODAY()-D180)/7)</f>
        <v>43.714285714285715</v>
      </c>
      <c r="G180" s="27" t="str">
        <f>IFERROR(VLOOKUP(H180,Encerrados!#REF!,3,FALSE),
IFERROR(VLOOKUP(H180,Encerrados!#REF!,3,FALSE),
IFERROR(VLOOKUP(H180,Encerrados!#REF!,3,FALSE),
IFERROR(VLOOKUP(H180,Encerrados!#REF!,3,FALSE),"-"))))</f>
        <v>-</v>
      </c>
      <c r="H180" s="296" t="s">
        <v>120</v>
      </c>
      <c r="I180" s="29">
        <v>50000</v>
      </c>
      <c r="J180" s="25" t="s">
        <v>45</v>
      </c>
      <c r="K180" s="25">
        <v>50</v>
      </c>
      <c r="L180" s="12" t="s">
        <v>368</v>
      </c>
      <c r="M180" s="45">
        <f>D180+(22*7)-7</f>
        <v>46135</v>
      </c>
      <c r="N180" s="45">
        <f>D180+24*7</f>
        <v>46156</v>
      </c>
      <c r="O180" s="23"/>
      <c r="P180" s="23" t="str">
        <f>IFERROR(VLOOKUP(Q180,Encerrados!#REF!,3,FALSE),
IFERROR(VLOOKUP(Q180,Encerrados!#REF!,3,FALSE),
IFERROR(VLOOKUP(Q180,Encerrados!#REF!,3,FALSE),
IFERROR(VLOOKUP(Q180,Encerrados!#REF!,3,FALSE),"-"))))</f>
        <v>-</v>
      </c>
      <c r="Q180" s="184" t="s">
        <v>210</v>
      </c>
      <c r="R180" s="46">
        <f>I180*0.96</f>
        <v>48000</v>
      </c>
      <c r="S180" s="47">
        <f>D180+(T180*7)-1</f>
        <v>46449</v>
      </c>
      <c r="T180" s="48">
        <v>66</v>
      </c>
      <c r="U180" s="49"/>
      <c r="V180" s="50">
        <f>IFERROR(S180+U180," ")</f>
        <v>46449</v>
      </c>
      <c r="W180" t="e">
        <f>VLOOKUP(Q180,Q231:Q356,1,0)</f>
        <v>#N/A</v>
      </c>
    </row>
    <row r="181" spans="1:23" ht="14.25" customHeight="1">
      <c r="A181" s="25" t="s">
        <v>17</v>
      </c>
      <c r="B181" s="24">
        <f>M113+K113</f>
        <v>45995</v>
      </c>
      <c r="C181" s="20">
        <f>YEAR(B181)</f>
        <v>2025</v>
      </c>
      <c r="D181" s="30">
        <v>45995</v>
      </c>
      <c r="E181" s="309">
        <v>101125</v>
      </c>
      <c r="F181" s="27">
        <f ca="1">IF((TODAY()-D181)/7&gt;T181,T181,(TODAY()-D181)/7)</f>
        <v>42.714285714285715</v>
      </c>
      <c r="G181" s="27" t="str">
        <f>IFERROR(VLOOKUP(H181,Encerrados!#REF!,3,FALSE),
IFERROR(VLOOKUP(H181,Encerrados!#REF!,3,FALSE),
IFERROR(VLOOKUP(H181,Encerrados!#REF!,3,FALSE),
IFERROR(VLOOKUP(H181,Encerrados!#REF!,3,FALSE),"-"))))</f>
        <v>-</v>
      </c>
      <c r="H181" s="296" t="s">
        <v>101</v>
      </c>
      <c r="I181" s="29">
        <v>60000</v>
      </c>
      <c r="J181" s="25" t="s">
        <v>60</v>
      </c>
      <c r="K181" s="25">
        <v>28</v>
      </c>
      <c r="L181" s="12" t="s">
        <v>368</v>
      </c>
      <c r="M181" s="45">
        <f>D181+(22*7)-7</f>
        <v>46142</v>
      </c>
      <c r="N181" s="45">
        <f>D181+24*7</f>
        <v>46163</v>
      </c>
      <c r="O181" s="23"/>
      <c r="P181" s="23" t="str">
        <f>IFERROR(VLOOKUP(Q181,Encerrados!#REF!,3,FALSE),
IFERROR(VLOOKUP(Q181,Encerrados!#REF!,3,FALSE),
IFERROR(VLOOKUP(Q181,Encerrados!#REF!,3,FALSE),
IFERROR(VLOOKUP(Q181,Encerrados!#REF!,3,FALSE),"-"))))</f>
        <v>-</v>
      </c>
      <c r="Q181" s="184" t="s">
        <v>215</v>
      </c>
      <c r="R181" s="46">
        <v>34000</v>
      </c>
      <c r="S181" s="47">
        <f>D181+(T181*7)-1</f>
        <v>46456</v>
      </c>
      <c r="T181" s="48">
        <v>66</v>
      </c>
      <c r="U181" s="49"/>
      <c r="V181" s="50">
        <f>IFERROR(S181+U181," ")</f>
        <v>46456</v>
      </c>
      <c r="W181" t="e">
        <f>VLOOKUP(Q181,Q235:Q361,1,0)</f>
        <v>#N/A</v>
      </c>
    </row>
    <row r="182" spans="1:23" ht="14.25" customHeight="1">
      <c r="A182" s="25" t="s">
        <v>17</v>
      </c>
      <c r="B182" s="24">
        <f>M113+K113</f>
        <v>45995</v>
      </c>
      <c r="C182" s="20">
        <f>YEAR(B182)</f>
        <v>2025</v>
      </c>
      <c r="D182" s="30">
        <v>45995</v>
      </c>
      <c r="E182" s="309">
        <v>101125</v>
      </c>
      <c r="F182" s="27">
        <f ca="1">IF((TODAY()-D182)/7&gt;T182,T182,(TODAY()-D182)/7)</f>
        <v>42.714285714285715</v>
      </c>
      <c r="G182" s="27" t="str">
        <f>IFERROR(VLOOKUP(H182,Encerrados!#REF!,3,FALSE),
IFERROR(VLOOKUP(H182,Encerrados!#REF!,3,FALSE),
IFERROR(VLOOKUP(H182,Encerrados!#REF!,3,FALSE),
IFERROR(VLOOKUP(H182,Encerrados!#REF!,3,FALSE),"-"))))</f>
        <v>-</v>
      </c>
      <c r="H182" s="296" t="s">
        <v>101</v>
      </c>
      <c r="I182" s="29"/>
      <c r="J182" s="25" t="s">
        <v>60</v>
      </c>
      <c r="K182" s="25">
        <v>28</v>
      </c>
      <c r="L182" s="12" t="s">
        <v>368</v>
      </c>
      <c r="M182" s="45">
        <f>D182+(22*7)-7</f>
        <v>46142</v>
      </c>
      <c r="N182" s="45">
        <f>D182+24*7</f>
        <v>46163</v>
      </c>
      <c r="O182" s="23"/>
      <c r="P182" s="23" t="str">
        <f>IFERROR(VLOOKUP(Q182,Encerrados!#REF!,3,FALSE),
IFERROR(VLOOKUP(Q182,Encerrados!#REF!,3,FALSE),
IFERROR(VLOOKUP(Q182,Encerrados!#REF!,3,FALSE),
IFERROR(VLOOKUP(Q182,Encerrados!#REF!,3,FALSE),"-"))))</f>
        <v>-</v>
      </c>
      <c r="Q182" s="184" t="s">
        <v>470</v>
      </c>
      <c r="R182" s="46">
        <v>6000</v>
      </c>
      <c r="S182" s="47">
        <f>D182+(T182*7)-1</f>
        <v>46456</v>
      </c>
      <c r="T182" s="48">
        <v>66</v>
      </c>
      <c r="U182" s="49"/>
      <c r="V182" s="50">
        <f>IFERROR(S182+U182," ")</f>
        <v>46456</v>
      </c>
      <c r="W182" t="e">
        <f>VLOOKUP(Q182,Q239:Q362,1,0)</f>
        <v>#N/A</v>
      </c>
    </row>
    <row r="183" spans="1:23" ht="14.25" customHeight="1">
      <c r="A183" s="25" t="s">
        <v>17</v>
      </c>
      <c r="B183" s="24">
        <f>M113+K113</f>
        <v>45995</v>
      </c>
      <c r="C183" s="20">
        <f>YEAR(B183)</f>
        <v>2025</v>
      </c>
      <c r="D183" s="30">
        <v>45995</v>
      </c>
      <c r="E183" s="309">
        <v>101125</v>
      </c>
      <c r="F183" s="27">
        <f ca="1">IF((TODAY()-D183)/7&gt;T183,T183,(TODAY()-D183)/7)</f>
        <v>42.714285714285715</v>
      </c>
      <c r="G183" s="27" t="str">
        <f>IFERROR(VLOOKUP(H183,Encerrados!#REF!,3,FALSE),
IFERROR(VLOOKUP(H183,Encerrados!#REF!,3,FALSE),
IFERROR(VLOOKUP(H183,Encerrados!#REF!,3,FALSE),
IFERROR(VLOOKUP(H183,Encerrados!#REF!,3,FALSE),"-"))))</f>
        <v>-</v>
      </c>
      <c r="H183" s="296" t="s">
        <v>101</v>
      </c>
      <c r="I183" s="29"/>
      <c r="J183" s="25" t="s">
        <v>60</v>
      </c>
      <c r="K183" s="25">
        <v>28</v>
      </c>
      <c r="L183" s="12" t="s">
        <v>368</v>
      </c>
      <c r="M183" s="45">
        <f>D183+(22*7)-7</f>
        <v>46142</v>
      </c>
      <c r="N183" s="45">
        <f>D183+24*7</f>
        <v>46163</v>
      </c>
      <c r="O183" s="23"/>
      <c r="P183" s="23" t="str">
        <f>IFERROR(VLOOKUP(Q183,Encerrados!#REF!,3,FALSE),
IFERROR(VLOOKUP(Q183,Encerrados!#REF!,3,FALSE),
IFERROR(VLOOKUP(Q183,Encerrados!#REF!,3,FALSE),
IFERROR(VLOOKUP(Q183,Encerrados!#REF!,3,FALSE),"-"))))</f>
        <v>-</v>
      </c>
      <c r="Q183" s="184" t="s">
        <v>223</v>
      </c>
      <c r="R183" s="46">
        <v>13000</v>
      </c>
      <c r="S183" s="47">
        <f>D183+(T183*7)-1</f>
        <v>46456</v>
      </c>
      <c r="T183" s="48">
        <v>66</v>
      </c>
      <c r="U183" s="49"/>
      <c r="V183" s="50">
        <f>IFERROR(S183+U183," ")</f>
        <v>46456</v>
      </c>
      <c r="W183" t="e">
        <f>VLOOKUP(Q183,Q240:Q363,1,0)</f>
        <v>#N/A</v>
      </c>
    </row>
    <row r="184" spans="1:23" ht="14.25" customHeight="1">
      <c r="A184" s="25" t="s">
        <v>17</v>
      </c>
      <c r="B184" s="24">
        <f>M113+K113</f>
        <v>45995</v>
      </c>
      <c r="C184" s="20">
        <f>YEAR(B184)</f>
        <v>2025</v>
      </c>
      <c r="D184" s="30">
        <v>45995</v>
      </c>
      <c r="E184" s="309">
        <v>101125</v>
      </c>
      <c r="F184" s="27">
        <f ca="1">IF((TODAY()-D184)/7&gt;T184,T184,(TODAY()-D184)/7)</f>
        <v>42.714285714285715</v>
      </c>
      <c r="G184" s="27" t="str">
        <f>IFERROR(VLOOKUP(H184,Encerrados!#REF!,3,FALSE),
IFERROR(VLOOKUP(H184,Encerrados!#REF!,3,FALSE),
IFERROR(VLOOKUP(H184,Encerrados!#REF!,3,FALSE),
IFERROR(VLOOKUP(H184,Encerrados!#REF!,3,FALSE),"-"))))</f>
        <v>-</v>
      </c>
      <c r="H184" s="296" t="s">
        <v>101</v>
      </c>
      <c r="I184" s="29"/>
      <c r="J184" s="25" t="s">
        <v>60</v>
      </c>
      <c r="K184" s="25">
        <v>28</v>
      </c>
      <c r="L184" s="12" t="s">
        <v>368</v>
      </c>
      <c r="M184" s="45">
        <f>D184+(22*7)-7</f>
        <v>46142</v>
      </c>
      <c r="N184" s="45">
        <f>D184+24*7</f>
        <v>46163</v>
      </c>
      <c r="O184" s="23"/>
      <c r="P184" s="23" t="str">
        <f>IFERROR(VLOOKUP(Q184,Encerrados!#REF!,3,FALSE),
IFERROR(VLOOKUP(Q184,Encerrados!#REF!,3,FALSE),
IFERROR(VLOOKUP(Q184,Encerrados!#REF!,3,FALSE),
IFERROR(VLOOKUP(Q184,Encerrados!#REF!,3,FALSE),"-"))))</f>
        <v>-</v>
      </c>
      <c r="Q184" s="184" t="s">
        <v>213</v>
      </c>
      <c r="R184" s="46">
        <v>4000</v>
      </c>
      <c r="S184" s="47">
        <f>D184+(T184*7)-1</f>
        <v>46456</v>
      </c>
      <c r="T184" s="48">
        <v>66</v>
      </c>
      <c r="U184" s="49"/>
      <c r="V184" s="50">
        <f>IFERROR(S184+U184," ")</f>
        <v>46456</v>
      </c>
      <c r="W184" t="e">
        <f>VLOOKUP(Q184,Q240:Q363,1,0)</f>
        <v>#N/A</v>
      </c>
    </row>
    <row r="185" spans="1:23" ht="14.25" customHeight="1">
      <c r="A185" s="25" t="s">
        <v>17</v>
      </c>
      <c r="B185" s="24">
        <f>M117+K117</f>
        <v>45997</v>
      </c>
      <c r="C185" s="20">
        <f t="shared" si="69"/>
        <v>2025</v>
      </c>
      <c r="D185" s="30">
        <v>45995</v>
      </c>
      <c r="E185" s="309">
        <v>101225</v>
      </c>
      <c r="F185" s="27">
        <f t="shared" ca="1" si="70"/>
        <v>42.714285714285715</v>
      </c>
      <c r="G185" s="27" t="str">
        <f>IFERROR(VLOOKUP(H185,Encerrados!#REF!,3,FALSE),
IFERROR(VLOOKUP(H185,Encerrados!#REF!,3,FALSE),
IFERROR(VLOOKUP(H185,Encerrados!#REF!,3,FALSE),
IFERROR(VLOOKUP(H185,Encerrados!#REF!,3,FALSE),"-"))))</f>
        <v>-</v>
      </c>
      <c r="H185" s="296" t="s">
        <v>107</v>
      </c>
      <c r="I185" s="29">
        <v>42000</v>
      </c>
      <c r="J185" s="25" t="s">
        <v>60</v>
      </c>
      <c r="K185" s="25">
        <v>25</v>
      </c>
      <c r="L185" s="38" t="s">
        <v>513</v>
      </c>
      <c r="M185" s="45">
        <f t="shared" si="57"/>
        <v>46142</v>
      </c>
      <c r="N185" s="45">
        <f t="shared" si="44"/>
        <v>46163</v>
      </c>
      <c r="O185" s="23"/>
      <c r="P185" s="23" t="str">
        <f>IFERROR(VLOOKUP(Q185,Encerrados!#REF!,3,FALSE),
IFERROR(VLOOKUP(Q185,Encerrados!#REF!,3,FALSE),
IFERROR(VLOOKUP(Q185,Encerrados!#REF!,3,FALSE),
IFERROR(VLOOKUP(Q185,Encerrados!#REF!,3,FALSE),"-"))))</f>
        <v>-</v>
      </c>
      <c r="Q185" s="184" t="s">
        <v>213</v>
      </c>
      <c r="R185" s="46">
        <v>4000</v>
      </c>
      <c r="S185" s="47">
        <f t="shared" si="41"/>
        <v>46456</v>
      </c>
      <c r="T185" s="48">
        <v>66</v>
      </c>
      <c r="U185" s="49"/>
      <c r="V185" s="50">
        <f t="shared" si="42"/>
        <v>46456</v>
      </c>
      <c r="W185" t="e">
        <f>VLOOKUP(Q185,Q229:Q357,1,0)</f>
        <v>#N/A</v>
      </c>
    </row>
    <row r="186" spans="1:23" ht="14.25" customHeight="1">
      <c r="A186" s="25" t="s">
        <v>17</v>
      </c>
      <c r="B186" s="24">
        <f>M117+K117</f>
        <v>45997</v>
      </c>
      <c r="C186" s="20">
        <f t="shared" si="69"/>
        <v>2025</v>
      </c>
      <c r="D186" s="30">
        <v>45995</v>
      </c>
      <c r="E186" s="309">
        <v>101225</v>
      </c>
      <c r="F186" s="27">
        <f t="shared" ca="1" si="70"/>
        <v>42.714285714285715</v>
      </c>
      <c r="G186" s="27" t="str">
        <f>IFERROR(VLOOKUP(H186,Encerrados!#REF!,3,FALSE),
IFERROR(VLOOKUP(H186,Encerrados!#REF!,3,FALSE),
IFERROR(VLOOKUP(H186,Encerrados!#REF!,3,FALSE),
IFERROR(VLOOKUP(H186,Encerrados!#REF!,3,FALSE),"-"))))</f>
        <v>-</v>
      </c>
      <c r="H186" s="296" t="s">
        <v>107</v>
      </c>
      <c r="I186" s="29"/>
      <c r="J186" s="25" t="s">
        <v>60</v>
      </c>
      <c r="K186" s="25">
        <v>25</v>
      </c>
      <c r="L186" s="38" t="s">
        <v>513</v>
      </c>
      <c r="M186" s="45">
        <f t="shared" si="57"/>
        <v>46142</v>
      </c>
      <c r="N186" s="45">
        <f t="shared" si="44"/>
        <v>46163</v>
      </c>
      <c r="O186" s="23"/>
      <c r="P186" s="23" t="str">
        <f>IFERROR(VLOOKUP(Q186,Encerrados!#REF!,3,FALSE),
IFERROR(VLOOKUP(Q186,Encerrados!#REF!,3,FALSE),
IFERROR(VLOOKUP(Q186,Encerrados!#REF!,3,FALSE),
IFERROR(VLOOKUP(Q186,Encerrados!#REF!,3,FALSE),"-"))))</f>
        <v>-</v>
      </c>
      <c r="Q186" s="184" t="s">
        <v>207</v>
      </c>
      <c r="R186" s="46">
        <v>36000</v>
      </c>
      <c r="S186" s="47">
        <f t="shared" si="41"/>
        <v>46456</v>
      </c>
      <c r="T186" s="48">
        <v>66</v>
      </c>
      <c r="U186" s="49"/>
      <c r="V186" s="50">
        <f t="shared" si="42"/>
        <v>46456</v>
      </c>
      <c r="W186" t="e">
        <f>VLOOKUP(Q186,Q235:Q358,1,0)</f>
        <v>#N/A</v>
      </c>
    </row>
    <row r="187" spans="1:23" ht="14.25" customHeight="1">
      <c r="A187" s="25" t="s">
        <v>17</v>
      </c>
      <c r="B187" s="24">
        <f>M134+K134</f>
        <v>46002</v>
      </c>
      <c r="C187" s="20">
        <f>YEAR(B187)</f>
        <v>2025</v>
      </c>
      <c r="D187" s="30">
        <v>46002</v>
      </c>
      <c r="E187" s="309">
        <v>101425</v>
      </c>
      <c r="F187" s="27">
        <f ca="1">IF((TODAY()-D187)/7&gt;T187,T187,(TODAY()-D187)/7)</f>
        <v>41.714285714285715</v>
      </c>
      <c r="G187" s="27" t="str">
        <f>IFERROR(VLOOKUP(H187,Encerrados!#REF!,3,FALSE),
IFERROR(VLOOKUP(H187,Encerrados!#REF!,3,FALSE),
IFERROR(VLOOKUP(H187,Encerrados!#REF!,3,FALSE),
IFERROR(VLOOKUP(H187,Encerrados!#REF!,3,FALSE),"-"))))</f>
        <v>-</v>
      </c>
      <c r="H187" s="296" t="s">
        <v>139</v>
      </c>
      <c r="I187" s="29">
        <v>60000</v>
      </c>
      <c r="J187" s="25" t="s">
        <v>60</v>
      </c>
      <c r="K187" s="25">
        <v>25</v>
      </c>
      <c r="L187" s="12" t="s">
        <v>368</v>
      </c>
      <c r="M187" s="45">
        <f>D187+(22*7)-7</f>
        <v>46149</v>
      </c>
      <c r="N187" s="45">
        <f>D187+24*7</f>
        <v>46170</v>
      </c>
      <c r="O187" s="23"/>
      <c r="P187" s="23" t="str">
        <f>IFERROR(VLOOKUP(Q187,Encerrados!#REF!,3,FALSE),
IFERROR(VLOOKUP(Q187,Encerrados!#REF!,3,FALSE),
IFERROR(VLOOKUP(Q187,Encerrados!#REF!,3,FALSE),
IFERROR(VLOOKUP(Q187,Encerrados!#REF!,3,FALSE),"-"))))</f>
        <v>-</v>
      </c>
      <c r="Q187" s="184" t="s">
        <v>223</v>
      </c>
      <c r="R187" s="46">
        <v>13000</v>
      </c>
      <c r="S187" s="47">
        <f>D187+(T187*7)-1</f>
        <v>46463</v>
      </c>
      <c r="T187" s="48">
        <v>66</v>
      </c>
      <c r="U187" s="49"/>
      <c r="V187" s="50">
        <f>IFERROR(S187+U187," ")</f>
        <v>46463</v>
      </c>
      <c r="W187" t="e">
        <f>VLOOKUP(Q187,Q243:Q367,1,0)</f>
        <v>#N/A</v>
      </c>
    </row>
    <row r="188" spans="1:23" ht="14.25" customHeight="1">
      <c r="A188" s="25" t="s">
        <v>17</v>
      </c>
      <c r="B188" s="24">
        <f>M134+K134</f>
        <v>46002</v>
      </c>
      <c r="C188" s="20">
        <f>YEAR(B188)</f>
        <v>2025</v>
      </c>
      <c r="D188" s="30">
        <v>46002</v>
      </c>
      <c r="E188" s="309">
        <v>101425</v>
      </c>
      <c r="F188" s="27">
        <f ca="1">IF((TODAY()-D188)/7&gt;T188,T188,(TODAY()-D188)/7)</f>
        <v>41.714285714285715</v>
      </c>
      <c r="G188" s="27" t="str">
        <f>IFERROR(VLOOKUP(H188,Encerrados!#REF!,3,FALSE),
IFERROR(VLOOKUP(H188,Encerrados!#REF!,3,FALSE),
IFERROR(VLOOKUP(H188,Encerrados!#REF!,3,FALSE),
IFERROR(VLOOKUP(H188,Encerrados!#REF!,3,FALSE),"-"))))</f>
        <v>-</v>
      </c>
      <c r="H188" s="296" t="s">
        <v>139</v>
      </c>
      <c r="I188" s="29"/>
      <c r="J188" s="25" t="s">
        <v>60</v>
      </c>
      <c r="K188" s="25">
        <v>25</v>
      </c>
      <c r="L188" s="12" t="s">
        <v>368</v>
      </c>
      <c r="M188" s="45">
        <f>D188+(22*7)-7</f>
        <v>46149</v>
      </c>
      <c r="N188" s="45">
        <f>D188+24*7</f>
        <v>46170</v>
      </c>
      <c r="O188" s="23"/>
      <c r="P188" s="23" t="str">
        <f>IFERROR(VLOOKUP(Q188,Encerrados!#REF!,3,FALSE),
IFERROR(VLOOKUP(Q188,Encerrados!#REF!,3,FALSE),
IFERROR(VLOOKUP(Q188,Encerrados!#REF!,3,FALSE),
IFERROR(VLOOKUP(Q188,Encerrados!#REF!,3,FALSE),"-"))))</f>
        <v>-</v>
      </c>
      <c r="Q188" s="184" t="s">
        <v>212</v>
      </c>
      <c r="R188" s="46">
        <v>38000</v>
      </c>
      <c r="S188" s="47">
        <f>D188+(T188*7)-1</f>
        <v>46463</v>
      </c>
      <c r="T188" s="48">
        <v>66</v>
      </c>
      <c r="U188" s="49"/>
      <c r="V188" s="50">
        <f>IFERROR(S188+U188," ")</f>
        <v>46463</v>
      </c>
      <c r="W188" t="e">
        <f>VLOOKUP(Q188,Q255:Q368,1,0)</f>
        <v>#N/A</v>
      </c>
    </row>
    <row r="189" spans="1:23" ht="14.25" customHeight="1">
      <c r="A189" s="25" t="s">
        <v>17</v>
      </c>
      <c r="B189" s="24">
        <v>46008</v>
      </c>
      <c r="C189" s="20">
        <f t="shared" si="56"/>
        <v>2025</v>
      </c>
      <c r="D189" s="30">
        <v>46009</v>
      </c>
      <c r="E189" s="309">
        <v>101325</v>
      </c>
      <c r="F189" s="27">
        <f t="shared" ca="1" si="55"/>
        <v>40.714285714285715</v>
      </c>
      <c r="G189" s="27" t="str">
        <f>IFERROR(VLOOKUP(H189,Encerrados!#REF!,3,FALSE),
IFERROR(VLOOKUP(H189,Encerrados!#REF!,3,FALSE),
IFERROR(VLOOKUP(H189,Encerrados!#REF!,3,FALSE),
IFERROR(VLOOKUP(H189,Encerrados!#REF!,3,FALSE),"-"))))</f>
        <v>-</v>
      </c>
      <c r="H189" s="296" t="s">
        <v>216</v>
      </c>
      <c r="I189" s="29">
        <v>61000</v>
      </c>
      <c r="J189" s="25" t="s">
        <v>60</v>
      </c>
      <c r="K189" s="25">
        <v>20</v>
      </c>
      <c r="L189" s="12" t="s">
        <v>368</v>
      </c>
      <c r="M189" s="45">
        <f t="shared" si="57"/>
        <v>46156</v>
      </c>
      <c r="N189" s="45">
        <f t="shared" si="44"/>
        <v>46177</v>
      </c>
      <c r="O189" s="23"/>
      <c r="P189" s="23" t="str">
        <f>IFERROR(VLOOKUP(Q189,Encerrados!#REF!,3,FALSE),
IFERROR(VLOOKUP(Q189,Encerrados!#REF!,3,FALSE),
IFERROR(VLOOKUP(Q189,Encerrados!#REF!,3,FALSE),
IFERROR(VLOOKUP(Q189,Encerrados!#REF!,3,FALSE),"-"))))</f>
        <v>-</v>
      </c>
      <c r="Q189" s="184" t="s">
        <v>209</v>
      </c>
      <c r="R189" s="46">
        <v>30000</v>
      </c>
      <c r="S189" s="47">
        <f t="shared" si="41"/>
        <v>46470</v>
      </c>
      <c r="T189" s="48">
        <v>66</v>
      </c>
      <c r="U189" s="49"/>
      <c r="V189" s="50">
        <f t="shared" si="42"/>
        <v>46470</v>
      </c>
      <c r="W189" t="e">
        <f>VLOOKUP(Q189,Q227:Q359,1,0)</f>
        <v>#N/A</v>
      </c>
    </row>
    <row r="190" spans="1:23" ht="14.25" customHeight="1">
      <c r="A190" s="25" t="s">
        <v>17</v>
      </c>
      <c r="B190" s="24">
        <v>46008</v>
      </c>
      <c r="C190" s="20">
        <f t="shared" si="56"/>
        <v>2025</v>
      </c>
      <c r="D190" s="30">
        <v>46009</v>
      </c>
      <c r="E190" s="309">
        <v>101325</v>
      </c>
      <c r="F190" s="27">
        <f t="shared" ca="1" si="55"/>
        <v>40.714285714285715</v>
      </c>
      <c r="G190" s="27" t="str">
        <f>IFERROR(VLOOKUP(H190,Encerrados!#REF!,3,FALSE),
IFERROR(VLOOKUP(H190,Encerrados!#REF!,3,FALSE),
IFERROR(VLOOKUP(H190,Encerrados!#REF!,3,FALSE),
IFERROR(VLOOKUP(H190,Encerrados!#REF!,3,FALSE),"-"))))</f>
        <v>-</v>
      </c>
      <c r="H190" s="296" t="s">
        <v>216</v>
      </c>
      <c r="I190" s="29"/>
      <c r="J190" s="25" t="s">
        <v>60</v>
      </c>
      <c r="K190" s="25">
        <v>20</v>
      </c>
      <c r="L190" s="12" t="s">
        <v>368</v>
      </c>
      <c r="M190" s="240">
        <f t="shared" si="57"/>
        <v>46156</v>
      </c>
      <c r="N190" s="240">
        <f t="shared" si="44"/>
        <v>46177</v>
      </c>
      <c r="O190" s="241"/>
      <c r="P190" s="241" t="str">
        <f>IFERROR(VLOOKUP(Q190,Encerrados!#REF!,3,FALSE),
IFERROR(VLOOKUP(Q190,Encerrados!#REF!,3,FALSE),
IFERROR(VLOOKUP(Q190,Encerrados!#REF!,3,FALSE),
IFERROR(VLOOKUP(Q190,Encerrados!#REF!,3,FALSE),"-"))))</f>
        <v>-</v>
      </c>
      <c r="Q190" s="216" t="s">
        <v>224</v>
      </c>
      <c r="R190" s="242">
        <v>34000</v>
      </c>
      <c r="S190" s="243">
        <f t="shared" si="41"/>
        <v>46470</v>
      </c>
      <c r="T190" s="182">
        <v>66</v>
      </c>
      <c r="U190" s="244"/>
      <c r="V190" s="245">
        <f>IFERROR(S190+U190," ")</f>
        <v>46470</v>
      </c>
      <c r="W190" t="e">
        <f>VLOOKUP(Q190,Q228:Q360,1,0)</f>
        <v>#N/A</v>
      </c>
    </row>
    <row r="191" spans="1:23" ht="14.25" customHeight="1">
      <c r="A191" s="25" t="s">
        <v>17</v>
      </c>
      <c r="B191" s="24">
        <f>M129+K129</f>
        <v>46010</v>
      </c>
      <c r="C191" s="20">
        <f>YEAR(B191)</f>
        <v>2025</v>
      </c>
      <c r="D191" s="30">
        <v>46009</v>
      </c>
      <c r="E191" s="309">
        <v>101525</v>
      </c>
      <c r="F191" s="27">
        <f ca="1">IF((TODAY()-D191)/7&gt;T191,T191,(TODAY()-D191)/7)</f>
        <v>40.714285714285715</v>
      </c>
      <c r="G191" s="27" t="str">
        <f>IFERROR(VLOOKUP(H191,Encerrados!#REF!,3,FALSE),
IFERROR(VLOOKUP(H191,Encerrados!#REF!,3,FALSE),
IFERROR(VLOOKUP(H191,Encerrados!#REF!,3,FALSE),
IFERROR(VLOOKUP(H191,Encerrados!#REF!,3,FALSE),"-"))))</f>
        <v>-</v>
      </c>
      <c r="H191" s="296" t="s">
        <v>135</v>
      </c>
      <c r="I191" s="29">
        <v>46000</v>
      </c>
      <c r="J191" s="25" t="s">
        <v>20</v>
      </c>
      <c r="K191" s="25">
        <v>25</v>
      </c>
      <c r="L191" s="11" t="s">
        <v>365</v>
      </c>
      <c r="M191" s="45">
        <f>D191+(22*7)-7</f>
        <v>46156</v>
      </c>
      <c r="N191" s="45">
        <f>D191+24*7</f>
        <v>46177</v>
      </c>
      <c r="O191" s="23"/>
      <c r="P191" s="23" t="str">
        <f>IFERROR(VLOOKUP(Q191,Encerrados!#REF!,3,FALSE),
IFERROR(VLOOKUP(Q191,Encerrados!#REF!,3,FALSE),
IFERROR(VLOOKUP(Q191,Encerrados!#REF!,3,FALSE),
IFERROR(VLOOKUP(Q191,Encerrados!#REF!,3,FALSE),"-"))))</f>
        <v>-</v>
      </c>
      <c r="Q191" s="184" t="s">
        <v>219</v>
      </c>
      <c r="R191" s="46">
        <v>44000</v>
      </c>
      <c r="S191" s="47">
        <f>D191+(T191*7)-1</f>
        <v>46470</v>
      </c>
      <c r="T191" s="48">
        <v>66</v>
      </c>
      <c r="U191" s="49"/>
      <c r="V191" s="50">
        <f>IFERROR(S191+U191," ")</f>
        <v>46470</v>
      </c>
      <c r="W191" t="e">
        <f>VLOOKUP(Q191,Q236:Q364,1,0)</f>
        <v>#N/A</v>
      </c>
    </row>
    <row r="192" spans="1:23" ht="14.25" customHeight="1">
      <c r="A192" s="55" t="s">
        <v>17</v>
      </c>
      <c r="B192" s="54">
        <f>M126+K126</f>
        <v>46031</v>
      </c>
      <c r="C192" s="136">
        <f t="shared" si="56"/>
        <v>2026</v>
      </c>
      <c r="D192" s="107">
        <v>46030</v>
      </c>
      <c r="E192" s="411">
        <v>100126</v>
      </c>
      <c r="F192" s="108">
        <f t="shared" ca="1" si="55"/>
        <v>37.714285714285715</v>
      </c>
      <c r="G192" s="108" t="str">
        <f>IFERROR(VLOOKUP(H192,Encerrados!#REF!,3,FALSE),
IFERROR(VLOOKUP(H192,Encerrados!#REF!,3,FALSE),
IFERROR(VLOOKUP(H192,Encerrados!#REF!,3,FALSE),
IFERROR(VLOOKUP(H192,Encerrados!#REF!,3,FALSE),"-"))))</f>
        <v>-</v>
      </c>
      <c r="H192" s="295" t="s">
        <v>123</v>
      </c>
      <c r="I192" s="56">
        <v>42000</v>
      </c>
      <c r="J192" s="55" t="s">
        <v>60</v>
      </c>
      <c r="K192" s="55">
        <v>28</v>
      </c>
      <c r="L192" s="11" t="s">
        <v>365</v>
      </c>
      <c r="M192" s="45">
        <f t="shared" si="57"/>
        <v>46177</v>
      </c>
      <c r="N192" s="45">
        <f t="shared" si="44"/>
        <v>46198</v>
      </c>
      <c r="O192" s="23"/>
      <c r="P192" s="23" t="str">
        <f>IFERROR(VLOOKUP(Q192,Encerrados!#REF!,3,FALSE),
IFERROR(VLOOKUP(Q192,Encerrados!#REF!,3,FALSE),
IFERROR(VLOOKUP(Q192,Encerrados!#REF!,3,FALSE),
IFERROR(VLOOKUP(Q192,Encerrados!#REF!,3,FALSE),"-"))))</f>
        <v>-</v>
      </c>
      <c r="Q192" s="184" t="s">
        <v>225</v>
      </c>
      <c r="R192" s="46">
        <f>I192*0.96</f>
        <v>40320</v>
      </c>
      <c r="S192" s="47">
        <f t="shared" si="41"/>
        <v>46491</v>
      </c>
      <c r="T192" s="48">
        <v>66</v>
      </c>
      <c r="U192" s="49"/>
      <c r="V192" s="50">
        <f t="shared" ref="V192:V247" si="71">IFERROR(S192+U192," ")</f>
        <v>46491</v>
      </c>
      <c r="W192" t="e">
        <f>VLOOKUP(Q192,Q241:Q365,1,0)</f>
        <v>#N/A</v>
      </c>
    </row>
    <row r="193" spans="1:23" ht="14.25" customHeight="1">
      <c r="A193" s="55" t="s">
        <v>17</v>
      </c>
      <c r="B193" s="54">
        <f>M140+K140</f>
        <v>46030</v>
      </c>
      <c r="C193" s="136">
        <f>YEAR(B193)</f>
        <v>2026</v>
      </c>
      <c r="D193" s="107">
        <v>46030</v>
      </c>
      <c r="E193" s="411">
        <v>100226</v>
      </c>
      <c r="F193" s="108">
        <f ca="1">IF((TODAY()-D193)/7&gt;T193,T193,(TODAY()-D193)/7)</f>
        <v>37.714285714285715</v>
      </c>
      <c r="G193" s="108" t="str">
        <f>IFERROR(VLOOKUP(H193,Encerrados!#REF!,3,FALSE),
IFERROR(VLOOKUP(H193,Encerrados!#REF!,3,FALSE),
IFERROR(VLOOKUP(H193,Encerrados!#REF!,3,FALSE),
IFERROR(VLOOKUP(H193,Encerrados!#REF!,3,FALSE),"-"))))</f>
        <v>-</v>
      </c>
      <c r="H193" s="295" t="s">
        <v>151</v>
      </c>
      <c r="I193" s="56">
        <v>42000</v>
      </c>
      <c r="J193" s="55" t="s">
        <v>45</v>
      </c>
      <c r="K193" s="55">
        <v>50</v>
      </c>
      <c r="L193" s="11" t="s">
        <v>510</v>
      </c>
      <c r="M193" s="45">
        <f t="shared" ref="M193:M199" si="72">D193+(22*7)-7</f>
        <v>46177</v>
      </c>
      <c r="N193" s="45">
        <f>D193+24*7</f>
        <v>46198</v>
      </c>
      <c r="O193" s="23"/>
      <c r="P193" s="23" t="str">
        <f>IFERROR(VLOOKUP(Q193,Encerrados!#REF!,3,FALSE),
IFERROR(VLOOKUP(Q193,Encerrados!#REF!,3,FALSE),
IFERROR(VLOOKUP(Q193,Encerrados!#REF!,3,FALSE),
IFERROR(VLOOKUP(Q193,Encerrados!#REF!,3,FALSE),"-"))))</f>
        <v>-</v>
      </c>
      <c r="Q193" s="184" t="s">
        <v>225</v>
      </c>
      <c r="R193" s="46">
        <f>I193*0.96</f>
        <v>40320</v>
      </c>
      <c r="S193" s="47">
        <f>D193+(T193*7)-1</f>
        <v>46491</v>
      </c>
      <c r="T193" s="48">
        <v>66</v>
      </c>
      <c r="U193" s="49"/>
      <c r="V193" s="50">
        <f>IFERROR(S193+U193," ")</f>
        <v>46491</v>
      </c>
      <c r="W193" t="e">
        <f>VLOOKUP(Q193,Q248:Q374,1,0)</f>
        <v>#N/A</v>
      </c>
    </row>
    <row r="194" spans="1:23" ht="14.25" customHeight="1">
      <c r="A194" s="55" t="s">
        <v>17</v>
      </c>
      <c r="B194" s="54">
        <f>M139+K139</f>
        <v>46032</v>
      </c>
      <c r="C194" s="136">
        <f>YEAR(B194)</f>
        <v>2026</v>
      </c>
      <c r="D194" s="107">
        <v>46037</v>
      </c>
      <c r="E194" s="411">
        <v>100326</v>
      </c>
      <c r="F194" s="108">
        <f ca="1">IF((TODAY()-D194)/7&gt;T194,T194,(TODAY()-D194)/7)</f>
        <v>36.714285714285715</v>
      </c>
      <c r="G194" s="108" t="str">
        <f>IFERROR(VLOOKUP(H194,Encerrados!#REF!,3,FALSE),
IFERROR(VLOOKUP(H194,Encerrados!#REF!,3,FALSE),
IFERROR(VLOOKUP(H194,Encerrados!#REF!,3,FALSE),
IFERROR(VLOOKUP(H194,Encerrados!#REF!,3,FALSE),"-"))))</f>
        <v>-</v>
      </c>
      <c r="H194" s="295" t="s">
        <v>148</v>
      </c>
      <c r="I194" s="56">
        <v>60000</v>
      </c>
      <c r="J194" s="55" t="s">
        <v>45</v>
      </c>
      <c r="K194" s="55">
        <v>50</v>
      </c>
      <c r="L194" s="38" t="s">
        <v>376</v>
      </c>
      <c r="M194" s="45">
        <f t="shared" si="72"/>
        <v>46184</v>
      </c>
      <c r="N194" s="45">
        <f>D194+24*7</f>
        <v>46205</v>
      </c>
      <c r="O194" s="23"/>
      <c r="P194" s="23" t="str">
        <f>IFERROR(VLOOKUP(Q194,Encerrados!#REF!,3,FALSE),
IFERROR(VLOOKUP(Q194,Encerrados!#REF!,3,FALSE),
IFERROR(VLOOKUP(Q194,Encerrados!#REF!,3,FALSE),
IFERROR(VLOOKUP(Q194,Encerrados!#REF!,3,FALSE),"-"))))</f>
        <v>-</v>
      </c>
      <c r="Q194" s="184" t="s">
        <v>217</v>
      </c>
      <c r="R194" s="46">
        <v>57000</v>
      </c>
      <c r="S194" s="47">
        <f>D194+(T194*7)-1</f>
        <v>46498</v>
      </c>
      <c r="T194" s="48">
        <v>66</v>
      </c>
      <c r="U194" s="49"/>
      <c r="V194" s="50">
        <f>IFERROR(S194+U194," ")</f>
        <v>46498</v>
      </c>
      <c r="W194" t="e">
        <f>VLOOKUP(Q194,Q243:Q370,1,0)</f>
        <v>#N/A</v>
      </c>
    </row>
    <row r="195" spans="1:23" ht="14.25" customHeight="1">
      <c r="A195" s="55" t="s">
        <v>17</v>
      </c>
      <c r="B195" s="54">
        <f>M142+K142</f>
        <v>46038</v>
      </c>
      <c r="C195" s="136">
        <f t="shared" si="56"/>
        <v>2026</v>
      </c>
      <c r="D195" s="107">
        <v>46037</v>
      </c>
      <c r="E195" s="411">
        <v>100426</v>
      </c>
      <c r="F195" s="108">
        <f t="shared" ca="1" si="55"/>
        <v>36.714285714285715</v>
      </c>
      <c r="G195" s="108" t="str">
        <f>IFERROR(VLOOKUP(H195,Encerrados!#REF!,3,FALSE),
IFERROR(VLOOKUP(H195,Encerrados!#REF!,3,FALSE),
IFERROR(VLOOKUP(H195,Encerrados!#REF!,3,FALSE),
IFERROR(VLOOKUP(H195,Encerrados!#REF!,3,FALSE),"-"))))</f>
        <v>-</v>
      </c>
      <c r="H195" s="446" t="s">
        <v>157</v>
      </c>
      <c r="I195" s="56">
        <v>38000</v>
      </c>
      <c r="J195" s="55" t="s">
        <v>45</v>
      </c>
      <c r="K195" s="55">
        <v>50</v>
      </c>
      <c r="L195" s="11" t="s">
        <v>365</v>
      </c>
      <c r="M195" s="45">
        <f t="shared" si="72"/>
        <v>46184</v>
      </c>
      <c r="N195" s="45">
        <f t="shared" si="44"/>
        <v>46205</v>
      </c>
      <c r="O195" s="23"/>
      <c r="P195" s="23" t="str">
        <f>IFERROR(VLOOKUP(Q195,Encerrados!#REF!,3,FALSE),
IFERROR(VLOOKUP(Q195,Encerrados!#REF!,3,FALSE),
IFERROR(VLOOKUP(Q195,Encerrados!#REF!,3,FALSE),
IFERROR(VLOOKUP(Q195,Encerrados!#REF!,3,FALSE),"-"))))</f>
        <v>-</v>
      </c>
      <c r="Q195" s="184"/>
      <c r="R195" s="46">
        <f>I195*0.96</f>
        <v>36480</v>
      </c>
      <c r="S195" s="47">
        <f t="shared" si="41"/>
        <v>46498</v>
      </c>
      <c r="T195" s="48">
        <v>66</v>
      </c>
      <c r="U195" s="49"/>
      <c r="V195" s="50">
        <f t="shared" si="71"/>
        <v>46498</v>
      </c>
      <c r="W195" t="e">
        <f>VLOOKUP(Q195,Q242:Q366,1,0)</f>
        <v>#N/A</v>
      </c>
    </row>
    <row r="196" spans="1:23" ht="14.25" customHeight="1">
      <c r="A196" s="310" t="s">
        <v>17</v>
      </c>
      <c r="B196" s="311">
        <f>M143+K143</f>
        <v>46044</v>
      </c>
      <c r="C196" s="312">
        <f t="shared" si="56"/>
        <v>2026</v>
      </c>
      <c r="D196" s="313">
        <f t="shared" ref="D196:D241" si="73">B196</f>
        <v>46044</v>
      </c>
      <c r="E196" s="411">
        <v>100526</v>
      </c>
      <c r="F196" s="314">
        <f t="shared" ca="1" si="55"/>
        <v>35.714285714285715</v>
      </c>
      <c r="G196" s="314" t="str">
        <f>IFERROR(VLOOKUP(H196,Encerrados!#REF!,3,FALSE),
IFERROR(VLOOKUP(H196,Encerrados!#REF!,3,FALSE),
IFERROR(VLOOKUP(H196,Encerrados!#REF!,3,FALSE),
IFERROR(VLOOKUP(H196,Encerrados!#REF!,3,FALSE),"-"))))</f>
        <v>-</v>
      </c>
      <c r="H196" s="295" t="s">
        <v>402</v>
      </c>
      <c r="I196" s="315">
        <v>84000</v>
      </c>
      <c r="J196" s="310" t="s">
        <v>20</v>
      </c>
      <c r="K196" s="310">
        <v>25</v>
      </c>
      <c r="L196" s="11" t="s">
        <v>365</v>
      </c>
      <c r="M196" s="45">
        <f t="shared" si="72"/>
        <v>46191</v>
      </c>
      <c r="N196" s="45">
        <f t="shared" si="44"/>
        <v>46212</v>
      </c>
      <c r="O196" s="23"/>
      <c r="P196" s="23" t="str">
        <f>IFERROR(VLOOKUP(Q196,Encerrados!#REF!,3,FALSE),
IFERROR(VLOOKUP(Q196,Encerrados!#REF!,3,FALSE),
IFERROR(VLOOKUP(Q196,Encerrados!#REF!,3,FALSE),
IFERROR(VLOOKUP(Q196,Encerrados!#REF!,3,FALSE),"-"))))</f>
        <v>-</v>
      </c>
      <c r="Q196" s="184"/>
      <c r="R196" s="46">
        <v>40000</v>
      </c>
      <c r="S196" s="47">
        <f t="shared" ref="S196:S251" si="74">D196+(T196*7)-1</f>
        <v>46505</v>
      </c>
      <c r="T196" s="48">
        <v>66</v>
      </c>
      <c r="U196" s="49"/>
      <c r="V196" s="50">
        <f t="shared" si="71"/>
        <v>46505</v>
      </c>
      <c r="W196" t="e">
        <f>VLOOKUP(Q196,Q244:Q371,1,0)</f>
        <v>#N/A</v>
      </c>
    </row>
    <row r="197" spans="1:23" ht="14.25" customHeight="1">
      <c r="A197" s="310" t="s">
        <v>17</v>
      </c>
      <c r="B197" s="311">
        <f>M143+K143</f>
        <v>46044</v>
      </c>
      <c r="C197" s="312">
        <f t="shared" si="56"/>
        <v>2026</v>
      </c>
      <c r="D197" s="313">
        <f t="shared" si="73"/>
        <v>46044</v>
      </c>
      <c r="E197" s="411">
        <v>100526</v>
      </c>
      <c r="F197" s="314">
        <f t="shared" ca="1" si="55"/>
        <v>35.714285714285715</v>
      </c>
      <c r="G197" s="314" t="str">
        <f>IFERROR(VLOOKUP(H197,Encerrados!#REF!,3,FALSE),
IFERROR(VLOOKUP(H197,Encerrados!#REF!,3,FALSE),
IFERROR(VLOOKUP(H197,Encerrados!#REF!,3,FALSE),
IFERROR(VLOOKUP(H197,Encerrados!#REF!,3,FALSE),"-"))))</f>
        <v>-</v>
      </c>
      <c r="H197" s="295" t="s">
        <v>402</v>
      </c>
      <c r="I197" s="315"/>
      <c r="J197" s="310" t="s">
        <v>20</v>
      </c>
      <c r="K197" s="310">
        <v>25</v>
      </c>
      <c r="L197" s="11" t="s">
        <v>365</v>
      </c>
      <c r="M197" s="45">
        <f t="shared" si="72"/>
        <v>46191</v>
      </c>
      <c r="N197" s="45">
        <f t="shared" si="44"/>
        <v>46212</v>
      </c>
      <c r="O197" s="23"/>
      <c r="P197" s="23" t="str">
        <f>IFERROR(VLOOKUP(Q197,Encerrados!#REF!,3,FALSE),
IFERROR(VLOOKUP(Q197,Encerrados!#REF!,3,FALSE),
IFERROR(VLOOKUP(Q197,Encerrados!#REF!,3,FALSE),
IFERROR(VLOOKUP(Q197,Encerrados!#REF!,3,FALSE),"-"))))</f>
        <v>-</v>
      </c>
      <c r="Q197" s="184"/>
      <c r="R197" s="46" t="s">
        <v>514</v>
      </c>
      <c r="S197" s="47">
        <f t="shared" si="74"/>
        <v>46505</v>
      </c>
      <c r="T197" s="48">
        <v>66</v>
      </c>
      <c r="U197" s="49"/>
      <c r="V197" s="50">
        <f t="shared" si="71"/>
        <v>46505</v>
      </c>
      <c r="W197" t="e">
        <f>VLOOKUP(Q197,Q245:Q372,1,0)</f>
        <v>#N/A</v>
      </c>
    </row>
    <row r="198" spans="1:23" ht="14.25" customHeight="1">
      <c r="A198" s="310" t="s">
        <v>17</v>
      </c>
      <c r="B198" s="311">
        <f>M143+K143</f>
        <v>46044</v>
      </c>
      <c r="C198" s="312">
        <f t="shared" si="56"/>
        <v>2026</v>
      </c>
      <c r="D198" s="313">
        <f t="shared" si="73"/>
        <v>46044</v>
      </c>
      <c r="E198" s="411">
        <v>100526</v>
      </c>
      <c r="F198" s="314">
        <f t="shared" ca="1" si="55"/>
        <v>35.714285714285715</v>
      </c>
      <c r="G198" s="314" t="str">
        <f>IFERROR(VLOOKUP(H198,Encerrados!#REF!,3,FALSE),
IFERROR(VLOOKUP(H198,Encerrados!#REF!,3,FALSE),
IFERROR(VLOOKUP(H198,Encerrados!#REF!,3,FALSE),
IFERROR(VLOOKUP(H198,Encerrados!#REF!,3,FALSE),"-"))))</f>
        <v>-</v>
      </c>
      <c r="H198" s="295" t="s">
        <v>402</v>
      </c>
      <c r="I198" s="315"/>
      <c r="J198" s="310" t="s">
        <v>20</v>
      </c>
      <c r="K198" s="310">
        <v>25</v>
      </c>
      <c r="L198" s="11" t="s">
        <v>365</v>
      </c>
      <c r="M198" s="45">
        <f t="shared" si="72"/>
        <v>46191</v>
      </c>
      <c r="N198" s="45">
        <f t="shared" si="44"/>
        <v>46212</v>
      </c>
      <c r="O198" s="23"/>
      <c r="P198" s="23" t="str">
        <f>IFERROR(VLOOKUP(Q198,Encerrados!#REF!,3,FALSE),
IFERROR(VLOOKUP(Q198,Encerrados!#REF!,3,FALSE),
IFERROR(VLOOKUP(Q198,Encerrados!#REF!,3,FALSE),
IFERROR(VLOOKUP(Q198,Encerrados!#REF!,3,FALSE),"-"))))</f>
        <v>-</v>
      </c>
      <c r="Q198" s="184"/>
      <c r="R198" s="46" t="s">
        <v>515</v>
      </c>
      <c r="S198" s="47">
        <f t="shared" si="74"/>
        <v>46505</v>
      </c>
      <c r="T198" s="48">
        <v>66</v>
      </c>
      <c r="U198" s="49"/>
      <c r="V198" s="50">
        <f t="shared" si="71"/>
        <v>46505</v>
      </c>
      <c r="W198" t="e">
        <f>VLOOKUP(Q198,Q247:Q373,1,0)</f>
        <v>#N/A</v>
      </c>
    </row>
    <row r="199" spans="1:23" ht="14.25" customHeight="1">
      <c r="A199" s="279" t="s">
        <v>17</v>
      </c>
      <c r="B199" s="280">
        <f>M136+K136</f>
        <v>46054</v>
      </c>
      <c r="C199" s="281">
        <f>YEAR(B199)</f>
        <v>2026</v>
      </c>
      <c r="D199" s="282">
        <f>B199</f>
        <v>46054</v>
      </c>
      <c r="E199" s="447">
        <v>100626</v>
      </c>
      <c r="F199" s="283">
        <f ca="1">IF((TODAY()-D199)/7&gt;T199,T199,(TODAY()-D199)/7)</f>
        <v>34.285714285714285</v>
      </c>
      <c r="G199" s="283" t="str">
        <f>IFERROR(VLOOKUP(H199,Encerrados!#REF!,3,FALSE),
IFERROR(VLOOKUP(H199,Encerrados!#REF!,3,FALSE),
IFERROR(VLOOKUP(H199,Encerrados!#REF!,3,FALSE),
IFERROR(VLOOKUP(H199,Encerrados!#REF!,3,FALSE),"-"))))</f>
        <v>-</v>
      </c>
      <c r="H199" s="284" t="s">
        <v>144</v>
      </c>
      <c r="I199" s="29">
        <v>60000</v>
      </c>
      <c r="J199" s="279" t="s">
        <v>60</v>
      </c>
      <c r="K199" s="279">
        <v>25</v>
      </c>
      <c r="L199" s="12" t="s">
        <v>516</v>
      </c>
      <c r="M199" s="45">
        <f t="shared" si="72"/>
        <v>46201</v>
      </c>
      <c r="N199" s="45">
        <f>D199+24*7</f>
        <v>46222</v>
      </c>
      <c r="O199" s="23"/>
      <c r="P199" s="23" t="str">
        <f>IFERROR(VLOOKUP(Q199,Encerrados!#REF!,3,FALSE),
IFERROR(VLOOKUP(Q199,Encerrados!#REF!,3,FALSE),
IFERROR(VLOOKUP(Q199,Encerrados!#REF!,3,FALSE),
IFERROR(VLOOKUP(Q199,Encerrados!#REF!,3,FALSE),"-"))))</f>
        <v>-</v>
      </c>
      <c r="Q199" s="184"/>
      <c r="R199" s="46">
        <v>57000</v>
      </c>
      <c r="S199" s="47">
        <f>D199+(T199*7)-1</f>
        <v>46515</v>
      </c>
      <c r="T199" s="48">
        <v>66</v>
      </c>
      <c r="U199" s="49"/>
      <c r="V199" s="50">
        <f>IFERROR(S199+U199," ")</f>
        <v>46515</v>
      </c>
      <c r="W199" t="e">
        <f>VLOOKUP(Q199,Q234:Q369,1,0)</f>
        <v>#N/A</v>
      </c>
    </row>
    <row r="200" spans="1:23" ht="14.25" customHeight="1">
      <c r="A200" s="285" t="s">
        <v>17</v>
      </c>
      <c r="B200" s="293">
        <f>M141+K141</f>
        <v>46074</v>
      </c>
      <c r="C200" s="287">
        <f t="shared" si="56"/>
        <v>2026</v>
      </c>
      <c r="D200" s="288">
        <f t="shared" si="73"/>
        <v>46074</v>
      </c>
      <c r="E200" s="316">
        <v>153517</v>
      </c>
      <c r="F200" s="290">
        <f t="shared" ca="1" si="55"/>
        <v>31.428571428571427</v>
      </c>
      <c r="G200" s="290" t="str">
        <f>IFERROR(VLOOKUP(H200,Encerrados!#REF!,3,FALSE),
IFERROR(VLOOKUP(H200,Encerrados!#REF!,3,FALSE),
IFERROR(VLOOKUP(H200,Encerrados!#REF!,3,FALSE),
IFERROR(VLOOKUP(H200,Encerrados!#REF!,3,FALSE),"-"))))</f>
        <v>-</v>
      </c>
      <c r="H200" s="292" t="s">
        <v>417</v>
      </c>
      <c r="I200" s="291">
        <v>60000</v>
      </c>
      <c r="J200" s="285" t="s">
        <v>60</v>
      </c>
      <c r="K200" s="285">
        <v>25</v>
      </c>
      <c r="L200" s="11" t="s">
        <v>365</v>
      </c>
      <c r="M200" s="45">
        <f t="shared" si="57"/>
        <v>46221</v>
      </c>
      <c r="N200" s="45">
        <f t="shared" ref="N200:N259" si="75">D200+24*7</f>
        <v>46242</v>
      </c>
      <c r="O200" s="23"/>
      <c r="P200" s="23" t="str">
        <f>IFERROR(VLOOKUP(Q200,Encerrados!#REF!,3,FALSE),
IFERROR(VLOOKUP(Q200,Encerrados!#REF!,3,FALSE),
IFERROR(VLOOKUP(Q200,Encerrados!#REF!,3,FALSE),
IFERROR(VLOOKUP(Q200,Encerrados!#REF!,3,FALSE),"-"))))</f>
        <v>-</v>
      </c>
      <c r="Q200" s="184"/>
      <c r="R200" s="46">
        <f>I200*0.96</f>
        <v>57600</v>
      </c>
      <c r="S200" s="47">
        <f t="shared" si="74"/>
        <v>46535</v>
      </c>
      <c r="T200" s="48">
        <v>66</v>
      </c>
      <c r="U200" s="49"/>
      <c r="V200" s="50">
        <f t="shared" si="71"/>
        <v>46535</v>
      </c>
      <c r="W200" t="e">
        <f>VLOOKUP(Q200,Q249:Q375,1,0)</f>
        <v>#N/A</v>
      </c>
    </row>
    <row r="201" spans="1:23" ht="14.25" customHeight="1">
      <c r="A201" s="310" t="s">
        <v>17</v>
      </c>
      <c r="B201" s="311">
        <f>M146+K146</f>
        <v>46077</v>
      </c>
      <c r="C201" s="312">
        <f>YEAR(B201)</f>
        <v>2026</v>
      </c>
      <c r="D201" s="313">
        <f>B201</f>
        <v>46077</v>
      </c>
      <c r="E201" s="411">
        <v>100826</v>
      </c>
      <c r="F201" s="314">
        <f ca="1">IF((TODAY()-D201)/7&gt;T201,T201,(TODAY()-D201)/7)</f>
        <v>31</v>
      </c>
      <c r="G201" s="314" t="str">
        <f>IFERROR(VLOOKUP(H201,Encerrados!#REF!,3,FALSE),
IFERROR(VLOOKUP(H201,Encerrados!#REF!,3,FALSE),
IFERROR(VLOOKUP(H201,Encerrados!#REF!,3,FALSE),
IFERROR(VLOOKUP(H201,Encerrados!#REF!,3,FALSE),"-"))))</f>
        <v>-</v>
      </c>
      <c r="H201" s="295" t="s">
        <v>429</v>
      </c>
      <c r="I201" s="315">
        <v>60000</v>
      </c>
      <c r="J201" s="310" t="s">
        <v>60</v>
      </c>
      <c r="K201" s="310">
        <v>25</v>
      </c>
      <c r="L201" s="11" t="s">
        <v>517</v>
      </c>
      <c r="M201" s="45">
        <f>D201+(22*7)-7</f>
        <v>46224</v>
      </c>
      <c r="N201" s="45">
        <f>D201+24*7</f>
        <v>46245</v>
      </c>
      <c r="O201" s="23"/>
      <c r="P201" s="23" t="str">
        <f>IFERROR(VLOOKUP(Q201,Encerrados!#REF!,3,FALSE),
IFERROR(VLOOKUP(Q201,Encerrados!#REF!,3,FALSE),
IFERROR(VLOOKUP(Q201,Encerrados!#REF!,3,FALSE),
IFERROR(VLOOKUP(Q201,Encerrados!#REF!,3,FALSE),"-"))))</f>
        <v>-</v>
      </c>
      <c r="Q201" s="184"/>
      <c r="R201" s="46">
        <v>13000</v>
      </c>
      <c r="S201" s="47">
        <f>D201+(T201*7)-1</f>
        <v>46538</v>
      </c>
      <c r="T201" s="48">
        <v>66</v>
      </c>
      <c r="U201" s="49"/>
      <c r="V201" s="50">
        <f>IFERROR(S201+U201," ")</f>
        <v>46538</v>
      </c>
      <c r="W201" t="e">
        <f>VLOOKUP(Q201,Q250:Q377,1,0)</f>
        <v>#N/A</v>
      </c>
    </row>
    <row r="202" spans="1:23" ht="14.25" customHeight="1">
      <c r="A202" s="55" t="s">
        <v>17</v>
      </c>
      <c r="B202" s="54">
        <f>M147+K147</f>
        <v>46085</v>
      </c>
      <c r="C202" s="136">
        <f>YEAR(B202)</f>
        <v>2026</v>
      </c>
      <c r="D202" s="107">
        <f>B202</f>
        <v>46085</v>
      </c>
      <c r="E202" s="411">
        <v>100926</v>
      </c>
      <c r="F202" s="108">
        <f ca="1">IF((TODAY()-D202)/7&gt;T202,T202,(TODAY()-D202)/7)</f>
        <v>29.857142857142858</v>
      </c>
      <c r="G202" s="108" t="str">
        <f>IFERROR(VLOOKUP(H202,Encerrados!#REF!,3,FALSE),
IFERROR(VLOOKUP(H202,Encerrados!#REF!,3,FALSE),
IFERROR(VLOOKUP(H202,Encerrados!#REF!,3,FALSE),
IFERROR(VLOOKUP(H202,Encerrados!#REF!,3,FALSE),"-"))))</f>
        <v>-</v>
      </c>
      <c r="H202" s="62" t="s">
        <v>19</v>
      </c>
      <c r="I202" s="56">
        <v>84000</v>
      </c>
      <c r="J202" s="55" t="s">
        <v>60</v>
      </c>
      <c r="K202" s="55">
        <v>28</v>
      </c>
      <c r="L202" s="11" t="s">
        <v>517</v>
      </c>
      <c r="M202" s="45">
        <f t="shared" ref="M202" si="76">D202+(22*7)-7</f>
        <v>46232</v>
      </c>
      <c r="N202" s="45">
        <f>D202+24*7</f>
        <v>46253</v>
      </c>
      <c r="O202" s="23"/>
      <c r="P202" s="23" t="str">
        <f>IFERROR(VLOOKUP(Q202,Encerrados!#REF!,3,FALSE),
IFERROR(VLOOKUP(Q202,Encerrados!#REF!,3,FALSE),
IFERROR(VLOOKUP(Q202,Encerrados!#REF!,3,FALSE),
IFERROR(VLOOKUP(Q202,Encerrados!#REF!,3,FALSE),"-"))))</f>
        <v>-</v>
      </c>
      <c r="Q202" s="184"/>
      <c r="R202" s="46">
        <v>57000</v>
      </c>
      <c r="S202" s="47">
        <f>D202+(T202*7)-1</f>
        <v>46546</v>
      </c>
      <c r="T202" s="48">
        <v>66</v>
      </c>
      <c r="U202" s="49"/>
      <c r="V202" s="50">
        <f>IFERROR(S202+U202," ")</f>
        <v>46546</v>
      </c>
      <c r="W202" t="e">
        <f>VLOOKUP(Q202,Q253:Q381,1,0)</f>
        <v>#N/A</v>
      </c>
    </row>
    <row r="203" spans="1:23" ht="14.25" customHeight="1">
      <c r="A203" s="55" t="s">
        <v>17</v>
      </c>
      <c r="B203" s="54">
        <f>M147+K147</f>
        <v>46085</v>
      </c>
      <c r="C203" s="136">
        <f>YEAR(B203)</f>
        <v>2026</v>
      </c>
      <c r="D203" s="107">
        <f>B203</f>
        <v>46085</v>
      </c>
      <c r="E203" s="411">
        <v>100926</v>
      </c>
      <c r="F203" s="108">
        <f ca="1">IF((TODAY()-D203)/7&gt;T203,T203,(TODAY()-D203)/7)</f>
        <v>29.857142857142858</v>
      </c>
      <c r="G203" s="108" t="str">
        <f>IFERROR(VLOOKUP(H203,Encerrados!#REF!,3,FALSE),
IFERROR(VLOOKUP(H203,Encerrados!#REF!,3,FALSE),
IFERROR(VLOOKUP(H203,Encerrados!#REF!,3,FALSE),
IFERROR(VLOOKUP(H203,Encerrados!#REF!,3,FALSE),"-"))))</f>
        <v>-</v>
      </c>
      <c r="H203" s="62" t="s">
        <v>19</v>
      </c>
      <c r="I203" s="56"/>
      <c r="J203" s="55" t="s">
        <v>60</v>
      </c>
      <c r="K203" s="55">
        <v>28</v>
      </c>
      <c r="L203" s="11" t="s">
        <v>517</v>
      </c>
      <c r="M203" s="45">
        <f>D203+(22*7)-7</f>
        <v>46232</v>
      </c>
      <c r="N203" s="45">
        <f>D203+24*7</f>
        <v>46253</v>
      </c>
      <c r="O203" s="23"/>
      <c r="P203" s="23" t="str">
        <f>IFERROR(VLOOKUP(Q203,Encerrados!#REF!,3,FALSE),
IFERROR(VLOOKUP(Q203,Encerrados!#REF!,3,FALSE),
IFERROR(VLOOKUP(Q203,Encerrados!#REF!,3,FALSE),
IFERROR(VLOOKUP(Q203,Encerrados!#REF!,3,FALSE),"-"))))</f>
        <v>-</v>
      </c>
      <c r="Q203" s="184"/>
      <c r="R203" s="46">
        <v>23000</v>
      </c>
      <c r="S203" s="47">
        <f>D203+(T203*7)-1</f>
        <v>46546</v>
      </c>
      <c r="T203" s="48">
        <v>66</v>
      </c>
      <c r="U203" s="49"/>
      <c r="V203" s="50">
        <f>IFERROR(S203+U203," ")</f>
        <v>46546</v>
      </c>
      <c r="W203" t="e">
        <f>VLOOKUP(Q203,Q253:Q382,1,0)</f>
        <v>#N/A</v>
      </c>
    </row>
    <row r="204" spans="1:23" ht="14.25" customHeight="1">
      <c r="A204" s="119" t="s">
        <v>17</v>
      </c>
      <c r="B204" s="120">
        <v>46091</v>
      </c>
      <c r="C204" s="121">
        <f>YEAR(B204)</f>
        <v>2026</v>
      </c>
      <c r="D204" s="122">
        <f>B204</f>
        <v>46091</v>
      </c>
      <c r="E204" s="257" t="s">
        <v>518</v>
      </c>
      <c r="F204" s="123">
        <f ca="1">IF((TODAY()-D204)/7&gt;T204,T204,(TODAY()-D204)/7)</f>
        <v>29</v>
      </c>
      <c r="G204" s="123" t="str">
        <f>IFERROR(VLOOKUP(H204,Encerrados!#REF!,3,FALSE),
IFERROR(VLOOKUP(H204,Encerrados!#REF!,3,FALSE),
IFERROR(VLOOKUP(H204,Encerrados!#REF!,3,FALSE),
IFERROR(VLOOKUP(H204,Encerrados!#REF!,3,FALSE),"-"))))</f>
        <v>-</v>
      </c>
      <c r="H204" s="124" t="s">
        <v>241</v>
      </c>
      <c r="I204" s="125">
        <v>84000</v>
      </c>
      <c r="J204" s="119" t="s">
        <v>60</v>
      </c>
      <c r="K204" s="119">
        <v>25</v>
      </c>
      <c r="L204" s="11" t="s">
        <v>365</v>
      </c>
      <c r="M204" s="45">
        <f>D204+(22*7)-7</f>
        <v>46238</v>
      </c>
      <c r="N204" s="45">
        <f>D204+24*7</f>
        <v>46259</v>
      </c>
      <c r="O204" s="23"/>
      <c r="P204" s="23" t="str">
        <f>IFERROR(VLOOKUP(Q204,Encerrados!#REF!,3,FALSE),
IFERROR(VLOOKUP(Q204,Encerrados!#REF!,3,FALSE),
IFERROR(VLOOKUP(Q204,Encerrados!#REF!,3,FALSE),
IFERROR(VLOOKUP(Q204,Encerrados!#REF!,3,FALSE),"-"))))</f>
        <v>-</v>
      </c>
      <c r="Q204" s="184"/>
      <c r="R204" s="46">
        <v>80000</v>
      </c>
      <c r="S204" s="47">
        <f>D204+(T204*7)-1</f>
        <v>46552</v>
      </c>
      <c r="T204" s="48">
        <v>66</v>
      </c>
      <c r="U204" s="49"/>
      <c r="V204" s="50">
        <f>IFERROR(S204+U204," ")</f>
        <v>46552</v>
      </c>
      <c r="W204" t="e">
        <f>VLOOKUP(Q204,Q255:Q368,1,0)</f>
        <v>#N/A</v>
      </c>
    </row>
    <row r="205" spans="1:23" ht="14.25" customHeight="1">
      <c r="A205" s="173" t="s">
        <v>17</v>
      </c>
      <c r="B205" s="267">
        <f>M149+K149</f>
        <v>46094</v>
      </c>
      <c r="C205" s="175">
        <f t="shared" si="56"/>
        <v>2026</v>
      </c>
      <c r="D205" s="176">
        <f t="shared" si="73"/>
        <v>46094</v>
      </c>
      <c r="E205" s="258">
        <f>MONTH(B205:B328)</f>
        <v>3</v>
      </c>
      <c r="F205" s="177">
        <f t="shared" ca="1" si="55"/>
        <v>28.571428571428573</v>
      </c>
      <c r="G205" s="177" t="str">
        <f>IFERROR(VLOOKUP(H205,Encerrados!#REF!,3,FALSE),
IFERROR(VLOOKUP(H205,Encerrados!#REF!,3,FALSE),
IFERROR(VLOOKUP(H205,Encerrados!#REF!,3,FALSE),
IFERROR(VLOOKUP(H205,Encerrados!#REF!,3,FALSE),"-"))))</f>
        <v>-</v>
      </c>
      <c r="H205" s="178" t="s">
        <v>303</v>
      </c>
      <c r="I205" s="179">
        <v>42000</v>
      </c>
      <c r="J205" s="173" t="s">
        <v>60</v>
      </c>
      <c r="K205" s="173">
        <v>25</v>
      </c>
      <c r="L205" s="38" t="s">
        <v>376</v>
      </c>
      <c r="M205" s="45">
        <f t="shared" si="57"/>
        <v>46241</v>
      </c>
      <c r="N205" s="45">
        <f t="shared" si="75"/>
        <v>46262</v>
      </c>
      <c r="O205" s="23"/>
      <c r="P205" s="23" t="str">
        <f>IFERROR(VLOOKUP(Q205,Encerrados!#REF!,3,FALSE),
IFERROR(VLOOKUP(Q205,Encerrados!#REF!,3,FALSE),
IFERROR(VLOOKUP(Q205,Encerrados!#REF!,3,FALSE),
IFERROR(VLOOKUP(Q205,Encerrados!#REF!,3,FALSE),"-"))))</f>
        <v>-</v>
      </c>
      <c r="Q205" s="184"/>
      <c r="R205" s="46">
        <v>12000</v>
      </c>
      <c r="S205" s="47">
        <f t="shared" si="74"/>
        <v>46555</v>
      </c>
      <c r="T205" s="48">
        <v>66</v>
      </c>
      <c r="U205" s="49"/>
      <c r="V205" s="50">
        <f t="shared" si="71"/>
        <v>46555</v>
      </c>
      <c r="W205" t="e">
        <f>VLOOKUP(Q205,Q256:Q383,1,0)</f>
        <v>#N/A</v>
      </c>
    </row>
    <row r="206" spans="1:23" ht="14.25" customHeight="1">
      <c r="A206" s="173" t="s">
        <v>17</v>
      </c>
      <c r="B206" s="267">
        <f>M149+K149</f>
        <v>46094</v>
      </c>
      <c r="C206" s="175">
        <f t="shared" si="56"/>
        <v>2026</v>
      </c>
      <c r="D206" s="176">
        <f t="shared" si="73"/>
        <v>46094</v>
      </c>
      <c r="E206" s="258">
        <f>MONTH(B206:B328)</f>
        <v>3</v>
      </c>
      <c r="F206" s="177">
        <f t="shared" ca="1" si="55"/>
        <v>28.571428571428573</v>
      </c>
      <c r="G206" s="177" t="str">
        <f>IFERROR(VLOOKUP(H206,Encerrados!#REF!,3,FALSE),
IFERROR(VLOOKUP(H206,Encerrados!#REF!,3,FALSE),
IFERROR(VLOOKUP(H206,Encerrados!#REF!,3,FALSE),
IFERROR(VLOOKUP(H206,Encerrados!#REF!,3,FALSE),"-"))))</f>
        <v>-</v>
      </c>
      <c r="H206" s="178" t="s">
        <v>303</v>
      </c>
      <c r="I206" s="179"/>
      <c r="J206" s="173" t="s">
        <v>45</v>
      </c>
      <c r="K206" s="173">
        <v>50</v>
      </c>
      <c r="L206" s="38" t="s">
        <v>376</v>
      </c>
      <c r="M206" s="45">
        <f>D206+(22*7)-7</f>
        <v>46241</v>
      </c>
      <c r="N206" s="45">
        <f t="shared" si="75"/>
        <v>46262</v>
      </c>
      <c r="O206" s="23"/>
      <c r="P206" s="23" t="str">
        <f>IFERROR(VLOOKUP(Q206,Encerrados!#REF!,3,FALSE),
IFERROR(VLOOKUP(Q206,Encerrados!#REF!,3,FALSE),
IFERROR(VLOOKUP(Q206,Encerrados!#REF!,3,FALSE),
IFERROR(VLOOKUP(Q206,Encerrados!#REF!,3,FALSE),"-"))))</f>
        <v>-</v>
      </c>
      <c r="Q206" s="184"/>
      <c r="R206" s="46">
        <v>28000</v>
      </c>
      <c r="S206" s="47">
        <f t="shared" si="74"/>
        <v>46555</v>
      </c>
      <c r="T206" s="48">
        <v>66</v>
      </c>
      <c r="U206" s="49"/>
      <c r="V206" s="50">
        <f t="shared" si="71"/>
        <v>46555</v>
      </c>
      <c r="W206" t="e">
        <f>VLOOKUP(Q206,Q256:Q384,1,0)</f>
        <v>#N/A</v>
      </c>
    </row>
    <row r="207" spans="1:23" ht="14.25" customHeight="1">
      <c r="A207" s="173" t="s">
        <v>17</v>
      </c>
      <c r="B207" s="267">
        <f>M151+K151</f>
        <v>46094</v>
      </c>
      <c r="C207" s="175">
        <f>YEAR(B207)</f>
        <v>2026</v>
      </c>
      <c r="D207" s="176">
        <f>B207</f>
        <v>46094</v>
      </c>
      <c r="E207" s="258">
        <f>MONTH(B207:B328)</f>
        <v>3</v>
      </c>
      <c r="F207" s="177">
        <f ca="1">IF((TODAY()-D207)/7&gt;T207,T207,(TODAY()-D207)/7)</f>
        <v>28.571428571428573</v>
      </c>
      <c r="G207" s="177" t="str">
        <f>IFERROR(VLOOKUP(H207,Encerrados!#REF!,3,FALSE),
IFERROR(VLOOKUP(H207,Encerrados!#REF!,3,FALSE),
IFERROR(VLOOKUP(H207,Encerrados!#REF!,3,FALSE),
IFERROR(VLOOKUP(H207,Encerrados!#REF!,3,FALSE),"-"))))</f>
        <v>-</v>
      </c>
      <c r="H207" s="178" t="s">
        <v>36</v>
      </c>
      <c r="I207" s="179">
        <v>61000</v>
      </c>
      <c r="J207" s="173" t="s">
        <v>60</v>
      </c>
      <c r="K207" s="173">
        <v>30</v>
      </c>
      <c r="L207" s="13" t="s">
        <v>472</v>
      </c>
      <c r="M207" s="45">
        <f>D207+(22*7)-7</f>
        <v>46241</v>
      </c>
      <c r="N207" s="45">
        <f>D207+24*7</f>
        <v>46262</v>
      </c>
      <c r="O207" s="23"/>
      <c r="P207" s="23" t="str">
        <f>IFERROR(VLOOKUP(Q207,Encerrados!#REF!,3,FALSE),
IFERROR(VLOOKUP(Q207,Encerrados!#REF!,3,FALSE),
IFERROR(VLOOKUP(Q207,Encerrados!#REF!,3,FALSE),
IFERROR(VLOOKUP(Q207,Encerrados!#REF!,3,FALSE),"-"))))</f>
        <v>-</v>
      </c>
      <c r="Q207" s="184"/>
      <c r="R207" s="46">
        <v>57000</v>
      </c>
      <c r="S207" s="47">
        <f>D207+(T207*7)-1</f>
        <v>46555</v>
      </c>
      <c r="T207" s="48">
        <v>66</v>
      </c>
      <c r="U207" s="49"/>
      <c r="V207" s="50">
        <f>IFERROR(S207+U207," ")</f>
        <v>46555</v>
      </c>
      <c r="W207" t="e">
        <f>VLOOKUP(Q207,Q262:Q388,1,0)</f>
        <v>#N/A</v>
      </c>
    </row>
    <row r="208" spans="1:23" ht="14.25" customHeight="1">
      <c r="A208" s="285" t="s">
        <v>17</v>
      </c>
      <c r="B208" s="293">
        <f>M160+K160</f>
        <v>46097</v>
      </c>
      <c r="C208" s="287">
        <f>YEAR(B208)</f>
        <v>2026</v>
      </c>
      <c r="D208" s="288">
        <f>B208</f>
        <v>46097</v>
      </c>
      <c r="E208" s="316">
        <v>153558</v>
      </c>
      <c r="F208" s="290">
        <f ca="1">IF((TODAY()-D208)/7&gt;T208,T208,(TODAY()-D208)/7)</f>
        <v>28.142857142857142</v>
      </c>
      <c r="G208" s="290" t="str">
        <f>IFERROR(VLOOKUP(H208,Encerrados!#REF!,3,FALSE),
IFERROR(VLOOKUP(H208,Encerrados!#REF!,3,FALSE),
IFERROR(VLOOKUP(H208,Encerrados!#REF!,3,FALSE),
IFERROR(VLOOKUP(H208,Encerrados!#REF!,3,FALSE),"-"))))</f>
        <v>-</v>
      </c>
      <c r="H208" s="292" t="s">
        <v>187</v>
      </c>
      <c r="I208" s="291">
        <v>60000</v>
      </c>
      <c r="J208" s="285" t="s">
        <v>45</v>
      </c>
      <c r="K208" s="285">
        <v>50</v>
      </c>
      <c r="L208" s="11" t="s">
        <v>365</v>
      </c>
      <c r="M208" s="126">
        <f>D208+(22*7)-7</f>
        <v>46244</v>
      </c>
      <c r="N208" s="126">
        <f>D208+24*7</f>
        <v>46265</v>
      </c>
      <c r="O208" s="121"/>
      <c r="P208" s="121" t="str">
        <f>IFERROR(VLOOKUP(Q208,Encerrados!#REF!,3,FALSE),
IFERROR(VLOOKUP(Q208,Encerrados!#REF!,3,FALSE),
IFERROR(VLOOKUP(Q208,Encerrados!#REF!,3,FALSE),
IFERROR(VLOOKUP(Q208,Encerrados!#REF!,3,FALSE),"-"))))</f>
        <v>-</v>
      </c>
      <c r="Q208" s="248"/>
      <c r="R208" s="255">
        <f>I208*0.96</f>
        <v>57600</v>
      </c>
      <c r="S208" s="128">
        <f>D208+(T208*7)-1</f>
        <v>46558</v>
      </c>
      <c r="T208" s="129">
        <v>66</v>
      </c>
      <c r="U208" s="130"/>
      <c r="V208" s="131">
        <f>IFERROR(S208+U208," ")</f>
        <v>46558</v>
      </c>
      <c r="W208" t="e">
        <f>VLOOKUP(Q208,Q246:Q376,1,0)</f>
        <v>#N/A</v>
      </c>
    </row>
    <row r="209" spans="1:23" ht="14.1" customHeight="1">
      <c r="A209" s="173" t="s">
        <v>17</v>
      </c>
      <c r="B209" s="267">
        <f>M152+K152</f>
        <v>46101</v>
      </c>
      <c r="C209" s="175">
        <f t="shared" si="56"/>
        <v>2026</v>
      </c>
      <c r="D209" s="176">
        <f t="shared" si="73"/>
        <v>46101</v>
      </c>
      <c r="E209" s="258">
        <f>MONTH(B209:B328)</f>
        <v>3</v>
      </c>
      <c r="F209" s="177">
        <f t="shared" ca="1" si="55"/>
        <v>27.571428571428573</v>
      </c>
      <c r="G209" s="177" t="str">
        <f>IFERROR(VLOOKUP(H209,Encerrados!#REF!,3,FALSE),
IFERROR(VLOOKUP(H209,Encerrados!#REF!,3,FALSE),
IFERROR(VLOOKUP(H209,Encerrados!#REF!,3,FALSE),
IFERROR(VLOOKUP(H209,Encerrados!#REF!,3,FALSE),"-"))))</f>
        <v>-</v>
      </c>
      <c r="H209" s="294" t="s">
        <v>47</v>
      </c>
      <c r="I209" s="179">
        <v>60000</v>
      </c>
      <c r="J209" s="173" t="s">
        <v>60</v>
      </c>
      <c r="K209" s="173">
        <v>24</v>
      </c>
      <c r="L209" s="12" t="s">
        <v>368</v>
      </c>
      <c r="M209" s="45">
        <f t="shared" ref="M209:M283" si="77">D209+(22*7)-7</f>
        <v>46248</v>
      </c>
      <c r="N209" s="45">
        <f t="shared" si="75"/>
        <v>46269</v>
      </c>
      <c r="O209" s="23"/>
      <c r="P209" s="23" t="str">
        <f>IFERROR(VLOOKUP(Q209,Encerrados!#REF!,3,FALSE),
IFERROR(VLOOKUP(Q209,Encerrados!#REF!,3,FALSE),
IFERROR(VLOOKUP(Q209,Encerrados!#REF!,3,FALSE),
IFERROR(VLOOKUP(Q209,Encerrados!#REF!,3,FALSE),"-"))))</f>
        <v>-</v>
      </c>
      <c r="Q209" s="184"/>
      <c r="R209" s="46">
        <v>57000</v>
      </c>
      <c r="S209" s="47">
        <f t="shared" si="74"/>
        <v>46562</v>
      </c>
      <c r="T209" s="48">
        <v>66</v>
      </c>
      <c r="U209" s="49"/>
      <c r="V209" s="50">
        <f t="shared" si="71"/>
        <v>46562</v>
      </c>
      <c r="W209" t="e">
        <f>VLOOKUP(Q209,Q259:Q385,1,0)</f>
        <v>#N/A</v>
      </c>
    </row>
    <row r="210" spans="1:23" ht="14.25" customHeight="1">
      <c r="A210" s="285" t="s">
        <v>17</v>
      </c>
      <c r="B210" s="286">
        <f>M153+K153</f>
        <v>46101</v>
      </c>
      <c r="C210" s="287">
        <f t="shared" si="56"/>
        <v>2026</v>
      </c>
      <c r="D210" s="288">
        <f t="shared" si="73"/>
        <v>46101</v>
      </c>
      <c r="E210" s="289">
        <f>MONTH(B210:B328)</f>
        <v>3</v>
      </c>
      <c r="F210" s="290">
        <f t="shared" ca="1" si="55"/>
        <v>27.571428571428573</v>
      </c>
      <c r="G210" s="290" t="str">
        <f>IFERROR(VLOOKUP(H210,Encerrados!#REF!,3,FALSE),
IFERROR(VLOOKUP(H210,Encerrados!#REF!,3,FALSE),
IFERROR(VLOOKUP(H210,Encerrados!#REF!,3,FALSE),
IFERROR(VLOOKUP(H210,Encerrados!#REF!,3,FALSE),"-"))))</f>
        <v>-</v>
      </c>
      <c r="H210" s="292" t="s">
        <v>52</v>
      </c>
      <c r="I210" s="291">
        <v>30000</v>
      </c>
      <c r="J210" s="285" t="s">
        <v>60</v>
      </c>
      <c r="K210" s="285">
        <v>28</v>
      </c>
      <c r="L210" s="11" t="s">
        <v>365</v>
      </c>
      <c r="M210" s="45">
        <f>D210+(22*7)-7</f>
        <v>46248</v>
      </c>
      <c r="N210" s="45">
        <f t="shared" si="75"/>
        <v>46269</v>
      </c>
      <c r="O210" s="23"/>
      <c r="P210" s="23" t="str">
        <f>IFERROR(VLOOKUP(Q210,Encerrados!#REF!,3,FALSE),
IFERROR(VLOOKUP(Q210,Encerrados!#REF!,3,FALSE),
IFERROR(VLOOKUP(Q210,Encerrados!#REF!,3,FALSE),
IFERROR(VLOOKUP(Q210,Encerrados!#REF!,3,FALSE),"-"))))</f>
        <v>-</v>
      </c>
      <c r="Q210" s="184"/>
      <c r="R210" s="46">
        <v>24000</v>
      </c>
      <c r="S210" s="47">
        <f t="shared" si="74"/>
        <v>46562</v>
      </c>
      <c r="T210" s="48">
        <v>66</v>
      </c>
      <c r="U210" s="49"/>
      <c r="V210" s="50">
        <f t="shared" si="71"/>
        <v>46562</v>
      </c>
      <c r="W210" t="e">
        <f>VLOOKUP(Q210,Q259:Q386,1,0)</f>
        <v>#N/A</v>
      </c>
    </row>
    <row r="211" spans="1:23" ht="14.25" customHeight="1">
      <c r="A211" s="285" t="s">
        <v>17</v>
      </c>
      <c r="B211" s="286">
        <f>M153+K153</f>
        <v>46101</v>
      </c>
      <c r="C211" s="287">
        <f t="shared" si="56"/>
        <v>2026</v>
      </c>
      <c r="D211" s="288">
        <f t="shared" si="73"/>
        <v>46101</v>
      </c>
      <c r="E211" s="289">
        <f>MONTH(B211:B328)</f>
        <v>3</v>
      </c>
      <c r="F211" s="290">
        <f t="shared" ca="1" si="55"/>
        <v>27.571428571428573</v>
      </c>
      <c r="G211" s="290" t="str">
        <f>IFERROR(VLOOKUP(H211,Encerrados!#REF!,3,FALSE),
IFERROR(VLOOKUP(H211,Encerrados!#REF!,3,FALSE),
IFERROR(VLOOKUP(H211,Encerrados!#REF!,3,FALSE),
IFERROR(VLOOKUP(H211,Encerrados!#REF!,3,FALSE),"-"))))</f>
        <v>-</v>
      </c>
      <c r="H211" s="292" t="s">
        <v>52</v>
      </c>
      <c r="I211" s="291"/>
      <c r="J211" s="285" t="s">
        <v>60</v>
      </c>
      <c r="K211" s="285">
        <v>28</v>
      </c>
      <c r="L211" s="11" t="s">
        <v>365</v>
      </c>
      <c r="M211" s="76">
        <f t="shared" ref="M211" si="78">D211+(22*7)-7</f>
        <v>46248</v>
      </c>
      <c r="N211" s="76">
        <f t="shared" ref="N211" si="79">D211+(24*7)</f>
        <v>46269</v>
      </c>
      <c r="O211" s="33"/>
      <c r="P211" s="33" t="str">
        <f>IFERROR(VLOOKUP(Q211,Encerrados!#REF!,3,FALSE),
IFERROR(VLOOKUP(Q211,Encerrados!#REF!,3,FALSE),
IFERROR(VLOOKUP(Q211,Encerrados!#REF!,3,FALSE),
IFERROR(VLOOKUP(Q211,Encerrados!#REF!,3,FALSE),"-"))))</f>
        <v>-</v>
      </c>
      <c r="Q211" s="158"/>
      <c r="R211" s="268" t="s">
        <v>519</v>
      </c>
      <c r="S211" s="259">
        <f t="shared" si="74"/>
        <v>46562</v>
      </c>
      <c r="T211" s="260">
        <v>66</v>
      </c>
      <c r="U211" s="277"/>
      <c r="V211" s="51">
        <f t="shared" si="71"/>
        <v>46562</v>
      </c>
      <c r="W211" t="e">
        <f>VLOOKUP(Q211,Q261:Q387,1,0)</f>
        <v>#N/A</v>
      </c>
    </row>
    <row r="212" spans="1:23" ht="14.25" customHeight="1">
      <c r="A212" s="285" t="s">
        <v>17</v>
      </c>
      <c r="B212" s="286">
        <f>M161+K161</f>
        <v>46105</v>
      </c>
      <c r="C212" s="287">
        <f t="shared" si="56"/>
        <v>2026</v>
      </c>
      <c r="D212" s="288">
        <f t="shared" si="73"/>
        <v>46105</v>
      </c>
      <c r="E212" s="316">
        <v>153518</v>
      </c>
      <c r="F212" s="290">
        <f t="shared" ca="1" si="55"/>
        <v>27</v>
      </c>
      <c r="G212" s="290" t="str">
        <f>IFERROR(VLOOKUP(H212,Encerrados!#REF!,3,FALSE),
IFERROR(VLOOKUP(H212,Encerrados!#REF!,3,FALSE),
IFERROR(VLOOKUP(H212,Encerrados!#REF!,3,FALSE),
IFERROR(VLOOKUP(H212,Encerrados!#REF!,3,FALSE),"-"))))</f>
        <v>-</v>
      </c>
      <c r="H212" s="292" t="s">
        <v>44</v>
      </c>
      <c r="I212" s="291">
        <v>38000</v>
      </c>
      <c r="J212" s="285" t="s">
        <v>45</v>
      </c>
      <c r="K212" s="285">
        <v>50</v>
      </c>
      <c r="L212" s="11" t="s">
        <v>365</v>
      </c>
      <c r="M212" s="45">
        <f>D212+(22*7)-7</f>
        <v>46252</v>
      </c>
      <c r="N212" s="45">
        <f t="shared" si="75"/>
        <v>46273</v>
      </c>
      <c r="O212" s="23"/>
      <c r="P212" s="23" t="str">
        <f>IFERROR(VLOOKUP(Q212,Encerrados!#REF!,3,FALSE),
IFERROR(VLOOKUP(Q212,Encerrados!#REF!,3,FALSE),
IFERROR(VLOOKUP(Q212,Encerrados!#REF!,3,FALSE),
IFERROR(VLOOKUP(Q212,Encerrados!#REF!,3,FALSE),"-"))))</f>
        <v>-</v>
      </c>
      <c r="Q212" s="184"/>
      <c r="R212" s="46">
        <f>I212*0.96</f>
        <v>36480</v>
      </c>
      <c r="S212" s="47">
        <f t="shared" si="74"/>
        <v>46566</v>
      </c>
      <c r="T212" s="48">
        <v>66</v>
      </c>
      <c r="U212" s="49"/>
      <c r="V212" s="50">
        <f t="shared" si="71"/>
        <v>46566</v>
      </c>
      <c r="W212" t="e">
        <f>VLOOKUP(Q212,Q263:Q389,1,0)</f>
        <v>#N/A</v>
      </c>
    </row>
    <row r="213" spans="1:23" ht="14.25" customHeight="1">
      <c r="A213" s="285" t="s">
        <v>17</v>
      </c>
      <c r="B213" s="293">
        <f>M164+K164</f>
        <v>46116</v>
      </c>
      <c r="C213" s="287">
        <f t="shared" si="56"/>
        <v>2026</v>
      </c>
      <c r="D213" s="288">
        <f t="shared" si="73"/>
        <v>46116</v>
      </c>
      <c r="E213" s="316">
        <v>153524</v>
      </c>
      <c r="F213" s="290">
        <f t="shared" ca="1" si="55"/>
        <v>25.428571428571427</v>
      </c>
      <c r="G213" s="290" t="str">
        <f>IFERROR(VLOOKUP(H213,Encerrados!#REF!,3,FALSE),
IFERROR(VLOOKUP(H213,Encerrados!#REF!,3,FALSE),
IFERROR(VLOOKUP(H213,Encerrados!#REF!,3,FALSE),
IFERROR(VLOOKUP(H213,Encerrados!#REF!,3,FALSE),"-"))))</f>
        <v>-</v>
      </c>
      <c r="H213" s="292" t="s">
        <v>89</v>
      </c>
      <c r="I213" s="291">
        <v>74000</v>
      </c>
      <c r="J213" s="285" t="s">
        <v>45</v>
      </c>
      <c r="K213" s="285">
        <v>50</v>
      </c>
      <c r="L213" s="11" t="s">
        <v>365</v>
      </c>
      <c r="M213" s="45">
        <f>D213+(22*7)-7</f>
        <v>46263</v>
      </c>
      <c r="N213" s="45">
        <f t="shared" si="75"/>
        <v>46284</v>
      </c>
      <c r="O213" s="23"/>
      <c r="P213" s="23" t="str">
        <f>IFERROR(VLOOKUP(Q213,Encerrados!#REF!,3,FALSE),
IFERROR(VLOOKUP(Q213,Encerrados!#REF!,3,FALSE),
IFERROR(VLOOKUP(Q213,Encerrados!#REF!,3,FALSE),
IFERROR(VLOOKUP(Q213,Encerrados!#REF!,3,FALSE),"-"))))</f>
        <v>-</v>
      </c>
      <c r="Q213" s="184"/>
      <c r="R213" s="46">
        <f>I213*0.96</f>
        <v>71040</v>
      </c>
      <c r="S213" s="47">
        <f t="shared" si="74"/>
        <v>46577</v>
      </c>
      <c r="T213" s="48">
        <v>66</v>
      </c>
      <c r="U213" s="49"/>
      <c r="V213" s="50">
        <f t="shared" si="71"/>
        <v>46577</v>
      </c>
      <c r="W213" t="e">
        <f>VLOOKUP(Q213,Q268:Q390,1,0)</f>
        <v>#N/A</v>
      </c>
    </row>
    <row r="214" spans="1:23" ht="14.25" customHeight="1">
      <c r="A214" s="173" t="s">
        <v>17</v>
      </c>
      <c r="B214" s="267">
        <f>M158+K158</f>
        <v>46122</v>
      </c>
      <c r="C214" s="175">
        <f t="shared" si="56"/>
        <v>2026</v>
      </c>
      <c r="D214" s="176">
        <f t="shared" si="73"/>
        <v>46122</v>
      </c>
      <c r="E214" s="258">
        <f>MONTH(B214:B328)</f>
        <v>4</v>
      </c>
      <c r="F214" s="177">
        <f t="shared" ref="F214:F262" ca="1" si="80">IF((TODAY()-D214)/7&gt;T214,T214,(TODAY()-D214)/7)</f>
        <v>24.571428571428573</v>
      </c>
      <c r="G214" s="177" t="str">
        <f>IFERROR(VLOOKUP(H214,Encerrados!#REF!,3,FALSE),
IFERROR(VLOOKUP(H214,Encerrados!#REF!,3,FALSE),
IFERROR(VLOOKUP(H214,Encerrados!#REF!,3,FALSE),
IFERROR(VLOOKUP(H214,Encerrados!#REF!,3,FALSE),"-"))))</f>
        <v>-</v>
      </c>
      <c r="H214" s="294" t="s">
        <v>68</v>
      </c>
      <c r="I214" s="179">
        <v>107000</v>
      </c>
      <c r="J214" s="173" t="s">
        <v>60</v>
      </c>
      <c r="K214" s="173">
        <v>25</v>
      </c>
      <c r="L214" s="12" t="s">
        <v>368</v>
      </c>
      <c r="M214" s="45">
        <f t="shared" si="77"/>
        <v>46269</v>
      </c>
      <c r="N214" s="45">
        <f t="shared" si="75"/>
        <v>46290</v>
      </c>
      <c r="O214" s="23"/>
      <c r="P214" s="23" t="str">
        <f>IFERROR(VLOOKUP(Q214,Encerrados!#REF!,3,FALSE),
IFERROR(VLOOKUP(Q214,Encerrados!#REF!,3,FALSE),
IFERROR(VLOOKUP(Q214,Encerrados!#REF!,3,FALSE),
IFERROR(VLOOKUP(Q214,Encerrados!#REF!,3,FALSE),"-"))))</f>
        <v>-</v>
      </c>
      <c r="Q214" s="184"/>
      <c r="R214" s="46">
        <v>57000</v>
      </c>
      <c r="S214" s="47">
        <f t="shared" si="74"/>
        <v>46583</v>
      </c>
      <c r="T214" s="48">
        <v>66</v>
      </c>
      <c r="U214" s="49"/>
      <c r="V214" s="50">
        <f t="shared" si="71"/>
        <v>46583</v>
      </c>
      <c r="W214" t="e">
        <f>VLOOKUP(Q214,Q264:Q391,1,0)</f>
        <v>#N/A</v>
      </c>
    </row>
    <row r="215" spans="1:23" ht="14.25" customHeight="1">
      <c r="A215" s="173" t="s">
        <v>17</v>
      </c>
      <c r="B215" s="267">
        <f>M158+K158</f>
        <v>46122</v>
      </c>
      <c r="C215" s="175">
        <f t="shared" si="56"/>
        <v>2026</v>
      </c>
      <c r="D215" s="176">
        <f t="shared" si="73"/>
        <v>46122</v>
      </c>
      <c r="E215" s="258">
        <f>MONTH(B215:B328)</f>
        <v>4</v>
      </c>
      <c r="F215" s="177">
        <f t="shared" ca="1" si="80"/>
        <v>24.571428571428573</v>
      </c>
      <c r="G215" s="177" t="str">
        <f>IFERROR(VLOOKUP(H215,Encerrados!#REF!,3,FALSE),
IFERROR(VLOOKUP(H215,Encerrados!#REF!,3,FALSE),
IFERROR(VLOOKUP(H215,Encerrados!#REF!,3,FALSE),
IFERROR(VLOOKUP(H215,Encerrados!#REF!,3,FALSE),"-"))))</f>
        <v>-</v>
      </c>
      <c r="H215" s="294" t="s">
        <v>68</v>
      </c>
      <c r="I215" s="179"/>
      <c r="J215" s="173" t="s">
        <v>60</v>
      </c>
      <c r="K215" s="173">
        <v>25</v>
      </c>
      <c r="L215" s="12" t="s">
        <v>368</v>
      </c>
      <c r="M215" s="45">
        <f>D215+(22*7)-7</f>
        <v>46269</v>
      </c>
      <c r="N215" s="45">
        <f t="shared" si="75"/>
        <v>46290</v>
      </c>
      <c r="O215" s="23"/>
      <c r="P215" s="23" t="str">
        <f>IFERROR(VLOOKUP(Q215,Encerrados!#REF!,3,FALSE),
IFERROR(VLOOKUP(Q215,Encerrados!#REF!,3,FALSE),
IFERROR(VLOOKUP(Q215,Encerrados!#REF!,3,FALSE),
IFERROR(VLOOKUP(Q215,Encerrados!#REF!,3,FALSE),"-"))))</f>
        <v>-</v>
      </c>
      <c r="Q215" s="184"/>
      <c r="R215" s="46">
        <v>44000</v>
      </c>
      <c r="S215" s="47">
        <f t="shared" si="74"/>
        <v>46583</v>
      </c>
      <c r="T215" s="48">
        <v>66</v>
      </c>
      <c r="U215" s="49"/>
      <c r="V215" s="50">
        <f t="shared" si="71"/>
        <v>46583</v>
      </c>
      <c r="W215" t="e">
        <f>VLOOKUP(Q215,Q265:Q392,1,0)</f>
        <v>#N/A</v>
      </c>
    </row>
    <row r="216" spans="1:23" ht="14.25" customHeight="1">
      <c r="A216" s="173" t="s">
        <v>17</v>
      </c>
      <c r="B216" s="267">
        <f>M156+K156</f>
        <v>46122</v>
      </c>
      <c r="C216" s="175">
        <f t="shared" si="56"/>
        <v>2026</v>
      </c>
      <c r="D216" s="176">
        <f t="shared" si="73"/>
        <v>46122</v>
      </c>
      <c r="E216" s="258">
        <f>MONTH(B216:B328)</f>
        <v>4</v>
      </c>
      <c r="F216" s="177">
        <f t="shared" ca="1" si="80"/>
        <v>24.571428571428573</v>
      </c>
      <c r="G216" s="177" t="str">
        <f>IFERROR(VLOOKUP(H216,Encerrados!#REF!,3,FALSE),
IFERROR(VLOOKUP(H216,Encerrados!#REF!,3,FALSE),
IFERROR(VLOOKUP(H216,Encerrados!#REF!,3,FALSE),
IFERROR(VLOOKUP(H216,Encerrados!#REF!,3,FALSE),"-"))))</f>
        <v>-</v>
      </c>
      <c r="H216" s="294" t="s">
        <v>59</v>
      </c>
      <c r="I216" s="179">
        <v>60000</v>
      </c>
      <c r="J216" s="173" t="s">
        <v>60</v>
      </c>
      <c r="K216" s="173">
        <v>25</v>
      </c>
      <c r="L216" s="12" t="s">
        <v>368</v>
      </c>
      <c r="M216" s="45">
        <f t="shared" si="77"/>
        <v>46269</v>
      </c>
      <c r="N216" s="45">
        <f t="shared" si="75"/>
        <v>46290</v>
      </c>
      <c r="O216" s="23"/>
      <c r="P216" s="23" t="str">
        <f>IFERROR(VLOOKUP(Q216,Encerrados!#REF!,3,FALSE),
IFERROR(VLOOKUP(Q216,Encerrados!#REF!,3,FALSE),
IFERROR(VLOOKUP(Q216,Encerrados!#REF!,3,FALSE),
IFERROR(VLOOKUP(Q216,Encerrados!#REF!,3,FALSE),"-"))))</f>
        <v>-</v>
      </c>
      <c r="Q216" s="184"/>
      <c r="R216" s="46">
        <f>I216*0.96</f>
        <v>57600</v>
      </c>
      <c r="S216" s="47">
        <f t="shared" si="74"/>
        <v>46583</v>
      </c>
      <c r="T216" s="48">
        <v>66</v>
      </c>
      <c r="U216" s="49"/>
      <c r="V216" s="50">
        <f t="shared" si="71"/>
        <v>46583</v>
      </c>
      <c r="W216" t="e">
        <f>VLOOKUP(Q216,Q269:Q393,1,0)</f>
        <v>#N/A</v>
      </c>
    </row>
    <row r="217" spans="1:23" ht="14.1" customHeight="1">
      <c r="A217" s="285" t="s">
        <v>17</v>
      </c>
      <c r="B217" s="286">
        <f>M162+K162</f>
        <v>46135</v>
      </c>
      <c r="C217" s="287">
        <f t="shared" si="56"/>
        <v>2026</v>
      </c>
      <c r="D217" s="288">
        <f t="shared" si="73"/>
        <v>46135</v>
      </c>
      <c r="E217" s="316">
        <v>153519</v>
      </c>
      <c r="F217" s="290">
        <f t="shared" ca="1" si="80"/>
        <v>22.714285714285715</v>
      </c>
      <c r="G217" s="290" t="str">
        <f>IFERROR(VLOOKUP(H217,Encerrados!#REF!,3,FALSE),
IFERROR(VLOOKUP(H217,Encerrados!#REF!,3,FALSE),
IFERROR(VLOOKUP(H217,Encerrados!#REF!,3,FALSE),
IFERROR(VLOOKUP(H217,Encerrados!#REF!,3,FALSE),"-"))))</f>
        <v>-</v>
      </c>
      <c r="H217" s="292" t="s">
        <v>79</v>
      </c>
      <c r="I217" s="291">
        <v>60000</v>
      </c>
      <c r="J217" s="285" t="s">
        <v>60</v>
      </c>
      <c r="K217" s="285">
        <v>28</v>
      </c>
      <c r="L217" s="11" t="s">
        <v>365</v>
      </c>
      <c r="M217" s="45">
        <f>D217+(22*7)-7</f>
        <v>46282</v>
      </c>
      <c r="N217" s="45">
        <f t="shared" si="75"/>
        <v>46303</v>
      </c>
      <c r="O217" s="23"/>
      <c r="P217" s="23" t="str">
        <f>IFERROR(VLOOKUP(Q217,Encerrados!#REF!,3,FALSE),
IFERROR(VLOOKUP(Q217,Encerrados!#REF!,3,FALSE),
IFERROR(VLOOKUP(Q217,Encerrados!#REF!,3,FALSE),
IFERROR(VLOOKUP(Q217,Encerrados!#REF!,3,FALSE),"-"))))</f>
        <v>-</v>
      </c>
      <c r="Q217" s="184"/>
      <c r="R217" s="46">
        <v>57000</v>
      </c>
      <c r="S217" s="47">
        <f t="shared" si="74"/>
        <v>46596</v>
      </c>
      <c r="T217" s="48">
        <v>66</v>
      </c>
      <c r="U217" s="49"/>
      <c r="V217" s="50">
        <f t="shared" si="71"/>
        <v>46596</v>
      </c>
      <c r="W217" t="e">
        <f>VLOOKUP(Q217,Q266:Q394,1,0)</f>
        <v>#N/A</v>
      </c>
    </row>
    <row r="218" spans="1:23" ht="14.25" customHeight="1">
      <c r="A218" s="285" t="s">
        <v>17</v>
      </c>
      <c r="B218" s="286">
        <f>M174+K174</f>
        <v>46141</v>
      </c>
      <c r="C218" s="287">
        <f t="shared" ref="C218:C283" si="81">YEAR(B218)</f>
        <v>2026</v>
      </c>
      <c r="D218" s="288">
        <f t="shared" si="73"/>
        <v>46141</v>
      </c>
      <c r="E218" s="316">
        <v>153520</v>
      </c>
      <c r="F218" s="290">
        <f t="shared" ca="1" si="80"/>
        <v>21.857142857142858</v>
      </c>
      <c r="G218" s="290" t="str">
        <f>IFERROR(VLOOKUP(H218,Encerrados!#REF!,3,FALSE),
IFERROR(VLOOKUP(H218,Encerrados!#REF!,3,FALSE),
IFERROR(VLOOKUP(H218,Encerrados!#REF!,3,FALSE),
IFERROR(VLOOKUP(H218,Encerrados!#REF!,3,FALSE),"-"))))</f>
        <v>-</v>
      </c>
      <c r="H218" s="292" t="s">
        <v>104</v>
      </c>
      <c r="I218" s="291">
        <v>66000</v>
      </c>
      <c r="J218" s="285" t="s">
        <v>45</v>
      </c>
      <c r="K218" s="285">
        <v>50</v>
      </c>
      <c r="L218" s="11" t="s">
        <v>365</v>
      </c>
      <c r="M218" s="45">
        <f t="shared" si="77"/>
        <v>46288</v>
      </c>
      <c r="N218" s="45">
        <f t="shared" si="75"/>
        <v>46309</v>
      </c>
      <c r="O218" s="23"/>
      <c r="P218" s="23" t="str">
        <f>IFERROR(VLOOKUP(Q218,Encerrados!#REF!,3,FALSE),
IFERROR(VLOOKUP(Q218,Encerrados!#REF!,3,FALSE),
IFERROR(VLOOKUP(Q218,Encerrados!#REF!,3,FALSE),
IFERROR(VLOOKUP(Q218,Encerrados!#REF!,3,FALSE),"-"))))</f>
        <v>-</v>
      </c>
      <c r="Q218" s="184"/>
      <c r="R218" s="46">
        <v>31000</v>
      </c>
      <c r="S218" s="47">
        <f t="shared" si="74"/>
        <v>46602</v>
      </c>
      <c r="T218" s="48">
        <v>66</v>
      </c>
      <c r="U218" s="49"/>
      <c r="V218" s="50">
        <f t="shared" si="71"/>
        <v>46602</v>
      </c>
      <c r="W218" t="e">
        <f>VLOOKUP(Q218,Q271:Q397,1,0)</f>
        <v>#N/A</v>
      </c>
    </row>
    <row r="219" spans="1:23" ht="14.25" customHeight="1">
      <c r="A219" s="285" t="s">
        <v>17</v>
      </c>
      <c r="B219" s="286">
        <f>M174+K174</f>
        <v>46141</v>
      </c>
      <c r="C219" s="287">
        <f t="shared" si="81"/>
        <v>2026</v>
      </c>
      <c r="D219" s="288">
        <f t="shared" si="73"/>
        <v>46141</v>
      </c>
      <c r="E219" s="316">
        <v>153520</v>
      </c>
      <c r="F219" s="290">
        <f t="shared" ca="1" si="80"/>
        <v>21.857142857142858</v>
      </c>
      <c r="G219" s="290" t="str">
        <f>IFERROR(VLOOKUP(H219,Encerrados!#REF!,3,FALSE),
IFERROR(VLOOKUP(H219,Encerrados!#REF!,3,FALSE),
IFERROR(VLOOKUP(H219,Encerrados!#REF!,3,FALSE),
IFERROR(VLOOKUP(H219,Encerrados!#REF!,3,FALSE),"-"))))</f>
        <v>-</v>
      </c>
      <c r="H219" s="292" t="s">
        <v>104</v>
      </c>
      <c r="I219" s="291"/>
      <c r="J219" s="285" t="s">
        <v>45</v>
      </c>
      <c r="K219" s="285">
        <v>50</v>
      </c>
      <c r="L219" s="11" t="s">
        <v>365</v>
      </c>
      <c r="M219" s="45">
        <f t="shared" si="77"/>
        <v>46288</v>
      </c>
      <c r="N219" s="45">
        <f t="shared" si="75"/>
        <v>46309</v>
      </c>
      <c r="O219" s="23"/>
      <c r="P219" s="23" t="str">
        <f>IFERROR(VLOOKUP(Q219,Encerrados!#REF!,3,FALSE),
IFERROR(VLOOKUP(Q219,Encerrados!#REF!,3,FALSE),
IFERROR(VLOOKUP(Q219,Encerrados!#REF!,3,FALSE),
IFERROR(VLOOKUP(Q219,Encerrados!#REF!,3,FALSE),"-"))))</f>
        <v>-</v>
      </c>
      <c r="Q219" s="184"/>
      <c r="R219" s="46">
        <v>15000</v>
      </c>
      <c r="S219" s="47">
        <f t="shared" si="74"/>
        <v>46602</v>
      </c>
      <c r="T219" s="48">
        <v>66</v>
      </c>
      <c r="U219" s="49"/>
      <c r="V219" s="50">
        <f t="shared" si="71"/>
        <v>46602</v>
      </c>
      <c r="W219" t="e">
        <f>VLOOKUP(Q219,Q272:Q398,1,0)</f>
        <v>#N/A</v>
      </c>
    </row>
    <row r="220" spans="1:23" ht="14.25" customHeight="1">
      <c r="A220" s="285" t="s">
        <v>17</v>
      </c>
      <c r="B220" s="286">
        <f>M174+K174</f>
        <v>46141</v>
      </c>
      <c r="C220" s="287">
        <f t="shared" si="81"/>
        <v>2026</v>
      </c>
      <c r="D220" s="288">
        <f t="shared" si="73"/>
        <v>46141</v>
      </c>
      <c r="E220" s="316">
        <v>153520</v>
      </c>
      <c r="F220" s="290">
        <f t="shared" ca="1" si="80"/>
        <v>21.857142857142858</v>
      </c>
      <c r="G220" s="290" t="str">
        <f>IFERROR(VLOOKUP(H220,Encerrados!#REF!,3,FALSE),
IFERROR(VLOOKUP(H220,Encerrados!#REF!,3,FALSE),
IFERROR(VLOOKUP(H220,Encerrados!#REF!,3,FALSE),
IFERROR(VLOOKUP(H220,Encerrados!#REF!,3,FALSE),"-"))))</f>
        <v>-</v>
      </c>
      <c r="H220" s="292" t="s">
        <v>104</v>
      </c>
      <c r="I220" s="291"/>
      <c r="J220" s="285" t="s">
        <v>45</v>
      </c>
      <c r="K220" s="285">
        <v>50</v>
      </c>
      <c r="L220" s="11" t="s">
        <v>365</v>
      </c>
      <c r="M220" s="45">
        <f t="shared" si="77"/>
        <v>46288</v>
      </c>
      <c r="N220" s="45">
        <f t="shared" si="75"/>
        <v>46309</v>
      </c>
      <c r="O220" s="23"/>
      <c r="P220" s="23" t="str">
        <f>IFERROR(VLOOKUP(Q220,Encerrados!#REF!,3,FALSE),
IFERROR(VLOOKUP(Q220,Encerrados!#REF!,3,FALSE),
IFERROR(VLOOKUP(Q220,Encerrados!#REF!,3,FALSE),
IFERROR(VLOOKUP(Q220,Encerrados!#REF!,3,FALSE),"-"))))</f>
        <v>-</v>
      </c>
      <c r="Q220" s="184"/>
      <c r="R220" s="46">
        <v>13000</v>
      </c>
      <c r="S220" s="47">
        <f t="shared" si="74"/>
        <v>46602</v>
      </c>
      <c r="T220" s="48">
        <v>66</v>
      </c>
      <c r="U220" s="49"/>
      <c r="V220" s="50">
        <f t="shared" si="71"/>
        <v>46602</v>
      </c>
      <c r="W220" t="e">
        <f>VLOOKUP(Q220,Q273:Q399,1,0)</f>
        <v>#N/A</v>
      </c>
    </row>
    <row r="221" spans="1:23" ht="14.25" customHeight="1">
      <c r="A221" s="119" t="s">
        <v>17</v>
      </c>
      <c r="B221" s="120">
        <v>46140</v>
      </c>
      <c r="C221" s="121">
        <f>YEAR(B221)</f>
        <v>2026</v>
      </c>
      <c r="D221" s="122">
        <f>B221</f>
        <v>46140</v>
      </c>
      <c r="E221" s="257" t="s">
        <v>520</v>
      </c>
      <c r="F221" s="123">
        <f ca="1">IF((TODAY()-D221)/7&gt;T221,T221,(TODAY()-D221)/7)</f>
        <v>22</v>
      </c>
      <c r="G221" s="123" t="str">
        <f>IFERROR(VLOOKUP(H221,Encerrados!#REF!,3,FALSE),
IFERROR(VLOOKUP(H221,Encerrados!#REF!,3,FALSE),
IFERROR(VLOOKUP(H221,Encerrados!#REF!,3,FALSE),
IFERROR(VLOOKUP(H221,Encerrados!#REF!,3,FALSE),"-"))))</f>
        <v>-</v>
      </c>
      <c r="H221" s="124" t="s">
        <v>521</v>
      </c>
      <c r="I221" s="125">
        <v>60000</v>
      </c>
      <c r="J221" s="119" t="s">
        <v>60</v>
      </c>
      <c r="K221" s="119">
        <v>30</v>
      </c>
      <c r="L221" s="11" t="s">
        <v>365</v>
      </c>
      <c r="M221" s="126">
        <f>D221+(22*7)-7</f>
        <v>46287</v>
      </c>
      <c r="N221" s="126">
        <f>D221+24*7</f>
        <v>46308</v>
      </c>
      <c r="O221" s="121"/>
      <c r="P221" s="121" t="str">
        <f>IFERROR(VLOOKUP(Q221,Encerrados!#REF!,3,FALSE),
IFERROR(VLOOKUP(Q221,Encerrados!#REF!,3,FALSE),
IFERROR(VLOOKUP(Q221,Encerrados!#REF!,3,FALSE),
IFERROR(VLOOKUP(Q221,Encerrados!#REF!,3,FALSE),"-"))))</f>
        <v>-</v>
      </c>
      <c r="Q221" s="248"/>
      <c r="R221" s="127">
        <v>32000</v>
      </c>
      <c r="S221" s="128">
        <f>D221+(T221*7)-1</f>
        <v>46601</v>
      </c>
      <c r="T221" s="129">
        <v>66</v>
      </c>
      <c r="U221" s="130"/>
      <c r="V221" s="131">
        <f>IFERROR(S221+U221," ")</f>
        <v>46601</v>
      </c>
      <c r="W221" t="e">
        <f>VLOOKUP(Q221,Q234:Q369,1,0)</f>
        <v>#N/A</v>
      </c>
    </row>
    <row r="222" spans="1:23" ht="14.25" customHeight="1">
      <c r="A222" s="173" t="s">
        <v>17</v>
      </c>
      <c r="B222" s="267">
        <f>M167+K167</f>
        <v>46143</v>
      </c>
      <c r="C222" s="175">
        <f>YEAR(B222)</f>
        <v>2026</v>
      </c>
      <c r="D222" s="176">
        <f>B222</f>
        <v>46143</v>
      </c>
      <c r="E222" s="258">
        <f>MONTH(B218:B328)</f>
        <v>5</v>
      </c>
      <c r="F222" s="177">
        <f ca="1">IF((TODAY()-D222)/7&gt;T222,T222,(TODAY()-D222)/7)</f>
        <v>21.571428571428573</v>
      </c>
      <c r="G222" s="177" t="str">
        <f>IFERROR(VLOOKUP(H222,Encerrados!#REF!,3,FALSE),
IFERROR(VLOOKUP(H222,Encerrados!#REF!,3,FALSE),
IFERROR(VLOOKUP(H222,Encerrados!#REF!,3,FALSE),
IFERROR(VLOOKUP(H222,Encerrados!#REF!,3,FALSE),"-"))))</f>
        <v>-</v>
      </c>
      <c r="H222" s="178" t="s">
        <v>75</v>
      </c>
      <c r="I222" s="179">
        <v>45000</v>
      </c>
      <c r="J222" s="173" t="s">
        <v>60</v>
      </c>
      <c r="K222" s="173">
        <v>28</v>
      </c>
      <c r="L222" s="38" t="s">
        <v>376</v>
      </c>
      <c r="M222" s="45">
        <f>D222+(22*7)-7</f>
        <v>46290</v>
      </c>
      <c r="N222" s="45">
        <f>D222+24*7</f>
        <v>46311</v>
      </c>
      <c r="O222" s="23"/>
      <c r="P222" s="23" t="str">
        <f>IFERROR(VLOOKUP(Q222,Encerrados!#REF!,3,FALSE),
IFERROR(VLOOKUP(Q222,Encerrados!#REF!,3,FALSE),
IFERROR(VLOOKUP(Q222,Encerrados!#REF!,3,FALSE),
IFERROR(VLOOKUP(Q222,Encerrados!#REF!,3,FALSE),"-"))))</f>
        <v>-</v>
      </c>
      <c r="Q222" s="184"/>
      <c r="R222" s="46">
        <f>I222*0.96</f>
        <v>43200</v>
      </c>
      <c r="S222" s="47">
        <f>D222+(T222*7)-1</f>
        <v>46604</v>
      </c>
      <c r="T222" s="48">
        <v>66</v>
      </c>
      <c r="U222" s="49"/>
      <c r="V222" s="50">
        <f>IFERROR(S222+U222," ")</f>
        <v>46604</v>
      </c>
      <c r="W222" t="e">
        <f>VLOOKUP(Q222,Q269:Q395,1,0)</f>
        <v>#N/A</v>
      </c>
    </row>
    <row r="223" spans="1:23" ht="14.25" customHeight="1">
      <c r="A223" s="173" t="s">
        <v>17</v>
      </c>
      <c r="B223" s="267">
        <f>M175+K175</f>
        <v>46146</v>
      </c>
      <c r="C223" s="175">
        <f>YEAR(B223)</f>
        <v>2026</v>
      </c>
      <c r="D223" s="176">
        <f>B223</f>
        <v>46146</v>
      </c>
      <c r="E223" s="258">
        <f>MONTH(B223:B328)</f>
        <v>5</v>
      </c>
      <c r="F223" s="177">
        <f ca="1">IF((TODAY()-D223)/7&gt;T223,T223,(TODAY()-D223)/7)</f>
        <v>21.142857142857142</v>
      </c>
      <c r="G223" s="177" t="str">
        <f>IFERROR(VLOOKUP(H223,Encerrados!#REF!,3,FALSE),
IFERROR(VLOOKUP(H223,Encerrados!#REF!,3,FALSE),
IFERROR(VLOOKUP(H223,Encerrados!#REF!,3,FALSE),
IFERROR(VLOOKUP(H223,Encerrados!#REF!,3,FALSE),"-"))))</f>
        <v>-</v>
      </c>
      <c r="H223" s="294" t="s">
        <v>111</v>
      </c>
      <c r="I223" s="179">
        <v>42000</v>
      </c>
      <c r="J223" s="173" t="s">
        <v>45</v>
      </c>
      <c r="K223" s="173">
        <v>59</v>
      </c>
      <c r="L223" s="12" t="s">
        <v>368</v>
      </c>
      <c r="M223" s="45">
        <f>D223+(22*7)-7</f>
        <v>46293</v>
      </c>
      <c r="N223" s="45">
        <f>D223+24*7</f>
        <v>46314</v>
      </c>
      <c r="O223" s="23"/>
      <c r="P223" s="23" t="str">
        <f>IFERROR(VLOOKUP(Q223,Encerrados!#REF!,3,FALSE),
IFERROR(VLOOKUP(Q223,Encerrados!#REF!,3,FALSE),
IFERROR(VLOOKUP(Q223,Encerrados!#REF!,3,FALSE),
IFERROR(VLOOKUP(Q223,Encerrados!#REF!,3,FALSE),"-"))))</f>
        <v>-</v>
      </c>
      <c r="Q223" s="184"/>
      <c r="R223" s="46">
        <f>I223*0.96</f>
        <v>40320</v>
      </c>
      <c r="S223" s="47">
        <f>D223+(T223*7)-1</f>
        <v>46607</v>
      </c>
      <c r="T223" s="48">
        <v>66</v>
      </c>
      <c r="U223" s="49"/>
      <c r="V223" s="50">
        <f>IFERROR(S223+U223," ")</f>
        <v>46607</v>
      </c>
      <c r="W223" t="e">
        <f>VLOOKUP(Q223,Q281:Q403,1,0)</f>
        <v>#N/A</v>
      </c>
    </row>
    <row r="224" spans="1:23" ht="14.25" customHeight="1">
      <c r="A224" s="173" t="s">
        <v>17</v>
      </c>
      <c r="B224" s="267">
        <f>M172+K172</f>
        <v>46155</v>
      </c>
      <c r="C224" s="175">
        <f t="shared" si="81"/>
        <v>2026</v>
      </c>
      <c r="D224" s="176">
        <f t="shared" si="73"/>
        <v>46155</v>
      </c>
      <c r="E224" s="258">
        <f>MONTH(B224:B328)</f>
        <v>5</v>
      </c>
      <c r="F224" s="177">
        <f t="shared" ca="1" si="80"/>
        <v>19.857142857142858</v>
      </c>
      <c r="G224" s="177" t="str">
        <f>IFERROR(VLOOKUP(H224,Encerrados!#REF!,3,FALSE),
IFERROR(VLOOKUP(H224,Encerrados!#REF!,3,FALSE),
IFERROR(VLOOKUP(H224,Encerrados!#REF!,3,FALSE),
IFERROR(VLOOKUP(H224,Encerrados!#REF!,3,FALSE),"-"))))</f>
        <v>-</v>
      </c>
      <c r="H224" s="178" t="s">
        <v>375</v>
      </c>
      <c r="I224" s="179">
        <v>43000</v>
      </c>
      <c r="J224" s="173" t="s">
        <v>45</v>
      </c>
      <c r="K224" s="173">
        <v>53</v>
      </c>
      <c r="L224" s="13" t="s">
        <v>472</v>
      </c>
      <c r="M224" s="45">
        <f t="shared" si="77"/>
        <v>46302</v>
      </c>
      <c r="N224" s="45">
        <f t="shared" si="75"/>
        <v>46323</v>
      </c>
      <c r="O224" s="23"/>
      <c r="P224" s="23" t="str">
        <f>IFERROR(VLOOKUP(Q224,Encerrados!#REF!,3,FALSE),
IFERROR(VLOOKUP(Q224,Encerrados!#REF!,3,FALSE),
IFERROR(VLOOKUP(Q224,Encerrados!#REF!,3,FALSE),
IFERROR(VLOOKUP(Q224,Encerrados!#REF!,3,FALSE),"-"))))</f>
        <v>-</v>
      </c>
      <c r="Q224" s="184"/>
      <c r="R224" s="46">
        <f t="shared" ref="R224:R239" si="82">I224*0.96</f>
        <v>41280</v>
      </c>
      <c r="S224" s="47">
        <f t="shared" si="74"/>
        <v>46616</v>
      </c>
      <c r="T224" s="48">
        <v>66</v>
      </c>
      <c r="U224" s="49"/>
      <c r="V224" s="50">
        <f t="shared" si="71"/>
        <v>46616</v>
      </c>
      <c r="W224" t="e">
        <f>VLOOKUP(Q224,Q278:Q400,1,0)</f>
        <v>#N/A</v>
      </c>
    </row>
    <row r="225" spans="1:23" ht="14.25" customHeight="1">
      <c r="A225" s="285" t="s">
        <v>17</v>
      </c>
      <c r="B225" s="286">
        <f>M168+K168</f>
        <v>46157</v>
      </c>
      <c r="C225" s="287">
        <f t="shared" si="81"/>
        <v>2026</v>
      </c>
      <c r="D225" s="288">
        <f t="shared" si="73"/>
        <v>46157</v>
      </c>
      <c r="E225" s="316">
        <v>153521</v>
      </c>
      <c r="F225" s="290">
        <f t="shared" ca="1" si="80"/>
        <v>19.571428571428573</v>
      </c>
      <c r="G225" s="290" t="str">
        <f>IFERROR(VLOOKUP(H225,Encerrados!#REF!,3,FALSE),
IFERROR(VLOOKUP(H225,Encerrados!#REF!,3,FALSE),
IFERROR(VLOOKUP(H225,Encerrados!#REF!,3,FALSE),
IFERROR(VLOOKUP(H225,Encerrados!#REF!,3,FALSE),"-"))))</f>
        <v>-</v>
      </c>
      <c r="H225" s="292" t="s">
        <v>83</v>
      </c>
      <c r="I225" s="291">
        <v>84000</v>
      </c>
      <c r="J225" s="285" t="s">
        <v>60</v>
      </c>
      <c r="K225" s="285">
        <v>25</v>
      </c>
      <c r="L225" s="11" t="s">
        <v>365</v>
      </c>
      <c r="M225" s="45">
        <f t="shared" si="77"/>
        <v>46304</v>
      </c>
      <c r="N225" s="45">
        <f t="shared" si="75"/>
        <v>46325</v>
      </c>
      <c r="O225" s="23"/>
      <c r="P225" s="23" t="str">
        <f>IFERROR(VLOOKUP(Q225,Encerrados!#REF!,3,FALSE),
IFERROR(VLOOKUP(Q225,Encerrados!#REF!,3,FALSE),
IFERROR(VLOOKUP(Q225,Encerrados!#REF!,3,FALSE),
IFERROR(VLOOKUP(Q225,Encerrados!#REF!,3,FALSE),"-"))))</f>
        <v>-</v>
      </c>
      <c r="Q225" s="184"/>
      <c r="R225" s="46">
        <v>58000</v>
      </c>
      <c r="S225" s="47">
        <f t="shared" si="74"/>
        <v>46618</v>
      </c>
      <c r="T225" s="48">
        <v>66</v>
      </c>
      <c r="U225" s="49"/>
      <c r="V225" s="50">
        <f t="shared" ref="V225:V238" si="83">IFERROR(S225+U225," ")</f>
        <v>46618</v>
      </c>
      <c r="W225" t="e">
        <f>VLOOKUP(Q225,Q277:Q401,1,0)</f>
        <v>#N/A</v>
      </c>
    </row>
    <row r="226" spans="1:23" ht="14.25" customHeight="1">
      <c r="A226" s="285" t="s">
        <v>17</v>
      </c>
      <c r="B226" s="286">
        <f>M168+K168</f>
        <v>46157</v>
      </c>
      <c r="C226" s="287">
        <f t="shared" si="81"/>
        <v>2026</v>
      </c>
      <c r="D226" s="288">
        <f t="shared" si="73"/>
        <v>46157</v>
      </c>
      <c r="E226" s="316">
        <v>153521</v>
      </c>
      <c r="F226" s="290">
        <f t="shared" ca="1" si="80"/>
        <v>19.571428571428573</v>
      </c>
      <c r="G226" s="290" t="str">
        <f>IFERROR(VLOOKUP(H226,Encerrados!#REF!,3,FALSE),
IFERROR(VLOOKUP(H226,Encerrados!#REF!,3,FALSE),
IFERROR(VLOOKUP(H226,Encerrados!#REF!,3,FALSE),
IFERROR(VLOOKUP(H226,Encerrados!#REF!,3,FALSE),"-"))))</f>
        <v>-</v>
      </c>
      <c r="H226" s="292" t="s">
        <v>83</v>
      </c>
      <c r="I226" s="291"/>
      <c r="J226" s="285" t="s">
        <v>60</v>
      </c>
      <c r="K226" s="285">
        <v>25</v>
      </c>
      <c r="L226" s="11" t="s">
        <v>365</v>
      </c>
      <c r="M226" s="45">
        <f t="shared" si="77"/>
        <v>46304</v>
      </c>
      <c r="N226" s="45">
        <f t="shared" si="75"/>
        <v>46325</v>
      </c>
      <c r="O226" s="23"/>
      <c r="P226" s="23" t="str">
        <f>IFERROR(VLOOKUP(Q226,Encerrados!#REF!,3,FALSE),
IFERROR(VLOOKUP(Q226,Encerrados!#REF!,3,FALSE),
IFERROR(VLOOKUP(Q226,Encerrados!#REF!,3,FALSE),
IFERROR(VLOOKUP(Q226,Encerrados!#REF!,3,FALSE),"-"))))</f>
        <v>-</v>
      </c>
      <c r="Q226" s="184"/>
      <c r="R226" s="46">
        <v>22000</v>
      </c>
      <c r="S226" s="47">
        <f t="shared" si="74"/>
        <v>46618</v>
      </c>
      <c r="T226" s="48">
        <v>66</v>
      </c>
      <c r="U226" s="49"/>
      <c r="V226" s="50">
        <f t="shared" si="83"/>
        <v>46618</v>
      </c>
      <c r="W226" t="e">
        <f>VLOOKUP(Q226,Q280:Q402,1,0)</f>
        <v>#N/A</v>
      </c>
    </row>
    <row r="227" spans="1:23" ht="14.25" customHeight="1">
      <c r="A227" s="285" t="s">
        <v>17</v>
      </c>
      <c r="B227" s="286">
        <f>M170+K170</f>
        <v>46160</v>
      </c>
      <c r="C227" s="287">
        <f t="shared" ref="C227:C238" si="84">YEAR(B227)</f>
        <v>2026</v>
      </c>
      <c r="D227" s="288">
        <f t="shared" ref="D227:D238" si="85">B227</f>
        <v>46160</v>
      </c>
      <c r="E227" s="316">
        <v>153522</v>
      </c>
      <c r="F227" s="290">
        <f t="shared" ref="F227:F238" ca="1" si="86">IF((TODAY()-D227)/7&gt;T227,T227,(TODAY()-D227)/7)</f>
        <v>19.142857142857142</v>
      </c>
      <c r="G227" s="290" t="str">
        <f>IFERROR(VLOOKUP(H227,Encerrados!#REF!,3,FALSE),
IFERROR(VLOOKUP(H227,Encerrados!#REF!,3,FALSE),
IFERROR(VLOOKUP(H227,Encerrados!#REF!,3,FALSE),
IFERROR(VLOOKUP(H227,Encerrados!#REF!,3,FALSE),"-"))))</f>
        <v>-</v>
      </c>
      <c r="H227" s="292" t="s">
        <v>132</v>
      </c>
      <c r="I227" s="291">
        <v>72000</v>
      </c>
      <c r="J227" s="285" t="s">
        <v>60</v>
      </c>
      <c r="K227" s="285">
        <v>25</v>
      </c>
      <c r="L227" s="11" t="s">
        <v>365</v>
      </c>
      <c r="M227" s="45">
        <f t="shared" ref="M227:M238" si="87">D227+(22*7)-7</f>
        <v>46307</v>
      </c>
      <c r="N227" s="45">
        <f t="shared" ref="N227:N238" si="88">D227+24*7</f>
        <v>46328</v>
      </c>
      <c r="O227" s="23"/>
      <c r="P227" s="23" t="str">
        <f>IFERROR(VLOOKUP(Q227,Encerrados!#REF!,3,FALSE),
IFERROR(VLOOKUP(Q227,Encerrados!#REF!,3,FALSE),
IFERROR(VLOOKUP(Q227,Encerrados!#REF!,3,FALSE),
IFERROR(VLOOKUP(Q227,Encerrados!#REF!,3,FALSE),"-"))))</f>
        <v>-</v>
      </c>
      <c r="Q227" s="184"/>
      <c r="R227" s="46">
        <v>46000</v>
      </c>
      <c r="S227" s="47">
        <f t="shared" ref="S227:S238" si="89">D227+(T227*7)-1</f>
        <v>46621</v>
      </c>
      <c r="T227" s="48">
        <v>66</v>
      </c>
      <c r="U227" s="49"/>
      <c r="V227" s="50">
        <f t="shared" si="83"/>
        <v>46621</v>
      </c>
      <c r="W227" t="e">
        <f>VLOOKUP(Q227,Q285:Q410,1,0)</f>
        <v>#N/A</v>
      </c>
    </row>
    <row r="228" spans="1:23" ht="14.25" customHeight="1">
      <c r="A228" s="285" t="s">
        <v>17</v>
      </c>
      <c r="B228" s="286">
        <f>M170+K170</f>
        <v>46160</v>
      </c>
      <c r="C228" s="287">
        <f t="shared" si="84"/>
        <v>2026</v>
      </c>
      <c r="D228" s="288">
        <f t="shared" si="85"/>
        <v>46160</v>
      </c>
      <c r="E228" s="316">
        <v>153522</v>
      </c>
      <c r="F228" s="290">
        <f t="shared" ca="1" si="86"/>
        <v>19.142857142857142</v>
      </c>
      <c r="G228" s="290" t="str">
        <f>IFERROR(VLOOKUP(H228,Encerrados!#REF!,3,FALSE),
IFERROR(VLOOKUP(H228,Encerrados!#REF!,3,FALSE),
IFERROR(VLOOKUP(H228,Encerrados!#REF!,3,FALSE),
IFERROR(VLOOKUP(H228,Encerrados!#REF!,3,FALSE),"-"))))</f>
        <v>-</v>
      </c>
      <c r="H228" s="292" t="s">
        <v>132</v>
      </c>
      <c r="I228" s="291"/>
      <c r="J228" s="285" t="s">
        <v>60</v>
      </c>
      <c r="K228" s="285">
        <v>25</v>
      </c>
      <c r="L228" s="11" t="s">
        <v>365</v>
      </c>
      <c r="M228" s="45">
        <f t="shared" si="87"/>
        <v>46307</v>
      </c>
      <c r="N228" s="45">
        <f t="shared" si="88"/>
        <v>46328</v>
      </c>
      <c r="O228" s="23"/>
      <c r="P228" s="23" t="str">
        <f>IFERROR(VLOOKUP(Q228,Encerrados!#REF!,3,FALSE),
IFERROR(VLOOKUP(Q228,Encerrados!#REF!,3,FALSE),
IFERROR(VLOOKUP(Q228,Encerrados!#REF!,3,FALSE),
IFERROR(VLOOKUP(Q228,Encerrados!#REF!,3,FALSE),"-"))))</f>
        <v>-</v>
      </c>
      <c r="Q228" s="184"/>
      <c r="R228" s="46">
        <v>27000</v>
      </c>
      <c r="S228" s="47">
        <f t="shared" si="89"/>
        <v>46621</v>
      </c>
      <c r="T228" s="48">
        <v>66</v>
      </c>
      <c r="U228" s="49"/>
      <c r="V228" s="50">
        <f t="shared" si="83"/>
        <v>46621</v>
      </c>
      <c r="W228" t="e">
        <f>VLOOKUP(Q228,Q286:Q411,1,0)</f>
        <v>#N/A</v>
      </c>
    </row>
    <row r="229" spans="1:23" ht="14.25" customHeight="1">
      <c r="A229" s="173" t="s">
        <v>17</v>
      </c>
      <c r="B229" s="267">
        <f>M185+K185</f>
        <v>46167</v>
      </c>
      <c r="C229" s="175">
        <f t="shared" si="84"/>
        <v>2026</v>
      </c>
      <c r="D229" s="176">
        <f t="shared" si="85"/>
        <v>46167</v>
      </c>
      <c r="E229" s="258">
        <f>MONTH(B229:B328)</f>
        <v>5</v>
      </c>
      <c r="F229" s="177">
        <f t="shared" ca="1" si="86"/>
        <v>18.142857142857142</v>
      </c>
      <c r="G229" s="177" t="str">
        <f>IFERROR(VLOOKUP(H229,Encerrados!#REF!,3,FALSE),
IFERROR(VLOOKUP(H229,Encerrados!#REF!,3,FALSE),
IFERROR(VLOOKUP(H229,Encerrados!#REF!,3,FALSE),
IFERROR(VLOOKUP(H229,Encerrados!#REF!,3,FALSE),"-"))))</f>
        <v>-</v>
      </c>
      <c r="H229" s="294" t="s">
        <v>107</v>
      </c>
      <c r="I229" s="179">
        <v>42000</v>
      </c>
      <c r="J229" s="173" t="s">
        <v>20</v>
      </c>
      <c r="K229" s="173">
        <v>25</v>
      </c>
      <c r="L229" s="12" t="s">
        <v>368</v>
      </c>
      <c r="M229" s="45">
        <f t="shared" si="87"/>
        <v>46314</v>
      </c>
      <c r="N229" s="45">
        <f t="shared" si="88"/>
        <v>46335</v>
      </c>
      <c r="O229" s="23"/>
      <c r="P229" s="23" t="str">
        <f>IFERROR(VLOOKUP(Q229,Encerrados!#REF!,3,FALSE),
IFERROR(VLOOKUP(Q229,Encerrados!#REF!,3,FALSE),
IFERROR(VLOOKUP(Q229,Encerrados!#REF!,3,FALSE),
IFERROR(VLOOKUP(Q229,Encerrados!#REF!,3,FALSE),"-"))))</f>
        <v>-</v>
      </c>
      <c r="Q229" s="184"/>
      <c r="R229" s="46">
        <f>I229*0.96</f>
        <v>40320</v>
      </c>
      <c r="S229" s="47">
        <f t="shared" si="89"/>
        <v>46628</v>
      </c>
      <c r="T229" s="48">
        <v>66</v>
      </c>
      <c r="U229" s="49"/>
      <c r="V229" s="50">
        <f t="shared" si="83"/>
        <v>46628</v>
      </c>
      <c r="W229" t="e">
        <f>VLOOKUP(Q229,Q276:Q408,1,0)</f>
        <v>#N/A</v>
      </c>
    </row>
    <row r="230" spans="1:23" ht="14.25" customHeight="1">
      <c r="A230" s="173" t="s">
        <v>17</v>
      </c>
      <c r="B230" s="267">
        <f>M181+K181</f>
        <v>46170</v>
      </c>
      <c r="C230" s="175">
        <f t="shared" si="84"/>
        <v>2026</v>
      </c>
      <c r="D230" s="176">
        <f t="shared" si="85"/>
        <v>46170</v>
      </c>
      <c r="E230" s="258">
        <f>MONTH(B230:B328)</f>
        <v>5</v>
      </c>
      <c r="F230" s="177">
        <f t="shared" ca="1" si="86"/>
        <v>17.714285714285715</v>
      </c>
      <c r="G230" s="177" t="str">
        <f>IFERROR(VLOOKUP(H230,Encerrados!#REF!,3,FALSE),
IFERROR(VLOOKUP(H230,Encerrados!#REF!,3,FALSE),
IFERROR(VLOOKUP(H230,Encerrados!#REF!,3,FALSE),
IFERROR(VLOOKUP(H230,Encerrados!#REF!,3,FALSE),"-"))))</f>
        <v>-</v>
      </c>
      <c r="H230" s="178" t="s">
        <v>101</v>
      </c>
      <c r="I230" s="179">
        <v>60000</v>
      </c>
      <c r="J230" s="173" t="s">
        <v>20</v>
      </c>
      <c r="K230" s="173">
        <v>26</v>
      </c>
      <c r="L230" s="13" t="s">
        <v>472</v>
      </c>
      <c r="M230" s="45">
        <f t="shared" si="87"/>
        <v>46317</v>
      </c>
      <c r="N230" s="45">
        <f t="shared" si="88"/>
        <v>46338</v>
      </c>
      <c r="O230" s="23"/>
      <c r="P230" s="23" t="str">
        <f>IFERROR(VLOOKUP(Q230,Encerrados!#REF!,3,FALSE),
IFERROR(VLOOKUP(Q230,Encerrados!#REF!,3,FALSE),
IFERROR(VLOOKUP(Q230,Encerrados!#REF!,3,FALSE),
IFERROR(VLOOKUP(Q230,Encerrados!#REF!,3,FALSE),"-"))))</f>
        <v>-</v>
      </c>
      <c r="Q230" s="184"/>
      <c r="R230" s="46">
        <v>36000</v>
      </c>
      <c r="S230" s="47">
        <f t="shared" si="89"/>
        <v>46631</v>
      </c>
      <c r="T230" s="48">
        <v>66</v>
      </c>
      <c r="U230" s="49"/>
      <c r="V230" s="50">
        <f t="shared" si="83"/>
        <v>46631</v>
      </c>
      <c r="W230" t="e">
        <f>VLOOKUP(Q230,Q283:Q406,1,0)</f>
        <v>#N/A</v>
      </c>
    </row>
    <row r="231" spans="1:23" ht="14.25" customHeight="1">
      <c r="A231" s="173" t="s">
        <v>17</v>
      </c>
      <c r="B231" s="267">
        <f>M181+K181</f>
        <v>46170</v>
      </c>
      <c r="C231" s="175">
        <f t="shared" si="84"/>
        <v>2026</v>
      </c>
      <c r="D231" s="176">
        <f t="shared" si="85"/>
        <v>46170</v>
      </c>
      <c r="E231" s="258">
        <f>MONTH(B231:B328)</f>
        <v>5</v>
      </c>
      <c r="F231" s="177">
        <f t="shared" ca="1" si="86"/>
        <v>17.714285714285715</v>
      </c>
      <c r="G231" s="177" t="str">
        <f>IFERROR(VLOOKUP(H231,Encerrados!#REF!,3,FALSE),
IFERROR(VLOOKUP(H231,Encerrados!#REF!,3,FALSE),
IFERROR(VLOOKUP(H231,Encerrados!#REF!,3,FALSE),
IFERROR(VLOOKUP(H231,Encerrados!#REF!,3,FALSE),"-"))))</f>
        <v>-</v>
      </c>
      <c r="H231" s="178" t="s">
        <v>101</v>
      </c>
      <c r="I231" s="179"/>
      <c r="J231" s="173" t="s">
        <v>20</v>
      </c>
      <c r="K231" s="173">
        <v>26</v>
      </c>
      <c r="L231" s="13" t="s">
        <v>472</v>
      </c>
      <c r="M231" s="45">
        <f t="shared" si="87"/>
        <v>46317</v>
      </c>
      <c r="N231" s="45">
        <f t="shared" si="88"/>
        <v>46338</v>
      </c>
      <c r="O231" s="23"/>
      <c r="P231" s="23" t="str">
        <f>IFERROR(VLOOKUP(Q231,Encerrados!#REF!,3,FALSE),
IFERROR(VLOOKUP(Q231,Encerrados!#REF!,3,FALSE),
IFERROR(VLOOKUP(Q231,Encerrados!#REF!,3,FALSE),
IFERROR(VLOOKUP(Q231,Encerrados!#REF!,3,FALSE),"-"))))</f>
        <v>-</v>
      </c>
      <c r="Q231" s="184"/>
      <c r="R231" s="46">
        <v>20000</v>
      </c>
      <c r="S231" s="47">
        <f t="shared" si="89"/>
        <v>46631</v>
      </c>
      <c r="T231" s="48">
        <v>66</v>
      </c>
      <c r="U231" s="49"/>
      <c r="V231" s="50">
        <f t="shared" si="83"/>
        <v>46631</v>
      </c>
      <c r="W231" t="e">
        <f>VLOOKUP(Q231,Q282:Q407,1,0)</f>
        <v>#N/A</v>
      </c>
    </row>
    <row r="232" spans="1:23" ht="14.25" customHeight="1">
      <c r="A232" s="119" t="s">
        <v>17</v>
      </c>
      <c r="B232" s="120">
        <v>46170</v>
      </c>
      <c r="C232" s="121">
        <f t="shared" si="84"/>
        <v>2026</v>
      </c>
      <c r="D232" s="122">
        <f t="shared" si="85"/>
        <v>46170</v>
      </c>
      <c r="E232" s="257">
        <v>153526</v>
      </c>
      <c r="F232" s="123">
        <f t="shared" ca="1" si="86"/>
        <v>17.714285714285715</v>
      </c>
      <c r="G232" s="123" t="str">
        <f>IFERROR(VLOOKUP(H232,Encerrados!#REF!,3,FALSE),
IFERROR(VLOOKUP(H232,Encerrados!#REF!,3,FALSE),
IFERROR(VLOOKUP(H232,Encerrados!#REF!,3,FALSE),
IFERROR(VLOOKUP(H232,Encerrados!#REF!,3,FALSE),"-"))))</f>
        <v>-</v>
      </c>
      <c r="H232" s="124" t="s">
        <v>248</v>
      </c>
      <c r="I232" s="125">
        <v>84000</v>
      </c>
      <c r="J232" s="119" t="s">
        <v>60</v>
      </c>
      <c r="K232" s="119">
        <v>28</v>
      </c>
      <c r="L232" s="11" t="s">
        <v>365</v>
      </c>
      <c r="M232" s="126">
        <f t="shared" si="87"/>
        <v>46317</v>
      </c>
      <c r="N232" s="126">
        <f t="shared" si="88"/>
        <v>46338</v>
      </c>
      <c r="O232" s="121"/>
      <c r="P232" s="121" t="str">
        <f>IFERROR(VLOOKUP(Q232,Encerrados!#REF!,3,FALSE),
IFERROR(VLOOKUP(Q232,Encerrados!#REF!,3,FALSE),
IFERROR(VLOOKUP(Q232,Encerrados!#REF!,3,FALSE),
IFERROR(VLOOKUP(Q232,Encerrados!#REF!,3,FALSE),"-"))))</f>
        <v>-</v>
      </c>
      <c r="Q232" s="248"/>
      <c r="R232" s="127">
        <f>I232*0.96</f>
        <v>80640</v>
      </c>
      <c r="S232" s="128">
        <f t="shared" si="89"/>
        <v>46631</v>
      </c>
      <c r="T232" s="129">
        <v>66</v>
      </c>
      <c r="U232" s="130"/>
      <c r="V232" s="131">
        <f t="shared" si="83"/>
        <v>46631</v>
      </c>
      <c r="W232" t="e">
        <f>VLOOKUP(Q232,Q279:Q404,1,0)</f>
        <v>#N/A</v>
      </c>
    </row>
    <row r="233" spans="1:23" ht="14.25" customHeight="1">
      <c r="A233" s="119" t="s">
        <v>17</v>
      </c>
      <c r="B233" s="120">
        <v>46173</v>
      </c>
      <c r="C233" s="121">
        <f t="shared" si="84"/>
        <v>2026</v>
      </c>
      <c r="D233" s="122">
        <f t="shared" si="85"/>
        <v>46173</v>
      </c>
      <c r="E233" s="257">
        <f>MONTH(B218:B328)</f>
        <v>5</v>
      </c>
      <c r="F233" s="123">
        <f t="shared" ca="1" si="86"/>
        <v>17.285714285714285</v>
      </c>
      <c r="G233" s="123" t="str">
        <f>IFERROR(VLOOKUP(H233,Encerrados!#REF!,3,FALSE),
IFERROR(VLOOKUP(H233,Encerrados!#REF!,3,FALSE),
IFERROR(VLOOKUP(H233,Encerrados!#REF!,3,FALSE),
IFERROR(VLOOKUP(H233,Encerrados!#REF!,3,FALSE),"-"))))</f>
        <v>-</v>
      </c>
      <c r="H233" s="248" t="s">
        <v>246</v>
      </c>
      <c r="I233" s="125">
        <v>60000</v>
      </c>
      <c r="J233" s="119" t="s">
        <v>60</v>
      </c>
      <c r="K233" s="119">
        <v>25</v>
      </c>
      <c r="L233" s="12" t="s">
        <v>368</v>
      </c>
      <c r="M233" s="126">
        <f t="shared" si="87"/>
        <v>46320</v>
      </c>
      <c r="N233" s="126">
        <f t="shared" si="88"/>
        <v>46341</v>
      </c>
      <c r="O233" s="121"/>
      <c r="P233" s="121" t="str">
        <f>IFERROR(VLOOKUP(Q233,Encerrados!#REF!,3,FALSE),
IFERROR(VLOOKUP(Q233,Encerrados!#REF!,3,FALSE),
IFERROR(VLOOKUP(Q233,Encerrados!#REF!,3,FALSE),
IFERROR(VLOOKUP(Q233,Encerrados!#REF!,3,FALSE),"-"))))</f>
        <v>-</v>
      </c>
      <c r="Q233" s="248"/>
      <c r="R233" s="127">
        <f>I233*0.96</f>
        <v>57600</v>
      </c>
      <c r="S233" s="128">
        <f t="shared" si="89"/>
        <v>46634</v>
      </c>
      <c r="T233" s="129">
        <v>66</v>
      </c>
      <c r="U233" s="130"/>
      <c r="V233" s="131">
        <f t="shared" si="83"/>
        <v>46634</v>
      </c>
      <c r="W233" t="e">
        <f>VLOOKUP(Q233,Q270:Q405,1,0)</f>
        <v>#N/A</v>
      </c>
    </row>
    <row r="234" spans="1:23" ht="14.25" customHeight="1">
      <c r="A234" s="285" t="s">
        <v>17</v>
      </c>
      <c r="B234" s="293">
        <f>M187+K187</f>
        <v>46174</v>
      </c>
      <c r="C234" s="287">
        <f t="shared" si="84"/>
        <v>2026</v>
      </c>
      <c r="D234" s="288">
        <f t="shared" si="85"/>
        <v>46174</v>
      </c>
      <c r="E234" s="316">
        <v>153566</v>
      </c>
      <c r="F234" s="290">
        <f t="shared" ca="1" si="86"/>
        <v>17.142857142857142</v>
      </c>
      <c r="G234" s="290" t="str">
        <f>IFERROR(VLOOKUP(H234,Encerrados!#REF!,3,FALSE),
IFERROR(VLOOKUP(H234,Encerrados!#REF!,3,FALSE),
IFERROR(VLOOKUP(H234,Encerrados!#REF!,3,FALSE),
IFERROR(VLOOKUP(H234,Encerrados!#REF!,3,FALSE),"-"))))</f>
        <v>-</v>
      </c>
      <c r="H234" s="292" t="s">
        <v>139</v>
      </c>
      <c r="I234" s="291">
        <v>60000</v>
      </c>
      <c r="J234" s="285" t="s">
        <v>45</v>
      </c>
      <c r="K234" s="285">
        <v>56</v>
      </c>
      <c r="L234" s="11" t="s">
        <v>365</v>
      </c>
      <c r="M234" s="45">
        <f t="shared" si="87"/>
        <v>46321</v>
      </c>
      <c r="N234" s="45">
        <f t="shared" si="88"/>
        <v>46342</v>
      </c>
      <c r="O234" s="23"/>
      <c r="P234" s="23" t="str">
        <f>IFERROR(VLOOKUP(Q234,Encerrados!#REF!,3,FALSE),
IFERROR(VLOOKUP(Q234,Encerrados!#REF!,3,FALSE),
IFERROR(VLOOKUP(Q234,Encerrados!#REF!,3,FALSE),
IFERROR(VLOOKUP(Q234,Encerrados!#REF!,3,FALSE),"-"))))</f>
        <v>-</v>
      </c>
      <c r="Q234" s="184"/>
      <c r="R234" s="46">
        <f>I234*0.96</f>
        <v>57600</v>
      </c>
      <c r="S234" s="47">
        <f t="shared" si="89"/>
        <v>46635</v>
      </c>
      <c r="T234" s="48">
        <v>66</v>
      </c>
      <c r="U234" s="49"/>
      <c r="V234" s="50">
        <f t="shared" si="83"/>
        <v>46635</v>
      </c>
      <c r="W234" t="e">
        <f>VLOOKUP(Q234,Q294:Q420,1,0)</f>
        <v>#N/A</v>
      </c>
    </row>
    <row r="235" spans="1:23" ht="14.25" customHeight="1">
      <c r="A235" s="285" t="s">
        <v>17</v>
      </c>
      <c r="B235" s="286">
        <f>M189+K189</f>
        <v>46176</v>
      </c>
      <c r="C235" s="287">
        <f t="shared" si="84"/>
        <v>2026</v>
      </c>
      <c r="D235" s="288">
        <f t="shared" si="85"/>
        <v>46176</v>
      </c>
      <c r="E235" s="316">
        <v>153527</v>
      </c>
      <c r="F235" s="290">
        <f t="shared" ca="1" si="86"/>
        <v>16.857142857142858</v>
      </c>
      <c r="G235" s="290" t="str">
        <f>IFERROR(VLOOKUP(H235,Encerrados!#REF!,3,FALSE),
IFERROR(VLOOKUP(H235,Encerrados!#REF!,3,FALSE),
IFERROR(VLOOKUP(H235,Encerrados!#REF!,3,FALSE),
IFERROR(VLOOKUP(H235,Encerrados!#REF!,3,FALSE),"-"))))</f>
        <v>-</v>
      </c>
      <c r="H235" s="292" t="s">
        <v>216</v>
      </c>
      <c r="I235" s="291">
        <v>60000</v>
      </c>
      <c r="J235" s="285" t="s">
        <v>45</v>
      </c>
      <c r="K235" s="285">
        <v>50</v>
      </c>
      <c r="L235" s="11" t="s">
        <v>365</v>
      </c>
      <c r="M235" s="45">
        <f t="shared" si="87"/>
        <v>46323</v>
      </c>
      <c r="N235" s="45">
        <f t="shared" si="88"/>
        <v>46344</v>
      </c>
      <c r="O235" s="23"/>
      <c r="P235" s="23" t="str">
        <f>IFERROR(VLOOKUP(Q235,Encerrados!#REF!,3,FALSE),
IFERROR(VLOOKUP(Q235,Encerrados!#REF!,3,FALSE),
IFERROR(VLOOKUP(Q235,Encerrados!#REF!,3,FALSE),
IFERROR(VLOOKUP(Q235,Encerrados!#REF!,3,FALSE),"-"))))</f>
        <v>-</v>
      </c>
      <c r="Q235" s="184"/>
      <c r="R235" s="46">
        <v>57000</v>
      </c>
      <c r="S235" s="47">
        <f t="shared" si="89"/>
        <v>46637</v>
      </c>
      <c r="T235" s="48">
        <v>66</v>
      </c>
      <c r="U235" s="49"/>
      <c r="V235" s="50">
        <f t="shared" si="83"/>
        <v>46637</v>
      </c>
      <c r="W235" t="e">
        <f>VLOOKUP(Q235,Q271:Q396,1,0)</f>
        <v>#N/A</v>
      </c>
    </row>
    <row r="236" spans="1:23" ht="14.25" customHeight="1">
      <c r="A236" s="285" t="s">
        <v>17</v>
      </c>
      <c r="B236" s="286">
        <f>M176+K176</f>
        <v>46178</v>
      </c>
      <c r="C236" s="287">
        <f t="shared" si="84"/>
        <v>2026</v>
      </c>
      <c r="D236" s="288">
        <f t="shared" si="85"/>
        <v>46178</v>
      </c>
      <c r="E236" s="316">
        <v>153530</v>
      </c>
      <c r="F236" s="290">
        <f t="shared" ca="1" si="86"/>
        <v>16.571428571428573</v>
      </c>
      <c r="G236" s="290" t="str">
        <f>IFERROR(VLOOKUP(H236,Encerrados!#REF!,3,FALSE),
IFERROR(VLOOKUP(H236,Encerrados!#REF!,3,FALSE),
IFERROR(VLOOKUP(H236,Encerrados!#REF!,3,FALSE),
IFERROR(VLOOKUP(H236,Encerrados!#REF!,3,FALSE),"-"))))</f>
        <v>-</v>
      </c>
      <c r="H236" s="292" t="s">
        <v>129</v>
      </c>
      <c r="I236" s="291">
        <v>38000</v>
      </c>
      <c r="J236" s="285" t="s">
        <v>60</v>
      </c>
      <c r="K236" s="285">
        <v>25</v>
      </c>
      <c r="L236" s="11" t="s">
        <v>365</v>
      </c>
      <c r="M236" s="45">
        <f t="shared" si="87"/>
        <v>46325</v>
      </c>
      <c r="N236" s="45">
        <f t="shared" si="88"/>
        <v>46346</v>
      </c>
      <c r="O236" s="23"/>
      <c r="P236" s="23" t="str">
        <f>IFERROR(VLOOKUP(Q236,Encerrados!#REF!,3,FALSE),
IFERROR(VLOOKUP(Q236,Encerrados!#REF!,3,FALSE),
IFERROR(VLOOKUP(Q236,Encerrados!#REF!,3,FALSE),
IFERROR(VLOOKUP(Q236,Encerrados!#REF!,3,FALSE),"-"))))</f>
        <v>-</v>
      </c>
      <c r="Q236" s="184"/>
      <c r="R236" s="46">
        <v>30000</v>
      </c>
      <c r="S236" s="47">
        <f t="shared" si="89"/>
        <v>46639</v>
      </c>
      <c r="T236" s="48">
        <v>66</v>
      </c>
      <c r="U236" s="49"/>
      <c r="V236" s="50">
        <f t="shared" si="83"/>
        <v>46639</v>
      </c>
      <c r="W236" t="e">
        <f>VLOOKUP(Q236,Q290:Q415,1,0)</f>
        <v>#N/A</v>
      </c>
    </row>
    <row r="237" spans="1:23" ht="14.25" customHeight="1">
      <c r="A237" s="285" t="s">
        <v>17</v>
      </c>
      <c r="B237" s="286">
        <f>M191+K191</f>
        <v>46181</v>
      </c>
      <c r="C237" s="287">
        <f t="shared" si="84"/>
        <v>2026</v>
      </c>
      <c r="D237" s="288">
        <f t="shared" si="85"/>
        <v>46181</v>
      </c>
      <c r="E237" s="316">
        <v>153529</v>
      </c>
      <c r="F237" s="290">
        <f t="shared" ca="1" si="86"/>
        <v>16.142857142857142</v>
      </c>
      <c r="G237" s="290" t="str">
        <f>IFERROR(VLOOKUP(H237,Encerrados!#REF!,3,FALSE),
IFERROR(VLOOKUP(H237,Encerrados!#REF!,3,FALSE),
IFERROR(VLOOKUP(H237,Encerrados!#REF!,3,FALSE),
IFERROR(VLOOKUP(H237,Encerrados!#REF!,3,FALSE),"-"))))</f>
        <v>-</v>
      </c>
      <c r="H237" s="292" t="s">
        <v>135</v>
      </c>
      <c r="I237" s="291">
        <v>46000</v>
      </c>
      <c r="J237" s="285" t="s">
        <v>45</v>
      </c>
      <c r="K237" s="285">
        <v>50</v>
      </c>
      <c r="L237" s="11" t="s">
        <v>365</v>
      </c>
      <c r="M237" s="45">
        <f t="shared" si="87"/>
        <v>46328</v>
      </c>
      <c r="N237" s="45">
        <f t="shared" si="88"/>
        <v>46349</v>
      </c>
      <c r="O237" s="23"/>
      <c r="P237" s="23" t="str">
        <f>IFERROR(VLOOKUP(Q237,Encerrados!#REF!,3,FALSE),
IFERROR(VLOOKUP(Q237,Encerrados!#REF!,3,FALSE),
IFERROR(VLOOKUP(Q237,Encerrados!#REF!,3,FALSE),
IFERROR(VLOOKUP(Q237,Encerrados!#REF!,3,FALSE),"-"))))</f>
        <v>-</v>
      </c>
      <c r="Q237" s="184"/>
      <c r="R237" s="46">
        <v>40000</v>
      </c>
      <c r="S237" s="47">
        <f t="shared" si="89"/>
        <v>46642</v>
      </c>
      <c r="T237" s="48">
        <v>66</v>
      </c>
      <c r="U237" s="49"/>
      <c r="V237" s="50">
        <f t="shared" si="83"/>
        <v>46642</v>
      </c>
      <c r="W237" t="e">
        <f>VLOOKUP(Q237,Q287:Q412,1,0)</f>
        <v>#N/A</v>
      </c>
    </row>
    <row r="238" spans="1:23" ht="14.25" customHeight="1">
      <c r="A238" s="285" t="s">
        <v>17</v>
      </c>
      <c r="B238" s="286">
        <f>M180+K180</f>
        <v>46185</v>
      </c>
      <c r="C238" s="287">
        <f t="shared" si="84"/>
        <v>2026</v>
      </c>
      <c r="D238" s="288">
        <f t="shared" si="85"/>
        <v>46185</v>
      </c>
      <c r="E238" s="316">
        <v>153559</v>
      </c>
      <c r="F238" s="290">
        <f t="shared" ca="1" si="86"/>
        <v>15.571428571428571</v>
      </c>
      <c r="G238" s="290" t="str">
        <f>IFERROR(VLOOKUP(H238,Encerrados!#REF!,3,FALSE),
IFERROR(VLOOKUP(H238,Encerrados!#REF!,3,FALSE),
IFERROR(VLOOKUP(H238,Encerrados!#REF!,3,FALSE),
IFERROR(VLOOKUP(H238,Encerrados!#REF!,3,FALSE),"-"))))</f>
        <v>-</v>
      </c>
      <c r="H238" s="292" t="s">
        <v>120</v>
      </c>
      <c r="I238" s="291">
        <v>50000</v>
      </c>
      <c r="J238" s="285" t="s">
        <v>60</v>
      </c>
      <c r="K238" s="285">
        <v>28</v>
      </c>
      <c r="L238" s="11" t="s">
        <v>365</v>
      </c>
      <c r="M238" s="45">
        <f t="shared" si="87"/>
        <v>46332</v>
      </c>
      <c r="N238" s="45">
        <f t="shared" si="88"/>
        <v>46353</v>
      </c>
      <c r="O238" s="23"/>
      <c r="P238" s="23" t="str">
        <f>IFERROR(VLOOKUP(Q238,Encerrados!#REF!,3,FALSE),
IFERROR(VLOOKUP(Q238,Encerrados!#REF!,3,FALSE),
IFERROR(VLOOKUP(Q238,Encerrados!#REF!,3,FALSE),
IFERROR(VLOOKUP(Q238,Encerrados!#REF!,3,FALSE),"-"))))</f>
        <v>-</v>
      </c>
      <c r="Q238" s="184"/>
      <c r="R238" s="46">
        <f>I238*0.96</f>
        <v>48000</v>
      </c>
      <c r="S238" s="47">
        <f t="shared" si="89"/>
        <v>46646</v>
      </c>
      <c r="T238" s="48">
        <v>66</v>
      </c>
      <c r="U238" s="49"/>
      <c r="V238" s="50">
        <f t="shared" si="83"/>
        <v>46646</v>
      </c>
      <c r="W238" t="e">
        <f>VLOOKUP(Q238,Q284:Q409,1,0)</f>
        <v>#N/A</v>
      </c>
    </row>
    <row r="239" spans="1:23" ht="14.25" customHeight="1">
      <c r="A239" s="173" t="s">
        <v>17</v>
      </c>
      <c r="B239" s="267">
        <f>M177+K177</f>
        <v>46185</v>
      </c>
      <c r="C239" s="175">
        <f t="shared" si="81"/>
        <v>2026</v>
      </c>
      <c r="D239" s="176">
        <f t="shared" si="73"/>
        <v>46185</v>
      </c>
      <c r="E239" s="258">
        <f>MONTH(B239:B328)</f>
        <v>6</v>
      </c>
      <c r="F239" s="177">
        <f t="shared" ca="1" si="80"/>
        <v>15.571428571428571</v>
      </c>
      <c r="G239" s="177" t="str">
        <f>IFERROR(VLOOKUP(H239,Encerrados!#REF!,3,FALSE),
IFERROR(VLOOKUP(H239,Encerrados!#REF!,3,FALSE),
IFERROR(VLOOKUP(H239,Encerrados!#REF!,3,FALSE),
IFERROR(VLOOKUP(H239,Encerrados!#REF!,3,FALSE),"-"))))</f>
        <v>-</v>
      </c>
      <c r="H239" s="294" t="s">
        <v>115</v>
      </c>
      <c r="I239" s="179">
        <v>63000</v>
      </c>
      <c r="J239" s="173" t="s">
        <v>60</v>
      </c>
      <c r="K239" s="173">
        <v>30</v>
      </c>
      <c r="L239" s="12" t="s">
        <v>368</v>
      </c>
      <c r="M239" s="45">
        <f t="shared" si="77"/>
        <v>46332</v>
      </c>
      <c r="N239" s="45">
        <f t="shared" si="75"/>
        <v>46353</v>
      </c>
      <c r="O239" s="23"/>
      <c r="P239" s="23" t="str">
        <f>IFERROR(VLOOKUP(Q239,Encerrados!#REF!,3,FALSE),
IFERROR(VLOOKUP(Q239,Encerrados!#REF!,3,FALSE),
IFERROR(VLOOKUP(Q239,Encerrados!#REF!,3,FALSE),
IFERROR(VLOOKUP(Q239,Encerrados!#REF!,3,FALSE),"-"))))</f>
        <v>-</v>
      </c>
      <c r="Q239" s="184"/>
      <c r="R239" s="46">
        <f t="shared" si="82"/>
        <v>60480</v>
      </c>
      <c r="S239" s="47">
        <f t="shared" si="74"/>
        <v>46646</v>
      </c>
      <c r="T239" s="48">
        <v>66</v>
      </c>
      <c r="U239" s="49"/>
      <c r="V239" s="50">
        <f t="shared" si="71"/>
        <v>46646</v>
      </c>
      <c r="W239" t="e">
        <f>VLOOKUP(Q239,Q288:Q413,1,0)</f>
        <v>#N/A</v>
      </c>
    </row>
    <row r="240" spans="1:23" ht="14.25" customHeight="1">
      <c r="A240" s="173" t="s">
        <v>17</v>
      </c>
      <c r="B240" s="267">
        <f>M178+K178</f>
        <v>46187</v>
      </c>
      <c r="C240" s="175">
        <f t="shared" si="81"/>
        <v>2026</v>
      </c>
      <c r="D240" s="176">
        <f t="shared" si="73"/>
        <v>46187</v>
      </c>
      <c r="E240" s="258">
        <f>MONTH(B240:B328)</f>
        <v>6</v>
      </c>
      <c r="F240" s="177">
        <f t="shared" ca="1" si="80"/>
        <v>15.285714285714286</v>
      </c>
      <c r="G240" s="177" t="str">
        <f>IFERROR(VLOOKUP(H240,Encerrados!#REF!,3,FALSE),
IFERROR(VLOOKUP(H240,Encerrados!#REF!,3,FALSE),
IFERROR(VLOOKUP(H240,Encerrados!#REF!,3,FALSE),
IFERROR(VLOOKUP(H240,Encerrados!#REF!,3,FALSE),"-"))))</f>
        <v>-</v>
      </c>
      <c r="H240" s="294" t="s">
        <v>115</v>
      </c>
      <c r="I240" s="179">
        <v>63000</v>
      </c>
      <c r="J240" s="173" t="s">
        <v>60</v>
      </c>
      <c r="K240" s="173">
        <v>25</v>
      </c>
      <c r="L240" s="12" t="s">
        <v>368</v>
      </c>
      <c r="M240" s="45">
        <f t="shared" si="77"/>
        <v>46334</v>
      </c>
      <c r="N240" s="45">
        <f t="shared" si="75"/>
        <v>46355</v>
      </c>
      <c r="O240" s="23"/>
      <c r="P240" s="23" t="str">
        <f>IFERROR(VLOOKUP(Q240,Encerrados!#REF!,3,FALSE),
IFERROR(VLOOKUP(Q240,Encerrados!#REF!,3,FALSE),
IFERROR(VLOOKUP(Q240,Encerrados!#REF!,3,FALSE),
IFERROR(VLOOKUP(Q240,Encerrados!#REF!,3,FALSE),"-"))))</f>
        <v>-</v>
      </c>
      <c r="Q240" s="184"/>
      <c r="R240" s="46">
        <v>20000</v>
      </c>
      <c r="S240" s="47">
        <f t="shared" si="74"/>
        <v>46648</v>
      </c>
      <c r="T240" s="48">
        <v>66</v>
      </c>
      <c r="U240" s="49"/>
      <c r="V240" s="50">
        <f t="shared" si="71"/>
        <v>46648</v>
      </c>
      <c r="W240" t="e">
        <f>VLOOKUP(Q240,Q289:Q414,1,0)</f>
        <v>#N/A</v>
      </c>
    </row>
    <row r="241" spans="1:23" ht="14.25" customHeight="1">
      <c r="A241" s="285" t="s">
        <v>17</v>
      </c>
      <c r="B241" s="286">
        <f>M192+K192</f>
        <v>46205</v>
      </c>
      <c r="C241" s="287">
        <f t="shared" si="81"/>
        <v>2026</v>
      </c>
      <c r="D241" s="288">
        <f t="shared" si="73"/>
        <v>46205</v>
      </c>
      <c r="E241" s="316">
        <v>153531</v>
      </c>
      <c r="F241" s="290">
        <f t="shared" ca="1" si="80"/>
        <v>12.714285714285714</v>
      </c>
      <c r="G241" s="290" t="str">
        <f>IFERROR(VLOOKUP(H241,Encerrados!#REF!,3,FALSE),
IFERROR(VLOOKUP(H241,Encerrados!#REF!,3,FALSE),
IFERROR(VLOOKUP(H241,Encerrados!#REF!,3,FALSE),
IFERROR(VLOOKUP(H241,Encerrados!#REF!,3,FALSE),"-"))))</f>
        <v>-</v>
      </c>
      <c r="H241" s="292" t="s">
        <v>123</v>
      </c>
      <c r="I241" s="291">
        <v>42000</v>
      </c>
      <c r="J241" s="285" t="s">
        <v>45</v>
      </c>
      <c r="K241" s="285">
        <v>50</v>
      </c>
      <c r="L241" s="11" t="s">
        <v>365</v>
      </c>
      <c r="M241" s="45">
        <f t="shared" si="77"/>
        <v>46352</v>
      </c>
      <c r="N241" s="45">
        <f t="shared" si="75"/>
        <v>46373</v>
      </c>
      <c r="O241" s="23"/>
      <c r="P241" s="23" t="str">
        <f>IFERROR(VLOOKUP(Q241,Encerrados!#REF!,3,FALSE),
IFERROR(VLOOKUP(Q241,Encerrados!#REF!,3,FALSE),
IFERROR(VLOOKUP(Q241,Encerrados!#REF!,3,FALSE),
IFERROR(VLOOKUP(Q241,Encerrados!#REF!,3,FALSE),"-"))))</f>
        <v>-</v>
      </c>
      <c r="Q241" s="184"/>
      <c r="R241" s="46">
        <v>20000</v>
      </c>
      <c r="S241" s="47">
        <f t="shared" si="74"/>
        <v>46666</v>
      </c>
      <c r="T241" s="48">
        <v>66</v>
      </c>
      <c r="U241" s="49"/>
      <c r="V241" s="50">
        <f t="shared" si="71"/>
        <v>46666</v>
      </c>
      <c r="W241" t="e">
        <f>VLOOKUP(Q241,Q291:Q416,1,0)</f>
        <v>#N/A</v>
      </c>
    </row>
    <row r="242" spans="1:23" ht="14.25" customHeight="1">
      <c r="A242" s="285" t="s">
        <v>17</v>
      </c>
      <c r="B242" s="286">
        <f>M192+K192</f>
        <v>46205</v>
      </c>
      <c r="C242" s="287">
        <f t="shared" si="81"/>
        <v>2026</v>
      </c>
      <c r="D242" s="288">
        <f t="shared" ref="D242:D259" si="90">B242</f>
        <v>46205</v>
      </c>
      <c r="E242" s="316">
        <v>153531</v>
      </c>
      <c r="F242" s="290">
        <f t="shared" ca="1" si="80"/>
        <v>12.714285714285714</v>
      </c>
      <c r="G242" s="290" t="str">
        <f>IFERROR(VLOOKUP(H242,Encerrados!#REF!,3,FALSE),
IFERROR(VLOOKUP(H242,Encerrados!#REF!,3,FALSE),
IFERROR(VLOOKUP(H242,Encerrados!#REF!,3,FALSE),
IFERROR(VLOOKUP(H242,Encerrados!#REF!,3,FALSE),"-"))))</f>
        <v>-</v>
      </c>
      <c r="H242" s="292" t="s">
        <v>123</v>
      </c>
      <c r="I242" s="291"/>
      <c r="J242" s="285" t="s">
        <v>45</v>
      </c>
      <c r="K242" s="285">
        <v>50</v>
      </c>
      <c r="L242" s="11" t="s">
        <v>365</v>
      </c>
      <c r="M242" s="45">
        <f t="shared" si="77"/>
        <v>46352</v>
      </c>
      <c r="N242" s="45">
        <f t="shared" si="75"/>
        <v>46373</v>
      </c>
      <c r="O242" s="23"/>
      <c r="P242" s="23" t="str">
        <f>IFERROR(VLOOKUP(Q242,Encerrados!#REF!,3,FALSE),
IFERROR(VLOOKUP(Q242,Encerrados!#REF!,3,FALSE),
IFERROR(VLOOKUP(Q242,Encerrados!#REF!,3,FALSE),
IFERROR(VLOOKUP(Q242,Encerrados!#REF!,3,FALSE),"-"))))</f>
        <v>-</v>
      </c>
      <c r="Q242" s="184"/>
      <c r="R242" s="46">
        <v>26000</v>
      </c>
      <c r="S242" s="47">
        <f t="shared" si="74"/>
        <v>46666</v>
      </c>
      <c r="T242" s="48">
        <v>66</v>
      </c>
      <c r="U242" s="49"/>
      <c r="V242" s="50">
        <f t="shared" si="71"/>
        <v>46666</v>
      </c>
      <c r="W242" t="e">
        <f>VLOOKUP(Q242,Q291:Q417,1,0)</f>
        <v>#N/A</v>
      </c>
    </row>
    <row r="243" spans="1:23" ht="14.25" customHeight="1">
      <c r="A243" s="173" t="s">
        <v>17</v>
      </c>
      <c r="B243" s="174">
        <f>M196+K196</f>
        <v>46216</v>
      </c>
      <c r="C243" s="175">
        <f t="shared" si="81"/>
        <v>2026</v>
      </c>
      <c r="D243" s="176">
        <f t="shared" si="90"/>
        <v>46216</v>
      </c>
      <c r="E243" s="258">
        <f>MONTH(B243:B328)</f>
        <v>7</v>
      </c>
      <c r="F243" s="177">
        <f t="shared" ca="1" si="80"/>
        <v>11.142857142857142</v>
      </c>
      <c r="G243" s="177" t="str">
        <f>IFERROR(VLOOKUP(H243,Encerrados!#REF!,3,FALSE),
IFERROR(VLOOKUP(H243,Encerrados!#REF!,3,FALSE),
IFERROR(VLOOKUP(H243,Encerrados!#REF!,3,FALSE),
IFERROR(VLOOKUP(H243,Encerrados!#REF!,3,FALSE),"-"))))</f>
        <v>-</v>
      </c>
      <c r="H243" s="294" t="s">
        <v>402</v>
      </c>
      <c r="I243" s="199">
        <v>84000</v>
      </c>
      <c r="J243" s="173" t="s">
        <v>45</v>
      </c>
      <c r="K243" s="173">
        <v>50</v>
      </c>
      <c r="L243" s="12" t="s">
        <v>368</v>
      </c>
      <c r="M243" s="45">
        <f t="shared" si="77"/>
        <v>46363</v>
      </c>
      <c r="N243" s="45">
        <f t="shared" si="75"/>
        <v>46384</v>
      </c>
      <c r="O243" s="23"/>
      <c r="P243" s="23" t="str">
        <f>IFERROR(VLOOKUP(Q243,Encerrados!#REF!,3,FALSE),
IFERROR(VLOOKUP(Q243,Encerrados!#REF!,3,FALSE),
IFERROR(VLOOKUP(Q243,Encerrados!#REF!,3,FALSE),
IFERROR(VLOOKUP(Q243,Encerrados!#REF!,3,FALSE),"-"))))</f>
        <v>-</v>
      </c>
      <c r="Q243" s="184"/>
      <c r="R243" s="46">
        <v>38000</v>
      </c>
      <c r="S243" s="47">
        <f t="shared" si="74"/>
        <v>46677</v>
      </c>
      <c r="T243" s="48">
        <v>66</v>
      </c>
      <c r="U243" s="49"/>
      <c r="V243" s="50">
        <f t="shared" si="71"/>
        <v>46677</v>
      </c>
      <c r="W243" t="e">
        <f>VLOOKUP(Q243,Q295:Q421,1,0)</f>
        <v>#N/A</v>
      </c>
    </row>
    <row r="244" spans="1:23" ht="14.25" customHeight="1">
      <c r="A244" s="173" t="s">
        <v>17</v>
      </c>
      <c r="B244" s="174">
        <f>M196+K196</f>
        <v>46216</v>
      </c>
      <c r="C244" s="175">
        <f t="shared" si="81"/>
        <v>2026</v>
      </c>
      <c r="D244" s="176">
        <f t="shared" si="90"/>
        <v>46216</v>
      </c>
      <c r="E244" s="258">
        <f>MONTH(B244:B328)</f>
        <v>7</v>
      </c>
      <c r="F244" s="177">
        <f t="shared" ca="1" si="80"/>
        <v>11.142857142857142</v>
      </c>
      <c r="G244" s="177" t="str">
        <f>IFERROR(VLOOKUP(H244,Encerrados!#REF!,3,FALSE),
IFERROR(VLOOKUP(H244,Encerrados!#REF!,3,FALSE),
IFERROR(VLOOKUP(H244,Encerrados!#REF!,3,FALSE),
IFERROR(VLOOKUP(H244,Encerrados!#REF!,3,FALSE),"-"))))</f>
        <v>-</v>
      </c>
      <c r="H244" s="294" t="s">
        <v>402</v>
      </c>
      <c r="I244" s="179"/>
      <c r="J244" s="173" t="s">
        <v>45</v>
      </c>
      <c r="K244" s="173">
        <v>50</v>
      </c>
      <c r="L244" s="12" t="s">
        <v>368</v>
      </c>
      <c r="M244" s="45">
        <f t="shared" si="77"/>
        <v>46363</v>
      </c>
      <c r="N244" s="45">
        <f t="shared" si="75"/>
        <v>46384</v>
      </c>
      <c r="O244" s="23"/>
      <c r="P244" s="23" t="str">
        <f>IFERROR(VLOOKUP(Q244,Encerrados!#REF!,3,FALSE),
IFERROR(VLOOKUP(Q244,Encerrados!#REF!,3,FALSE),
IFERROR(VLOOKUP(Q244,Encerrados!#REF!,3,FALSE),
IFERROR(VLOOKUP(Q244,Encerrados!#REF!,3,FALSE),"-"))))</f>
        <v>-</v>
      </c>
      <c r="Q244" s="184"/>
      <c r="R244" s="46">
        <v>36000</v>
      </c>
      <c r="S244" s="47">
        <f t="shared" si="74"/>
        <v>46677</v>
      </c>
      <c r="T244" s="48">
        <v>66</v>
      </c>
      <c r="U244" s="49"/>
      <c r="V244" s="50">
        <f t="shared" si="71"/>
        <v>46677</v>
      </c>
      <c r="W244" t="e">
        <f>VLOOKUP(Q244,Q296:Q422,1,0)</f>
        <v>#N/A</v>
      </c>
    </row>
    <row r="245" spans="1:23" ht="14.25" customHeight="1">
      <c r="A245" s="173" t="s">
        <v>17</v>
      </c>
      <c r="B245" s="174">
        <f>M199+K199</f>
        <v>46226</v>
      </c>
      <c r="C245" s="175">
        <f t="shared" si="81"/>
        <v>2026</v>
      </c>
      <c r="D245" s="176">
        <f t="shared" si="90"/>
        <v>46226</v>
      </c>
      <c r="E245" s="258">
        <f>MONTH(B245:B328)</f>
        <v>7</v>
      </c>
      <c r="F245" s="177">
        <f t="shared" ca="1" si="80"/>
        <v>9.7142857142857135</v>
      </c>
      <c r="G245" s="177" t="str">
        <f>IFERROR(VLOOKUP(H245,Encerrados!#REF!,3,FALSE),
IFERROR(VLOOKUP(H245,Encerrados!#REF!,3,FALSE),
IFERROR(VLOOKUP(H245,Encerrados!#REF!,3,FALSE),
IFERROR(VLOOKUP(H245,Encerrados!#REF!,3,FALSE),"-"))))</f>
        <v>-</v>
      </c>
      <c r="H245" s="178" t="s">
        <v>144</v>
      </c>
      <c r="I245" s="179">
        <v>60000</v>
      </c>
      <c r="J245" s="173" t="s">
        <v>45</v>
      </c>
      <c r="K245" s="173">
        <v>50</v>
      </c>
      <c r="L245" s="38" t="s">
        <v>376</v>
      </c>
      <c r="M245" s="45">
        <f t="shared" si="77"/>
        <v>46373</v>
      </c>
      <c r="N245" s="45">
        <f t="shared" si="75"/>
        <v>46394</v>
      </c>
      <c r="O245" s="23"/>
      <c r="P245" s="23" t="str">
        <f>IFERROR(VLOOKUP(Q245,Encerrados!#REF!,3,FALSE),
IFERROR(VLOOKUP(Q245,Encerrados!#REF!,3,FALSE),
IFERROR(VLOOKUP(Q245,Encerrados!#REF!,3,FALSE),
IFERROR(VLOOKUP(Q245,Encerrados!#REF!,3,FALSE),"-"))))</f>
        <v>-</v>
      </c>
      <c r="Q245" s="184"/>
      <c r="R245" s="46">
        <f>I245*0.96</f>
        <v>57600</v>
      </c>
      <c r="S245" s="47">
        <f t="shared" si="74"/>
        <v>46687</v>
      </c>
      <c r="T245" s="48">
        <v>66</v>
      </c>
      <c r="U245" s="49"/>
      <c r="V245" s="50">
        <f t="shared" si="71"/>
        <v>46687</v>
      </c>
      <c r="W245" t="e">
        <f>VLOOKUP(Q245,Q297:Q423,1,0)</f>
        <v>#N/A</v>
      </c>
    </row>
    <row r="246" spans="1:23" ht="14.25" customHeight="1">
      <c r="A246" s="173" t="s">
        <v>17</v>
      </c>
      <c r="B246" s="174">
        <f>M193+K193</f>
        <v>46227</v>
      </c>
      <c r="C246" s="175">
        <f>YEAR(B246)</f>
        <v>2026</v>
      </c>
      <c r="D246" s="176">
        <f>B246</f>
        <v>46227</v>
      </c>
      <c r="E246" s="258">
        <f>MONTH(B246:B328)</f>
        <v>7</v>
      </c>
      <c r="F246" s="177">
        <f ca="1">IF((TODAY()-D246)/7&gt;T246,T246,(TODAY()-D246)/7)</f>
        <v>9.5714285714285712</v>
      </c>
      <c r="G246" s="177" t="str">
        <f>IFERROR(VLOOKUP(H246,Encerrados!#REF!,3,FALSE),
IFERROR(VLOOKUP(H246,Encerrados!#REF!,3,FALSE),
IFERROR(VLOOKUP(H246,Encerrados!#REF!,3,FALSE),
IFERROR(VLOOKUP(H246,Encerrados!#REF!,3,FALSE),"-"))))</f>
        <v>-</v>
      </c>
      <c r="H246" s="178" t="s">
        <v>151</v>
      </c>
      <c r="I246" s="179">
        <v>42000</v>
      </c>
      <c r="J246" s="173" t="s">
        <v>60</v>
      </c>
      <c r="K246" s="173">
        <v>25</v>
      </c>
      <c r="L246" s="109" t="s">
        <v>522</v>
      </c>
      <c r="M246" s="45">
        <f>D246+(22*7)-7</f>
        <v>46374</v>
      </c>
      <c r="N246" s="45">
        <f>D246+24*7</f>
        <v>46395</v>
      </c>
      <c r="O246" s="23"/>
      <c r="P246" s="23" t="str">
        <f>IFERROR(VLOOKUP(Q246,Encerrados!#REF!,3,FALSE),
IFERROR(VLOOKUP(Q246,Encerrados!#REF!,3,FALSE),
IFERROR(VLOOKUP(Q246,Encerrados!#REF!,3,FALSE),
IFERROR(VLOOKUP(Q246,Encerrados!#REF!,3,FALSE),"-"))))</f>
        <v>-</v>
      </c>
      <c r="Q246" s="184"/>
      <c r="R246" s="46">
        <f>I246*0.96</f>
        <v>40320</v>
      </c>
      <c r="S246" s="47">
        <f>D246+(T246*7)-1</f>
        <v>46688</v>
      </c>
      <c r="T246" s="48">
        <v>66</v>
      </c>
      <c r="U246" s="49"/>
      <c r="V246" s="50">
        <f>IFERROR(S246+U246," ")</f>
        <v>46688</v>
      </c>
      <c r="W246" t="e">
        <f>VLOOKUP(Q246,Q301:Q427,1,0)</f>
        <v>#N/A</v>
      </c>
    </row>
    <row r="247" spans="1:23" ht="14.25" customHeight="1">
      <c r="A247" s="173" t="s">
        <v>17</v>
      </c>
      <c r="B247" s="174">
        <f>M194+K194</f>
        <v>46234</v>
      </c>
      <c r="C247" s="175">
        <f t="shared" si="81"/>
        <v>2026</v>
      </c>
      <c r="D247" s="176">
        <f t="shared" si="90"/>
        <v>46234</v>
      </c>
      <c r="E247" s="258">
        <f>MONTH(B247:B328)</f>
        <v>7</v>
      </c>
      <c r="F247" s="177">
        <f t="shared" ca="1" si="80"/>
        <v>8.5714285714285712</v>
      </c>
      <c r="G247" s="177" t="str">
        <f>IFERROR(VLOOKUP(H247,Encerrados!#REF!,3,FALSE),
IFERROR(VLOOKUP(H247,Encerrados!#REF!,3,FALSE),
IFERROR(VLOOKUP(H247,Encerrados!#REF!,3,FALSE),
IFERROR(VLOOKUP(H247,Encerrados!#REF!,3,FALSE),"-"))))</f>
        <v>-</v>
      </c>
      <c r="H247" s="294" t="s">
        <v>148</v>
      </c>
      <c r="I247" s="179">
        <v>60000</v>
      </c>
      <c r="J247" s="173" t="s">
        <v>60</v>
      </c>
      <c r="K247" s="173">
        <v>25</v>
      </c>
      <c r="L247" s="12" t="s">
        <v>368</v>
      </c>
      <c r="M247" s="45">
        <f t="shared" si="77"/>
        <v>46381</v>
      </c>
      <c r="N247" s="45">
        <f t="shared" si="75"/>
        <v>46402</v>
      </c>
      <c r="O247" s="23"/>
      <c r="P247" s="23" t="str">
        <f>IFERROR(VLOOKUP(Q247,Encerrados!#REF!,3,FALSE),
IFERROR(VLOOKUP(Q247,Encerrados!#REF!,3,FALSE),
IFERROR(VLOOKUP(Q247,Encerrados!#REF!,3,FALSE),
IFERROR(VLOOKUP(Q247,Encerrados!#REF!,3,FALSE),"-"))))</f>
        <v>-</v>
      </c>
      <c r="Q247" s="184"/>
      <c r="R247" s="46">
        <v>24000</v>
      </c>
      <c r="S247" s="47">
        <f t="shared" si="74"/>
        <v>46695</v>
      </c>
      <c r="T247" s="48">
        <v>66</v>
      </c>
      <c r="U247" s="49"/>
      <c r="V247" s="50">
        <f t="shared" si="71"/>
        <v>46695</v>
      </c>
      <c r="W247" t="e">
        <f>VLOOKUP(Q247,Q298:Q424,1,0)</f>
        <v>#N/A</v>
      </c>
    </row>
    <row r="248" spans="1:23" ht="14.25" customHeight="1">
      <c r="A248" s="173" t="s">
        <v>17</v>
      </c>
      <c r="B248" s="174">
        <f>M194+K194</f>
        <v>46234</v>
      </c>
      <c r="C248" s="175">
        <f t="shared" si="81"/>
        <v>2026</v>
      </c>
      <c r="D248" s="176">
        <f t="shared" si="90"/>
        <v>46234</v>
      </c>
      <c r="E248" s="258">
        <f>MONTH(B248:B328)</f>
        <v>7</v>
      </c>
      <c r="F248" s="177">
        <f t="shared" ca="1" si="80"/>
        <v>8.5714285714285712</v>
      </c>
      <c r="G248" s="177" t="str">
        <f>IFERROR(VLOOKUP(H248,Encerrados!#REF!,3,FALSE),
IFERROR(VLOOKUP(H248,Encerrados!#REF!,3,FALSE),
IFERROR(VLOOKUP(H248,Encerrados!#REF!,3,FALSE),
IFERROR(VLOOKUP(H248,Encerrados!#REF!,3,FALSE),"-"))))</f>
        <v>-</v>
      </c>
      <c r="H248" s="294" t="s">
        <v>148</v>
      </c>
      <c r="I248" s="179"/>
      <c r="J248" s="173" t="s">
        <v>60</v>
      </c>
      <c r="K248" s="173">
        <v>25</v>
      </c>
      <c r="L248" s="12" t="s">
        <v>368</v>
      </c>
      <c r="M248" s="45">
        <f t="shared" si="77"/>
        <v>46381</v>
      </c>
      <c r="N248" s="45">
        <f t="shared" si="75"/>
        <v>46402</v>
      </c>
      <c r="O248" s="23"/>
      <c r="P248" s="23" t="str">
        <f>IFERROR(VLOOKUP(Q248,Encerrados!#REF!,3,FALSE),
IFERROR(VLOOKUP(Q248,Encerrados!#REF!,3,FALSE),
IFERROR(VLOOKUP(Q248,Encerrados!#REF!,3,FALSE),
IFERROR(VLOOKUP(Q248,Encerrados!#REF!,3,FALSE),"-"))))</f>
        <v>-</v>
      </c>
      <c r="Q248" s="184"/>
      <c r="R248" s="46">
        <v>38000</v>
      </c>
      <c r="S248" s="47">
        <f t="shared" si="74"/>
        <v>46695</v>
      </c>
      <c r="T248" s="48">
        <v>66</v>
      </c>
      <c r="U248" s="49"/>
      <c r="V248" s="50">
        <f t="shared" ref="V248:V281" si="91">IFERROR(S248+U248," ")</f>
        <v>46695</v>
      </c>
      <c r="W248" t="e">
        <f>VLOOKUP(Q248,Q299:Q425,1,0)</f>
        <v>#N/A</v>
      </c>
    </row>
    <row r="249" spans="1:23" ht="14.25" customHeight="1">
      <c r="A249" s="285" t="s">
        <v>17</v>
      </c>
      <c r="B249" s="293">
        <f>M195+K195</f>
        <v>46234</v>
      </c>
      <c r="C249" s="287">
        <f t="shared" si="81"/>
        <v>2026</v>
      </c>
      <c r="D249" s="288">
        <f t="shared" si="90"/>
        <v>46234</v>
      </c>
      <c r="E249" s="316">
        <v>153533</v>
      </c>
      <c r="F249" s="290">
        <f t="shared" ca="1" si="80"/>
        <v>8.5714285714285712</v>
      </c>
      <c r="G249" s="290" t="str">
        <f>IFERROR(VLOOKUP(H249,Encerrados!#REF!,3,FALSE),
IFERROR(VLOOKUP(H249,Encerrados!#REF!,3,FALSE),
IFERROR(VLOOKUP(H249,Encerrados!#REF!,3,FALSE),
IFERROR(VLOOKUP(H249,Encerrados!#REF!,3,FALSE),"-"))))</f>
        <v>-</v>
      </c>
      <c r="H249" s="292" t="s">
        <v>157</v>
      </c>
      <c r="I249" s="291">
        <v>38000</v>
      </c>
      <c r="J249" s="285" t="s">
        <v>60</v>
      </c>
      <c r="K249" s="285">
        <v>28</v>
      </c>
      <c r="L249" s="11" t="s">
        <v>365</v>
      </c>
      <c r="M249" s="45">
        <f t="shared" si="77"/>
        <v>46381</v>
      </c>
      <c r="N249" s="45">
        <f t="shared" si="75"/>
        <v>46402</v>
      </c>
      <c r="O249" s="23"/>
      <c r="P249" s="23" t="str">
        <f>IFERROR(VLOOKUP(Q249,Encerrados!#REF!,3,FALSE),
IFERROR(VLOOKUP(Q249,Encerrados!#REF!,3,FALSE),
IFERROR(VLOOKUP(Q249,Encerrados!#REF!,3,FALSE),
IFERROR(VLOOKUP(Q249,Encerrados!#REF!,3,FALSE),"-"))))</f>
        <v>-</v>
      </c>
      <c r="Q249" s="184"/>
      <c r="R249" s="46">
        <f>I249*0.96</f>
        <v>36480</v>
      </c>
      <c r="S249" s="47">
        <f t="shared" si="74"/>
        <v>46695</v>
      </c>
      <c r="T249" s="48">
        <v>66</v>
      </c>
      <c r="U249" s="49"/>
      <c r="V249" s="50">
        <f t="shared" si="91"/>
        <v>46695</v>
      </c>
      <c r="W249" t="e">
        <f>VLOOKUP(Q249,Q300:Q426,1,0)</f>
        <v>#N/A</v>
      </c>
    </row>
    <row r="250" spans="1:23" ht="14.25" customHeight="1">
      <c r="A250" s="285" t="s">
        <v>17</v>
      </c>
      <c r="B250" s="293">
        <f>M200+K200</f>
        <v>46246</v>
      </c>
      <c r="C250" s="287">
        <f t="shared" si="81"/>
        <v>2026</v>
      </c>
      <c r="D250" s="288">
        <f t="shared" ref="D250:D258" si="92">B250</f>
        <v>46246</v>
      </c>
      <c r="E250" s="316">
        <v>153534</v>
      </c>
      <c r="F250" s="290">
        <f t="shared" ref="F250:F258" ca="1" si="93">IF((TODAY()-D250)/7&gt;T250,T250,(TODAY()-D250)/7)</f>
        <v>6.8571428571428568</v>
      </c>
      <c r="G250" s="290" t="str">
        <f>IFERROR(VLOOKUP(H250,Encerrados!#REF!,3,FALSE),
IFERROR(VLOOKUP(H250,Encerrados!#REF!,3,FALSE),
IFERROR(VLOOKUP(H250,Encerrados!#REF!,3,FALSE),
IFERROR(VLOOKUP(H250,Encerrados!#REF!,3,FALSE),"-"))))</f>
        <v>-</v>
      </c>
      <c r="H250" s="292" t="s">
        <v>417</v>
      </c>
      <c r="I250" s="291">
        <v>60000</v>
      </c>
      <c r="J250" s="285" t="s">
        <v>45</v>
      </c>
      <c r="K250" s="285">
        <v>50</v>
      </c>
      <c r="L250" s="11" t="s">
        <v>365</v>
      </c>
      <c r="M250" s="45">
        <f t="shared" ref="M250:M258" si="94">D250+(22*7)-7</f>
        <v>46393</v>
      </c>
      <c r="N250" s="45">
        <f t="shared" si="75"/>
        <v>46414</v>
      </c>
      <c r="O250" s="23"/>
      <c r="P250" s="23" t="str">
        <f>IFERROR(VLOOKUP(Q250,Encerrados!#REF!,3,FALSE),
IFERROR(VLOOKUP(Q250,Encerrados!#REF!,3,FALSE),
IFERROR(VLOOKUP(Q250,Encerrados!#REF!,3,FALSE),
IFERROR(VLOOKUP(Q250,Encerrados!#REF!,3,FALSE),"-"))))</f>
        <v>-</v>
      </c>
      <c r="Q250" s="184"/>
      <c r="R250" s="46">
        <v>40000</v>
      </c>
      <c r="S250" s="47">
        <f t="shared" si="74"/>
        <v>46707</v>
      </c>
      <c r="T250" s="48">
        <v>66</v>
      </c>
      <c r="U250" s="49"/>
      <c r="V250" s="50">
        <f t="shared" si="91"/>
        <v>46707</v>
      </c>
      <c r="W250" t="e">
        <f>VLOOKUP(Q250,Q302:Q428,1,0)</f>
        <v>#N/A</v>
      </c>
    </row>
    <row r="251" spans="1:23" ht="14.25" customHeight="1">
      <c r="A251" s="285" t="s">
        <v>17</v>
      </c>
      <c r="B251" s="293">
        <f>M200+K200</f>
        <v>46246</v>
      </c>
      <c r="C251" s="287">
        <f t="shared" si="81"/>
        <v>2026</v>
      </c>
      <c r="D251" s="288">
        <f t="shared" si="92"/>
        <v>46246</v>
      </c>
      <c r="E251" s="316">
        <v>153534</v>
      </c>
      <c r="F251" s="290">
        <f t="shared" ca="1" si="93"/>
        <v>6.8571428571428568</v>
      </c>
      <c r="G251" s="290" t="str">
        <f>IFERROR(VLOOKUP(H251,Encerrados!#REF!,3,FALSE),
IFERROR(VLOOKUP(H251,Encerrados!#REF!,3,FALSE),
IFERROR(VLOOKUP(H251,Encerrados!#REF!,3,FALSE),
IFERROR(VLOOKUP(H251,Encerrados!#REF!,3,FALSE),"-"))))</f>
        <v>-</v>
      </c>
      <c r="H251" s="292" t="s">
        <v>417</v>
      </c>
      <c r="I251" s="291"/>
      <c r="J251" s="285" t="s">
        <v>45</v>
      </c>
      <c r="K251" s="285">
        <v>50</v>
      </c>
      <c r="L251" s="11" t="s">
        <v>365</v>
      </c>
      <c r="M251" s="21">
        <f t="shared" si="94"/>
        <v>46393</v>
      </c>
      <c r="N251" s="21">
        <f t="shared" si="75"/>
        <v>46414</v>
      </c>
      <c r="O251" s="20"/>
      <c r="P251" s="20" t="str">
        <f>IFERROR(VLOOKUP(Q251,Encerrados!#REF!,3,FALSE),
IFERROR(VLOOKUP(Q251,Encerrados!#REF!,3,FALSE),
IFERROR(VLOOKUP(Q251,Encerrados!#REF!,3,FALSE),
IFERROR(VLOOKUP(Q251,Encerrados!#REF!,3,FALSE),"-"))))</f>
        <v>-</v>
      </c>
      <c r="Q251" s="158"/>
      <c r="R251" s="268" t="s">
        <v>523</v>
      </c>
      <c r="S251" s="159">
        <f t="shared" si="74"/>
        <v>46707</v>
      </c>
      <c r="T251" s="160">
        <v>66</v>
      </c>
      <c r="U251" s="59"/>
      <c r="V251" s="60">
        <f t="shared" si="91"/>
        <v>46707</v>
      </c>
      <c r="W251" t="e">
        <f>VLOOKUP(Q251,Q303:Q429,1,0)</f>
        <v>#N/A</v>
      </c>
    </row>
    <row r="252" spans="1:23" ht="14.25" customHeight="1">
      <c r="A252" s="173" t="s">
        <v>17</v>
      </c>
      <c r="B252" s="174">
        <f>M201+K201</f>
        <v>46249</v>
      </c>
      <c r="C252" s="175">
        <f t="shared" ref="C252:C258" si="95">YEAR(B252)</f>
        <v>2026</v>
      </c>
      <c r="D252" s="176">
        <f t="shared" si="92"/>
        <v>46249</v>
      </c>
      <c r="E252" s="258">
        <f>MONTH(B252:B328)</f>
        <v>8</v>
      </c>
      <c r="F252" s="177">
        <f t="shared" ca="1" si="93"/>
        <v>6.4285714285714288</v>
      </c>
      <c r="G252" s="177" t="str">
        <f>IFERROR(VLOOKUP(H252,Encerrados!#REF!,3,FALSE),
IFERROR(VLOOKUP(H252,Encerrados!#REF!,3,FALSE),
IFERROR(VLOOKUP(H252,Encerrados!#REF!,3,FALSE),
IFERROR(VLOOKUP(H252,Encerrados!#REF!,3,FALSE),"-"))))</f>
        <v>-</v>
      </c>
      <c r="H252" s="294" t="s">
        <v>429</v>
      </c>
      <c r="I252" s="179">
        <v>60000</v>
      </c>
      <c r="J252" s="173" t="s">
        <v>45</v>
      </c>
      <c r="K252" s="173">
        <v>50</v>
      </c>
      <c r="L252" s="12" t="s">
        <v>368</v>
      </c>
      <c r="M252" s="45">
        <f t="shared" si="94"/>
        <v>46396</v>
      </c>
      <c r="N252" s="45">
        <f t="shared" ref="N252:N258" si="96">D252+24*7</f>
        <v>46417</v>
      </c>
      <c r="O252" s="23"/>
      <c r="P252" s="23" t="str">
        <f>IFERROR(VLOOKUP(Q252,Encerrados!#REF!,3,FALSE),
IFERROR(VLOOKUP(Q252,Encerrados!#REF!,3,FALSE),
IFERROR(VLOOKUP(Q252,Encerrados!#REF!,3,FALSE),
IFERROR(VLOOKUP(Q252,Encerrados!#REF!,3,FALSE),"-"))))</f>
        <v>-</v>
      </c>
      <c r="Q252" s="184"/>
      <c r="R252" s="46">
        <f>I252*0.96</f>
        <v>57600</v>
      </c>
      <c r="S252" s="47">
        <f t="shared" ref="S252:S258" si="97">D252+(T252*7)-1</f>
        <v>46710</v>
      </c>
      <c r="T252" s="48">
        <v>66</v>
      </c>
      <c r="U252" s="49"/>
      <c r="V252" s="50">
        <f>IFERROR(S252+U252," ")</f>
        <v>46710</v>
      </c>
      <c r="W252" t="e">
        <f>VLOOKUP(Q252,Q305:Q431,1,0)</f>
        <v>#N/A</v>
      </c>
    </row>
    <row r="253" spans="1:23" ht="14.25" customHeight="1">
      <c r="A253" s="119" t="s">
        <v>17</v>
      </c>
      <c r="B253" s="120">
        <v>46259</v>
      </c>
      <c r="C253" s="121">
        <f t="shared" si="95"/>
        <v>2026</v>
      </c>
      <c r="D253" s="122">
        <f t="shared" si="92"/>
        <v>46259</v>
      </c>
      <c r="E253" s="257">
        <v>153535</v>
      </c>
      <c r="F253" s="123">
        <f t="shared" ca="1" si="93"/>
        <v>5</v>
      </c>
      <c r="G253" s="123" t="str">
        <f>IFERROR(VLOOKUP(H253,Encerrados!#REF!,3,FALSE),
IFERROR(VLOOKUP(H253,Encerrados!#REF!,3,FALSE),
IFERROR(VLOOKUP(H253,Encerrados!#REF!,3,FALSE),
IFERROR(VLOOKUP(H253,Encerrados!#REF!,3,FALSE),"-"))))</f>
        <v>-</v>
      </c>
      <c r="H253" s="124" t="s">
        <v>252</v>
      </c>
      <c r="I253" s="125">
        <v>60000</v>
      </c>
      <c r="J253" s="119" t="s">
        <v>60</v>
      </c>
      <c r="K253" s="119">
        <v>25</v>
      </c>
      <c r="L253" s="11" t="s">
        <v>365</v>
      </c>
      <c r="M253" s="126">
        <f t="shared" si="94"/>
        <v>46406</v>
      </c>
      <c r="N253" s="126">
        <f t="shared" si="96"/>
        <v>46427</v>
      </c>
      <c r="O253" s="121"/>
      <c r="P253" s="121" t="str">
        <f>IFERROR(VLOOKUP(Q253,Encerrados!#REF!,3,FALSE),
IFERROR(VLOOKUP(Q253,Encerrados!#REF!,3,FALSE),
IFERROR(VLOOKUP(Q253,Encerrados!#REF!,3,FALSE),
IFERROR(VLOOKUP(Q253,Encerrados!#REF!,3,FALSE),"-"))))</f>
        <v>-</v>
      </c>
      <c r="Q253" s="248" t="s">
        <v>253</v>
      </c>
      <c r="R253" s="127">
        <f>I253*0.96</f>
        <v>57600</v>
      </c>
      <c r="S253" s="128">
        <f t="shared" si="97"/>
        <v>46720</v>
      </c>
      <c r="T253" s="129">
        <v>66</v>
      </c>
      <c r="U253" s="130"/>
      <c r="V253" s="131">
        <f>IFERROR(S253+U253," ")</f>
        <v>46720</v>
      </c>
      <c r="W253" t="e">
        <f>VLOOKUP(Q253,Q307:Q433,1,0)</f>
        <v>#N/A</v>
      </c>
    </row>
    <row r="254" spans="1:23" ht="14.25" customHeight="1">
      <c r="A254" s="119" t="s">
        <v>17</v>
      </c>
      <c r="B254" s="120">
        <f>M204+K204</f>
        <v>46263</v>
      </c>
      <c r="C254" s="121">
        <f t="shared" si="95"/>
        <v>2026</v>
      </c>
      <c r="D254" s="122">
        <f t="shared" si="92"/>
        <v>46263</v>
      </c>
      <c r="E254" s="257">
        <v>153532</v>
      </c>
      <c r="F254" s="123">
        <f t="shared" ca="1" si="93"/>
        <v>4.4285714285714288</v>
      </c>
      <c r="G254" s="123" t="str">
        <f>IFERROR(VLOOKUP(H254,Encerrados!#REF!,3,FALSE),
IFERROR(VLOOKUP(H254,Encerrados!#REF!,3,FALSE),
IFERROR(VLOOKUP(H254,Encerrados!#REF!,3,FALSE),
IFERROR(VLOOKUP(H254,Encerrados!#REF!,3,FALSE),"-"))))</f>
        <v>-</v>
      </c>
      <c r="H254" s="124" t="s">
        <v>241</v>
      </c>
      <c r="I254" s="125">
        <v>84000</v>
      </c>
      <c r="J254" s="119" t="s">
        <v>45</v>
      </c>
      <c r="K254" s="119">
        <v>50</v>
      </c>
      <c r="L254" s="11" t="s">
        <v>365</v>
      </c>
      <c r="M254" s="45">
        <f t="shared" si="94"/>
        <v>46410</v>
      </c>
      <c r="N254" s="45">
        <f t="shared" si="96"/>
        <v>46431</v>
      </c>
      <c r="O254" s="23"/>
      <c r="P254" s="23" t="str">
        <f>IFERROR(VLOOKUP(Q254,Encerrados!#REF!,3,FALSE),
IFERROR(VLOOKUP(Q254,Encerrados!#REF!,3,FALSE),
IFERROR(VLOOKUP(Q254,Encerrados!#REF!,3,FALSE),
IFERROR(VLOOKUP(Q254,Encerrados!#REF!,3,FALSE),"-"))))</f>
        <v>-</v>
      </c>
      <c r="Q254" s="184"/>
      <c r="R254" s="46">
        <v>40000</v>
      </c>
      <c r="S254" s="47">
        <f t="shared" si="97"/>
        <v>46724</v>
      </c>
      <c r="T254" s="48">
        <v>66</v>
      </c>
      <c r="U254" s="49"/>
      <c r="V254" s="50">
        <f>IFERROR(S254+U254," ")</f>
        <v>46724</v>
      </c>
      <c r="W254" t="e">
        <f>VLOOKUP(Q254,Q292:Q418,1,0)</f>
        <v>#N/A</v>
      </c>
    </row>
    <row r="255" spans="1:23" ht="14.25" customHeight="1">
      <c r="A255" s="119" t="s">
        <v>17</v>
      </c>
      <c r="B255" s="120">
        <f>M204+K204</f>
        <v>46263</v>
      </c>
      <c r="C255" s="121">
        <f t="shared" si="95"/>
        <v>2026</v>
      </c>
      <c r="D255" s="122">
        <f t="shared" si="92"/>
        <v>46263</v>
      </c>
      <c r="E255" s="257">
        <v>153532</v>
      </c>
      <c r="F255" s="123">
        <f t="shared" ca="1" si="93"/>
        <v>4.4285714285714288</v>
      </c>
      <c r="G255" s="123" t="str">
        <f>IFERROR(VLOOKUP(H255,Encerrados!#REF!,3,FALSE),
IFERROR(VLOOKUP(H255,Encerrados!#REF!,3,FALSE),
IFERROR(VLOOKUP(H255,Encerrados!#REF!,3,FALSE),
IFERROR(VLOOKUP(H255,Encerrados!#REF!,3,FALSE),"-"))))</f>
        <v>-</v>
      </c>
      <c r="H255" s="124" t="s">
        <v>241</v>
      </c>
      <c r="I255" s="125"/>
      <c r="J255" s="119" t="s">
        <v>45</v>
      </c>
      <c r="K255" s="119">
        <v>50</v>
      </c>
      <c r="L255" s="11" t="s">
        <v>365</v>
      </c>
      <c r="M255" s="45">
        <f t="shared" si="94"/>
        <v>46410</v>
      </c>
      <c r="N255" s="45">
        <f t="shared" si="96"/>
        <v>46431</v>
      </c>
      <c r="O255" s="23"/>
      <c r="P255" s="23" t="str">
        <f>IFERROR(VLOOKUP(Q255,Encerrados!#REF!,3,FALSE),
IFERROR(VLOOKUP(Q255,Encerrados!#REF!,3,FALSE),
IFERROR(VLOOKUP(Q255,Encerrados!#REF!,3,FALSE),
IFERROR(VLOOKUP(Q255,Encerrados!#REF!,3,FALSE),"-"))))</f>
        <v>-</v>
      </c>
      <c r="Q255" s="184"/>
      <c r="R255" s="46">
        <v>40000</v>
      </c>
      <c r="S255" s="47">
        <f t="shared" si="97"/>
        <v>46724</v>
      </c>
      <c r="T255" s="48">
        <v>66</v>
      </c>
      <c r="U255" s="49"/>
      <c r="V255" s="50">
        <f>IFERROR(S255+U255," ")</f>
        <v>46724</v>
      </c>
      <c r="W255" t="e">
        <f>VLOOKUP(Q255,Q293:Q419,1,0)</f>
        <v>#N/A</v>
      </c>
    </row>
    <row r="256" spans="1:23" ht="14.25" customHeight="1">
      <c r="A256" s="173" t="s">
        <v>17</v>
      </c>
      <c r="B256" s="174">
        <f>M205+K205</f>
        <v>46266</v>
      </c>
      <c r="C256" s="175">
        <f t="shared" si="95"/>
        <v>2026</v>
      </c>
      <c r="D256" s="176">
        <f t="shared" si="92"/>
        <v>46266</v>
      </c>
      <c r="E256" s="258">
        <f>MONTH(B256:B328)</f>
        <v>9</v>
      </c>
      <c r="F256" s="177">
        <f t="shared" ca="1" si="93"/>
        <v>4</v>
      </c>
      <c r="G256" s="177" t="str">
        <f>IFERROR(VLOOKUP(H256,Encerrados!#REF!,3,FALSE),
IFERROR(VLOOKUP(H256,Encerrados!#REF!,3,FALSE),
IFERROR(VLOOKUP(H256,Encerrados!#REF!,3,FALSE),
IFERROR(VLOOKUP(H256,Encerrados!#REF!,3,FALSE),"-"))))</f>
        <v>-</v>
      </c>
      <c r="H256" s="178" t="s">
        <v>303</v>
      </c>
      <c r="I256" s="179">
        <v>43000</v>
      </c>
      <c r="J256" s="173" t="s">
        <v>60</v>
      </c>
      <c r="K256" s="173">
        <v>25</v>
      </c>
      <c r="L256" s="13" t="s">
        <v>472</v>
      </c>
      <c r="M256" s="45">
        <f t="shared" si="94"/>
        <v>46413</v>
      </c>
      <c r="N256" s="45">
        <f t="shared" si="96"/>
        <v>46434</v>
      </c>
      <c r="O256" s="23"/>
      <c r="P256" s="23" t="str">
        <f>IFERROR(VLOOKUP(Q256,Encerrados!#REF!,3,FALSE),
IFERROR(VLOOKUP(Q256,Encerrados!#REF!,3,FALSE),
IFERROR(VLOOKUP(Q256,Encerrados!#REF!,3,FALSE),
IFERROR(VLOOKUP(Q256,Encerrados!#REF!,3,FALSE),"-"))))</f>
        <v>-</v>
      </c>
      <c r="Q256" s="184"/>
      <c r="R256" s="46">
        <f>I256*0.96</f>
        <v>41280</v>
      </c>
      <c r="S256" s="47">
        <f t="shared" si="97"/>
        <v>46727</v>
      </c>
      <c r="T256" s="48">
        <v>66</v>
      </c>
      <c r="U256" s="49"/>
      <c r="V256" s="50">
        <f t="shared" si="91"/>
        <v>46727</v>
      </c>
      <c r="W256" t="e">
        <f>VLOOKUP(Q256,Q309:Q435,1,0)</f>
        <v>#N/A</v>
      </c>
    </row>
    <row r="257" spans="1:23" ht="14.25" customHeight="1">
      <c r="A257" s="173" t="s">
        <v>17</v>
      </c>
      <c r="B257" s="174">
        <f>M202+K202</f>
        <v>46260</v>
      </c>
      <c r="C257" s="175">
        <f t="shared" si="95"/>
        <v>2026</v>
      </c>
      <c r="D257" s="176">
        <f t="shared" si="92"/>
        <v>46260</v>
      </c>
      <c r="E257" s="258">
        <f>MONTH(B252:B328)</f>
        <v>8</v>
      </c>
      <c r="F257" s="177">
        <f t="shared" ca="1" si="93"/>
        <v>4.8571428571428568</v>
      </c>
      <c r="G257" s="177" t="str">
        <f>IFERROR(VLOOKUP(H257,Encerrados!#REF!,3,FALSE),
IFERROR(VLOOKUP(H257,Encerrados!#REF!,3,FALSE),
IFERROR(VLOOKUP(H257,Encerrados!#REF!,3,FALSE),
IFERROR(VLOOKUP(H257,Encerrados!#REF!,3,FALSE),"-"))))</f>
        <v>-</v>
      </c>
      <c r="H257" s="294" t="s">
        <v>19</v>
      </c>
      <c r="I257" s="179">
        <v>84000</v>
      </c>
      <c r="J257" s="173" t="s">
        <v>45</v>
      </c>
      <c r="K257" s="173">
        <v>50</v>
      </c>
      <c r="L257" s="12" t="s">
        <v>368</v>
      </c>
      <c r="M257" s="45">
        <f t="shared" si="94"/>
        <v>46407</v>
      </c>
      <c r="N257" s="45">
        <f t="shared" si="96"/>
        <v>46428</v>
      </c>
      <c r="O257" s="23"/>
      <c r="P257" s="23" t="str">
        <f>IFERROR(VLOOKUP(Q257,Encerrados!#REF!,3,FALSE),
IFERROR(VLOOKUP(Q257,Encerrados!#REF!,3,FALSE),
IFERROR(VLOOKUP(Q257,Encerrados!#REF!,3,FALSE),
IFERROR(VLOOKUP(Q257,Encerrados!#REF!,3,FALSE),"-"))))</f>
        <v>-</v>
      </c>
      <c r="Q257" s="184"/>
      <c r="R257" s="46">
        <f>I257*0.96</f>
        <v>80640</v>
      </c>
      <c r="S257" s="47">
        <f t="shared" si="97"/>
        <v>46721</v>
      </c>
      <c r="T257" s="48">
        <v>66</v>
      </c>
      <c r="U257" s="49"/>
      <c r="V257" s="50">
        <f>IFERROR(S257+U257," ")</f>
        <v>46721</v>
      </c>
      <c r="W257" t="e">
        <f>VLOOKUP(Q257,Q304:Q430,1,0)</f>
        <v>#N/A</v>
      </c>
    </row>
    <row r="258" spans="1:23" ht="14.1" customHeight="1">
      <c r="A258" s="173" t="s">
        <v>17</v>
      </c>
      <c r="B258" s="174">
        <f>M209+K209</f>
        <v>46272</v>
      </c>
      <c r="C258" s="175">
        <f t="shared" si="95"/>
        <v>2026</v>
      </c>
      <c r="D258" s="176">
        <f t="shared" si="92"/>
        <v>46272</v>
      </c>
      <c r="E258" s="258">
        <f>MONTH(B256:B328)</f>
        <v>9</v>
      </c>
      <c r="F258" s="177">
        <f t="shared" ca="1" si="93"/>
        <v>3.1428571428571428</v>
      </c>
      <c r="G258" s="177" t="str">
        <f>IFERROR(VLOOKUP(H258,Encerrados!#REF!,3,FALSE),
IFERROR(VLOOKUP(H258,Encerrados!#REF!,3,FALSE),
IFERROR(VLOOKUP(H258,Encerrados!#REF!,3,FALSE),
IFERROR(VLOOKUP(H258,Encerrados!#REF!,3,FALSE),"-"))))</f>
        <v>-</v>
      </c>
      <c r="H258" s="294" t="s">
        <v>47</v>
      </c>
      <c r="I258" s="199">
        <v>60000</v>
      </c>
      <c r="J258" s="173" t="s">
        <v>45</v>
      </c>
      <c r="K258" s="173">
        <v>50</v>
      </c>
      <c r="L258" s="12" t="s">
        <v>368</v>
      </c>
      <c r="M258" s="45">
        <f t="shared" si="94"/>
        <v>46419</v>
      </c>
      <c r="N258" s="45">
        <f t="shared" si="96"/>
        <v>46440</v>
      </c>
      <c r="O258" s="23"/>
      <c r="P258" s="23" t="str">
        <f>IFERROR(VLOOKUP(Q258,Encerrados!#REF!,3,FALSE),
IFERROR(VLOOKUP(Q258,Encerrados!#REF!,3,FALSE),
IFERROR(VLOOKUP(Q258,Encerrados!#REF!,3,FALSE),
IFERROR(VLOOKUP(Q258,Encerrados!#REF!,3,FALSE),"-"))))</f>
        <v>-</v>
      </c>
      <c r="Q258" s="184"/>
      <c r="R258" s="46">
        <f>I258*0.96</f>
        <v>57600</v>
      </c>
      <c r="S258" s="47">
        <f t="shared" si="97"/>
        <v>46733</v>
      </c>
      <c r="T258" s="48">
        <v>66</v>
      </c>
      <c r="U258" s="49"/>
      <c r="V258" s="50">
        <f>IFERROR(S258+U258," ")</f>
        <v>46733</v>
      </c>
      <c r="W258" t="e">
        <f>VLOOKUP(Q258,Q308:Q434,1,0)</f>
        <v>#N/A</v>
      </c>
    </row>
    <row r="259" spans="1:23" ht="14.25" customHeight="1">
      <c r="A259" s="285" t="s">
        <v>17</v>
      </c>
      <c r="B259" s="293">
        <f>M207+K207</f>
        <v>46271</v>
      </c>
      <c r="C259" s="287">
        <f t="shared" si="81"/>
        <v>2026</v>
      </c>
      <c r="D259" s="288">
        <f t="shared" si="90"/>
        <v>46271</v>
      </c>
      <c r="E259" s="316">
        <v>153537</v>
      </c>
      <c r="F259" s="290">
        <f t="shared" ca="1" si="80"/>
        <v>3.2857142857142856</v>
      </c>
      <c r="G259" s="290" t="str">
        <f>IFERROR(VLOOKUP(H259,Encerrados!#REF!,3,FALSE),
IFERROR(VLOOKUP(H259,Encerrados!#REF!,3,FALSE),
IFERROR(VLOOKUP(H259,Encerrados!#REF!,3,FALSE),
IFERROR(VLOOKUP(H259,Encerrados!#REF!,3,FALSE),"-"))))</f>
        <v>-</v>
      </c>
      <c r="H259" s="292" t="s">
        <v>36</v>
      </c>
      <c r="I259" s="291">
        <v>60000</v>
      </c>
      <c r="J259" s="285" t="s">
        <v>45</v>
      </c>
      <c r="K259" s="285">
        <v>50</v>
      </c>
      <c r="L259" s="11" t="s">
        <v>365</v>
      </c>
      <c r="M259" s="45">
        <f t="shared" si="77"/>
        <v>46418</v>
      </c>
      <c r="N259" s="45">
        <f t="shared" si="75"/>
        <v>46439</v>
      </c>
      <c r="O259" s="23"/>
      <c r="P259" s="23" t="str">
        <f>IFERROR(VLOOKUP(Q259,Encerrados!#REF!,3,FALSE),
IFERROR(VLOOKUP(Q259,Encerrados!#REF!,3,FALSE),
IFERROR(VLOOKUP(Q259,Encerrados!#REF!,3,FALSE),
IFERROR(VLOOKUP(Q259,Encerrados!#REF!,3,FALSE),"-"))))</f>
        <v>-</v>
      </c>
      <c r="Q259" s="184"/>
      <c r="R259" s="46">
        <f t="shared" ref="R259:R290" si="98">I259*0.96</f>
        <v>57600</v>
      </c>
      <c r="S259" s="47">
        <f t="shared" ref="S259:S290" si="99">D259+(T259*7)-1</f>
        <v>46732</v>
      </c>
      <c r="T259" s="48">
        <v>66</v>
      </c>
      <c r="U259" s="49"/>
      <c r="V259" s="50">
        <f t="shared" si="91"/>
        <v>46732</v>
      </c>
      <c r="W259" t="e">
        <f>VLOOKUP(Q259,Q311:Q437,1,0)</f>
        <v>#N/A</v>
      </c>
    </row>
    <row r="260" spans="1:23" ht="14.25" customHeight="1">
      <c r="A260" s="173" t="s">
        <v>17</v>
      </c>
      <c r="B260" s="174">
        <f>M210+K210</f>
        <v>46276</v>
      </c>
      <c r="C260" s="175">
        <f>YEAR(B260)</f>
        <v>2026</v>
      </c>
      <c r="D260" s="176">
        <f>B260</f>
        <v>46276</v>
      </c>
      <c r="E260" s="258">
        <f>MONTH(B259:B328)</f>
        <v>9</v>
      </c>
      <c r="F260" s="177">
        <f ca="1">IF((TODAY()-D260)/7&gt;T260,T260,(TODAY()-D260)/7)</f>
        <v>2.5714285714285716</v>
      </c>
      <c r="G260" s="177" t="str">
        <f>IFERROR(VLOOKUP(H260,Encerrados!#REF!,3,FALSE),
IFERROR(VLOOKUP(H260,Encerrados!#REF!,3,FALSE),
IFERROR(VLOOKUP(H260,Encerrados!#REF!,3,FALSE),
IFERROR(VLOOKUP(H260,Encerrados!#REF!,3,FALSE),"-"))))</f>
        <v>-</v>
      </c>
      <c r="H260" s="294" t="s">
        <v>52</v>
      </c>
      <c r="I260" s="199">
        <v>30000</v>
      </c>
      <c r="J260" s="173" t="s">
        <v>45</v>
      </c>
      <c r="K260" s="173">
        <v>50</v>
      </c>
      <c r="L260" s="12" t="s">
        <v>368</v>
      </c>
      <c r="M260" s="45">
        <f>D260+(22*7)-7</f>
        <v>46423</v>
      </c>
      <c r="N260" s="45">
        <f>D260+24*7</f>
        <v>46444</v>
      </c>
      <c r="O260" s="23"/>
      <c r="P260" s="23" t="str">
        <f>IFERROR(VLOOKUP(Q260,Encerrados!#REF!,3,FALSE),
IFERROR(VLOOKUP(Q260,Encerrados!#REF!,3,FALSE),
IFERROR(VLOOKUP(Q260,Encerrados!#REF!,3,FALSE),
IFERROR(VLOOKUP(Q260,Encerrados!#REF!,3,FALSE),"-"))))</f>
        <v>-</v>
      </c>
      <c r="Q260" s="184"/>
      <c r="R260" s="46">
        <f>I260*0.96</f>
        <v>28800</v>
      </c>
      <c r="S260" s="47">
        <f>D260+(T260*7)-1</f>
        <v>46737</v>
      </c>
      <c r="T260" s="48">
        <v>66</v>
      </c>
      <c r="U260" s="49"/>
      <c r="V260" s="50">
        <f>IFERROR(S260+U260," ")</f>
        <v>46737</v>
      </c>
      <c r="W260" t="e">
        <f>VLOOKUP(Q260,Q310:Q436,1,0)</f>
        <v>#N/A</v>
      </c>
    </row>
    <row r="261" spans="1:23" ht="14.25" customHeight="1">
      <c r="A261" s="285" t="s">
        <v>17</v>
      </c>
      <c r="B261" s="293">
        <f>M208+K208</f>
        <v>46294</v>
      </c>
      <c r="C261" s="287">
        <f t="shared" si="81"/>
        <v>2026</v>
      </c>
      <c r="D261" s="288">
        <v>46296</v>
      </c>
      <c r="E261" s="316">
        <v>153538</v>
      </c>
      <c r="F261" s="290">
        <f ca="1">IF((TODAY()-D261)/7&gt;T261,T261,(TODAY()-D261)/7)</f>
        <v>-0.2857142857142857</v>
      </c>
      <c r="G261" s="290" t="str">
        <f>IFERROR(VLOOKUP(H261,Encerrados!#REF!,3,FALSE),
IFERROR(VLOOKUP(H261,Encerrados!#REF!,3,FALSE),
IFERROR(VLOOKUP(H261,Encerrados!#REF!,3,FALSE),
IFERROR(VLOOKUP(H261,Encerrados!#REF!,3,FALSE),"-"))))</f>
        <v>-</v>
      </c>
      <c r="H261" s="292" t="s">
        <v>187</v>
      </c>
      <c r="I261" s="291">
        <v>60000</v>
      </c>
      <c r="J261" s="285" t="s">
        <v>60</v>
      </c>
      <c r="K261" s="285">
        <v>28</v>
      </c>
      <c r="L261" s="11" t="s">
        <v>365</v>
      </c>
      <c r="M261" s="45">
        <f>D261+(22*7)-7</f>
        <v>46443</v>
      </c>
      <c r="N261" s="45">
        <f t="shared" ref="N261:N290" si="100">D261+24*7</f>
        <v>46464</v>
      </c>
      <c r="O261" s="23"/>
      <c r="P261" s="23" t="str">
        <f>IFERROR(VLOOKUP(Q261,Encerrados!#REF!,3,FALSE),
IFERROR(VLOOKUP(Q261,Encerrados!#REF!,3,FALSE),
IFERROR(VLOOKUP(Q261,Encerrados!#REF!,3,FALSE),
IFERROR(VLOOKUP(Q261,Encerrados!#REF!,3,FALSE),"-"))))</f>
        <v>-</v>
      </c>
      <c r="Q261" s="184"/>
      <c r="R261" s="46">
        <f t="shared" si="98"/>
        <v>57600</v>
      </c>
      <c r="S261" s="47">
        <f t="shared" si="99"/>
        <v>46757</v>
      </c>
      <c r="T261" s="48">
        <v>66</v>
      </c>
      <c r="U261" s="49"/>
      <c r="V261" s="50">
        <f t="shared" si="91"/>
        <v>46757</v>
      </c>
      <c r="W261" t="e">
        <f>VLOOKUP(Q261,Q312:Q438,1,0)</f>
        <v>#N/A</v>
      </c>
    </row>
    <row r="262" spans="1:23" ht="14.25" customHeight="1">
      <c r="A262" s="285" t="s">
        <v>17</v>
      </c>
      <c r="B262" s="293">
        <f>M214+K214</f>
        <v>46294</v>
      </c>
      <c r="C262" s="287">
        <f t="shared" si="81"/>
        <v>2026</v>
      </c>
      <c r="D262" s="288">
        <f t="shared" ref="D262:D281" si="101">B262</f>
        <v>46294</v>
      </c>
      <c r="E262" s="316">
        <v>153539</v>
      </c>
      <c r="F262" s="290">
        <f t="shared" ca="1" si="80"/>
        <v>0</v>
      </c>
      <c r="G262" s="290" t="str">
        <f>IFERROR(VLOOKUP(H262,Encerrados!#REF!,3,FALSE),
IFERROR(VLOOKUP(H262,Encerrados!#REF!,3,FALSE),
IFERROR(VLOOKUP(H262,Encerrados!#REF!,3,FALSE),
IFERROR(VLOOKUP(H262,Encerrados!#REF!,3,FALSE),"-"))))</f>
        <v>-</v>
      </c>
      <c r="H262" s="292" t="s">
        <v>68</v>
      </c>
      <c r="I262" s="291">
        <v>107000</v>
      </c>
      <c r="J262" s="285" t="s">
        <v>45</v>
      </c>
      <c r="K262" s="285">
        <v>50</v>
      </c>
      <c r="L262" s="11" t="s">
        <v>365</v>
      </c>
      <c r="M262" s="45">
        <f t="shared" si="77"/>
        <v>46441</v>
      </c>
      <c r="N262" s="45">
        <f t="shared" si="100"/>
        <v>46462</v>
      </c>
      <c r="O262" s="23"/>
      <c r="P262" s="23" t="str">
        <f>IFERROR(VLOOKUP(Q262,Encerrados!#REF!,3,FALSE),
IFERROR(VLOOKUP(Q262,Encerrados!#REF!,3,FALSE),
IFERROR(VLOOKUP(Q262,Encerrados!#REF!,3,FALSE),
IFERROR(VLOOKUP(Q262,Encerrados!#REF!,3,FALSE),"-"))))</f>
        <v>-</v>
      </c>
      <c r="Q262" s="184"/>
      <c r="R262" s="46">
        <f t="shared" si="98"/>
        <v>102720</v>
      </c>
      <c r="S262" s="47">
        <f t="shared" si="99"/>
        <v>46755</v>
      </c>
      <c r="T262" s="48">
        <v>66</v>
      </c>
      <c r="U262" s="49"/>
      <c r="V262" s="50">
        <f t="shared" si="91"/>
        <v>46755</v>
      </c>
      <c r="W262" t="e">
        <f>VLOOKUP(Q262,Q313:Q439,1,0)</f>
        <v>#N/A</v>
      </c>
    </row>
    <row r="263" spans="1:23" ht="14.25" customHeight="1">
      <c r="A263" s="173" t="s">
        <v>17</v>
      </c>
      <c r="B263" s="174">
        <f>M216+K216</f>
        <v>46294</v>
      </c>
      <c r="C263" s="175">
        <f t="shared" si="81"/>
        <v>2026</v>
      </c>
      <c r="D263" s="176">
        <f t="shared" si="101"/>
        <v>46294</v>
      </c>
      <c r="E263" s="258">
        <f>MONTH(B263:B328)</f>
        <v>9</v>
      </c>
      <c r="F263" s="177">
        <f t="shared" ref="F263:F268" ca="1" si="102">IF((TODAY()-D263)/7&gt;T263,T263,(TODAY()-D263)/7)</f>
        <v>0</v>
      </c>
      <c r="G263" s="177" t="str">
        <f>IFERROR(VLOOKUP(H263,Encerrados!#REF!,3,FALSE),
IFERROR(VLOOKUP(H263,Encerrados!#REF!,3,FALSE),
IFERROR(VLOOKUP(H263,Encerrados!#REF!,3,FALSE),
IFERROR(VLOOKUP(H263,Encerrados!#REF!,3,FALSE),"-"))))</f>
        <v>-</v>
      </c>
      <c r="H263" s="294" t="s">
        <v>59</v>
      </c>
      <c r="I263" s="179">
        <v>60000</v>
      </c>
      <c r="J263" s="173" t="s">
        <v>45</v>
      </c>
      <c r="K263" s="173">
        <v>50</v>
      </c>
      <c r="L263" s="12" t="s">
        <v>368</v>
      </c>
      <c r="M263" s="45">
        <f t="shared" ref="M263:M268" si="103">D263+(22*7)-7</f>
        <v>46441</v>
      </c>
      <c r="N263" s="45">
        <f t="shared" si="100"/>
        <v>46462</v>
      </c>
      <c r="O263" s="23"/>
      <c r="P263" s="23" t="str">
        <f>IFERROR(VLOOKUP(Q263,Encerrados!#REF!,3,FALSE),
IFERROR(VLOOKUP(Q263,Encerrados!#REF!,3,FALSE),
IFERROR(VLOOKUP(Q263,Encerrados!#REF!,3,FALSE),
IFERROR(VLOOKUP(Q263,Encerrados!#REF!,3,FALSE),"-"))))</f>
        <v>-</v>
      </c>
      <c r="Q263" s="184"/>
      <c r="R263" s="46">
        <f t="shared" si="98"/>
        <v>57600</v>
      </c>
      <c r="S263" s="47">
        <f t="shared" si="99"/>
        <v>46755</v>
      </c>
      <c r="T263" s="48">
        <v>66</v>
      </c>
      <c r="U263" s="49"/>
      <c r="V263" s="50">
        <f t="shared" si="91"/>
        <v>46755</v>
      </c>
      <c r="W263" t="e">
        <f>VLOOKUP(Q263,Q314:Q440,1,0)</f>
        <v>#N/A</v>
      </c>
    </row>
    <row r="264" spans="1:23" ht="14.25" customHeight="1">
      <c r="A264" s="173" t="s">
        <v>17</v>
      </c>
      <c r="B264" s="174">
        <f>M212+K212</f>
        <v>46302</v>
      </c>
      <c r="C264" s="175">
        <f>YEAR(B264)</f>
        <v>2026</v>
      </c>
      <c r="D264" s="176">
        <f>B264</f>
        <v>46302</v>
      </c>
      <c r="E264" s="258">
        <f>MONTH(B264:B328)</f>
        <v>10</v>
      </c>
      <c r="F264" s="177">
        <f t="shared" ca="1" si="102"/>
        <v>-1.1428571428571428</v>
      </c>
      <c r="G264" s="177" t="str">
        <f>IFERROR(VLOOKUP(H264,Encerrados!#REF!,3,FALSE),
IFERROR(VLOOKUP(H264,Encerrados!#REF!,3,FALSE),
IFERROR(VLOOKUP(H264,Encerrados!#REF!,3,FALSE),
IFERROR(VLOOKUP(H264,Encerrados!#REF!,3,FALSE),"-"))))</f>
        <v>-</v>
      </c>
      <c r="H264" s="294" t="s">
        <v>44</v>
      </c>
      <c r="I264" s="179">
        <v>38000</v>
      </c>
      <c r="J264" s="173" t="s">
        <v>60</v>
      </c>
      <c r="K264" s="173">
        <v>28</v>
      </c>
      <c r="L264" s="12" t="s">
        <v>368</v>
      </c>
      <c r="M264" s="45">
        <f t="shared" si="103"/>
        <v>46449</v>
      </c>
      <c r="N264" s="45">
        <f>D264+24*7</f>
        <v>46470</v>
      </c>
      <c r="O264" s="23"/>
      <c r="P264" s="23" t="str">
        <f>IFERROR(VLOOKUP(Q264,Encerrados!#REF!,3,FALSE),
IFERROR(VLOOKUP(Q264,Encerrados!#REF!,3,FALSE),
IFERROR(VLOOKUP(Q264,Encerrados!#REF!,3,FALSE),
IFERROR(VLOOKUP(Q264,Encerrados!#REF!,3,FALSE),"-"))))</f>
        <v>-</v>
      </c>
      <c r="Q264" s="184"/>
      <c r="R264" s="46">
        <f>I264*0.96</f>
        <v>36480</v>
      </c>
      <c r="S264" s="47">
        <f>D264+(T264*7)-1</f>
        <v>46763</v>
      </c>
      <c r="T264" s="48">
        <v>66</v>
      </c>
      <c r="U264" s="49"/>
      <c r="V264" s="50">
        <f>IFERROR(S264+U264," ")</f>
        <v>46763</v>
      </c>
      <c r="W264" t="e">
        <f>VLOOKUP(Q264,Q316:Q442,1,0)</f>
        <v>#N/A</v>
      </c>
    </row>
    <row r="265" spans="1:23" ht="14.25" customHeight="1">
      <c r="A265" s="173" t="s">
        <v>17</v>
      </c>
      <c r="B265" s="174">
        <f>M217+K217</f>
        <v>46310</v>
      </c>
      <c r="C265" s="175">
        <f>YEAR(B265)</f>
        <v>2026</v>
      </c>
      <c r="D265" s="176">
        <f>B265</f>
        <v>46310</v>
      </c>
      <c r="E265" s="258">
        <f>MONTH(B265:B328)</f>
        <v>10</v>
      </c>
      <c r="F265" s="177">
        <f t="shared" ca="1" si="102"/>
        <v>-2.2857142857142856</v>
      </c>
      <c r="G265" s="177" t="str">
        <f>IFERROR(VLOOKUP(H265,Encerrados!#REF!,3,FALSE),
IFERROR(VLOOKUP(H265,Encerrados!#REF!,3,FALSE),
IFERROR(VLOOKUP(H265,Encerrados!#REF!,3,FALSE),
IFERROR(VLOOKUP(H265,Encerrados!#REF!,3,FALSE),"-"))))</f>
        <v>-</v>
      </c>
      <c r="H265" s="178" t="s">
        <v>79</v>
      </c>
      <c r="I265" s="179">
        <v>61000</v>
      </c>
      <c r="J265" s="173" t="s">
        <v>45</v>
      </c>
      <c r="K265" s="173">
        <v>50</v>
      </c>
      <c r="L265" s="38" t="s">
        <v>376</v>
      </c>
      <c r="M265" s="45">
        <f t="shared" si="103"/>
        <v>46457</v>
      </c>
      <c r="N265" s="45">
        <f>D265+24*7</f>
        <v>46478</v>
      </c>
      <c r="O265" s="23"/>
      <c r="P265" s="23" t="str">
        <f>IFERROR(VLOOKUP(Q265,Encerrados!#REF!,3,FALSE),
IFERROR(VLOOKUP(Q265,Encerrados!#REF!,3,FALSE),
IFERROR(VLOOKUP(Q265,Encerrados!#REF!,3,FALSE),
IFERROR(VLOOKUP(Q265,Encerrados!#REF!,3,FALSE),"-"))))</f>
        <v>-</v>
      </c>
      <c r="Q265" s="184"/>
      <c r="R265" s="46">
        <f>I265*0.96</f>
        <v>58560</v>
      </c>
      <c r="S265" s="47">
        <f>D265+(T265*7)-1</f>
        <v>46771</v>
      </c>
      <c r="T265" s="48">
        <v>66</v>
      </c>
      <c r="U265" s="49"/>
      <c r="V265" s="50">
        <f>IFERROR(S265+U265," ")</f>
        <v>46771</v>
      </c>
      <c r="W265" t="e">
        <f>VLOOKUP(Q265,Q317:Q443,1,0)</f>
        <v>#N/A</v>
      </c>
    </row>
    <row r="266" spans="1:23" ht="14.25" customHeight="1">
      <c r="A266" s="173" t="s">
        <v>17</v>
      </c>
      <c r="B266" s="174">
        <f>M213+K213</f>
        <v>46313</v>
      </c>
      <c r="C266" s="175">
        <f>YEAR(B266)</f>
        <v>2026</v>
      </c>
      <c r="D266" s="176">
        <f>B266</f>
        <v>46313</v>
      </c>
      <c r="E266" s="258">
        <f>MONTH(B266:B328)</f>
        <v>10</v>
      </c>
      <c r="F266" s="177">
        <f t="shared" ca="1" si="102"/>
        <v>-2.7142857142857144</v>
      </c>
      <c r="G266" s="177" t="str">
        <f>IFERROR(VLOOKUP(H266,Encerrados!#REF!,3,FALSE),
IFERROR(VLOOKUP(H266,Encerrados!#REF!,3,FALSE),
IFERROR(VLOOKUP(H266,Encerrados!#REF!,3,FALSE),
IFERROR(VLOOKUP(H266,Encerrados!#REF!,3,FALSE),"-"))))</f>
        <v>-</v>
      </c>
      <c r="H266" s="294" t="s">
        <v>89</v>
      </c>
      <c r="I266" s="179">
        <v>74000</v>
      </c>
      <c r="J266" s="173" t="s">
        <v>60</v>
      </c>
      <c r="K266" s="173">
        <v>28</v>
      </c>
      <c r="L266" s="12" t="s">
        <v>368</v>
      </c>
      <c r="M266" s="45">
        <f t="shared" si="103"/>
        <v>46460</v>
      </c>
      <c r="N266" s="45">
        <f>D266+24*7</f>
        <v>46481</v>
      </c>
      <c r="O266" s="23"/>
      <c r="P266" s="23" t="str">
        <f>IFERROR(VLOOKUP(Q266,Encerrados!#REF!,3,FALSE),
IFERROR(VLOOKUP(Q266,Encerrados!#REF!,3,FALSE),
IFERROR(VLOOKUP(Q266,Encerrados!#REF!,3,FALSE),
IFERROR(VLOOKUP(Q266,Encerrados!#REF!,3,FALSE),"-"))))</f>
        <v>-</v>
      </c>
      <c r="Q266" s="184"/>
      <c r="R266" s="46">
        <f>I266*0.96</f>
        <v>71040</v>
      </c>
      <c r="S266" s="47">
        <f>D266+(T266*7)-1</f>
        <v>46774</v>
      </c>
      <c r="T266" s="48">
        <v>66</v>
      </c>
      <c r="U266" s="49"/>
      <c r="V266" s="50">
        <f>IFERROR(S266+U266," ")</f>
        <v>46774</v>
      </c>
      <c r="W266" t="e">
        <f>VLOOKUP(Q266,Q319:Q445,1,0)</f>
        <v>#N/A</v>
      </c>
    </row>
    <row r="267" spans="1:23" ht="14.25" customHeight="1">
      <c r="A267" s="119" t="s">
        <v>17</v>
      </c>
      <c r="B267" s="120">
        <f>M221+K221</f>
        <v>46317</v>
      </c>
      <c r="C267" s="121">
        <f>YEAR(B267)</f>
        <v>2026</v>
      </c>
      <c r="D267" s="122">
        <f>B267</f>
        <v>46317</v>
      </c>
      <c r="E267" s="257">
        <v>153550</v>
      </c>
      <c r="F267" s="123">
        <f t="shared" ca="1" si="102"/>
        <v>-3.2857142857142856</v>
      </c>
      <c r="G267" s="123" t="str">
        <f>IFERROR(VLOOKUP(H267,Encerrados!#REF!,3,FALSE),
IFERROR(VLOOKUP(H267,Encerrados!#REF!,3,FALSE),
IFERROR(VLOOKUP(H267,Encerrados!#REF!,3,FALSE),
IFERROR(VLOOKUP(H267,Encerrados!#REF!,3,FALSE),"-"))))</f>
        <v>-</v>
      </c>
      <c r="H267" s="124" t="s">
        <v>521</v>
      </c>
      <c r="I267" s="125">
        <v>60000</v>
      </c>
      <c r="J267" s="119" t="s">
        <v>60</v>
      </c>
      <c r="K267" s="119">
        <v>50</v>
      </c>
      <c r="L267" s="11" t="s">
        <v>365</v>
      </c>
      <c r="M267" s="126">
        <f t="shared" si="103"/>
        <v>46464</v>
      </c>
      <c r="N267" s="126">
        <f>D267+24*7</f>
        <v>46485</v>
      </c>
      <c r="O267" s="121"/>
      <c r="P267" s="121" t="str">
        <f>IFERROR(VLOOKUP(Q267,Encerrados!#REF!,3,FALSE),
IFERROR(VLOOKUP(Q267,Encerrados!#REF!,3,FALSE),
IFERROR(VLOOKUP(Q267,Encerrados!#REF!,3,FALSE),
IFERROR(VLOOKUP(Q267,Encerrados!#REF!,3,FALSE),"-"))))</f>
        <v>-</v>
      </c>
      <c r="Q267" s="248" t="s">
        <v>524</v>
      </c>
      <c r="R267" s="127">
        <v>32000</v>
      </c>
      <c r="S267" s="128">
        <f>D267+(T267*7)-1</f>
        <v>46778</v>
      </c>
      <c r="T267" s="129">
        <v>66</v>
      </c>
      <c r="U267" s="130"/>
      <c r="V267" s="131">
        <f>IFERROR(S267+U267," ")</f>
        <v>46778</v>
      </c>
      <c r="W267" t="e">
        <f>VLOOKUP(Q267,Q306:Q432,1,0)</f>
        <v>#N/A</v>
      </c>
    </row>
    <row r="268" spans="1:23" ht="14.25" customHeight="1">
      <c r="A268" s="285" t="s">
        <v>17</v>
      </c>
      <c r="B268" s="293">
        <f>M222+K222</f>
        <v>46318</v>
      </c>
      <c r="C268" s="287">
        <f t="shared" si="81"/>
        <v>2026</v>
      </c>
      <c r="D268" s="288">
        <f t="shared" si="101"/>
        <v>46318</v>
      </c>
      <c r="E268" s="316">
        <v>153541</v>
      </c>
      <c r="F268" s="290">
        <f t="shared" ca="1" si="102"/>
        <v>-3.4285714285714284</v>
      </c>
      <c r="G268" s="290" t="str">
        <f>IFERROR(VLOOKUP(H268,Encerrados!#REF!,3,FALSE),
IFERROR(VLOOKUP(H268,Encerrados!#REF!,3,FALSE),
IFERROR(VLOOKUP(H268,Encerrados!#REF!,3,FALSE),
IFERROR(VLOOKUP(H268,Encerrados!#REF!,3,FALSE),"-"))))</f>
        <v>-</v>
      </c>
      <c r="H268" s="292" t="s">
        <v>75</v>
      </c>
      <c r="I268" s="291">
        <v>45000</v>
      </c>
      <c r="J268" s="285" t="s">
        <v>45</v>
      </c>
      <c r="K268" s="285">
        <v>50</v>
      </c>
      <c r="L268" s="11" t="s">
        <v>365</v>
      </c>
      <c r="M268" s="45">
        <f t="shared" si="103"/>
        <v>46465</v>
      </c>
      <c r="N268" s="45">
        <f t="shared" si="100"/>
        <v>46486</v>
      </c>
      <c r="O268" s="23"/>
      <c r="P268" s="23" t="str">
        <f>IFERROR(VLOOKUP(Q268,Encerrados!#REF!,3,FALSE),
IFERROR(VLOOKUP(Q268,Encerrados!#REF!,3,FALSE),
IFERROR(VLOOKUP(Q268,Encerrados!#REF!,3,FALSE),
IFERROR(VLOOKUP(Q268,Encerrados!#REF!,3,FALSE),"-"))))</f>
        <v>-</v>
      </c>
      <c r="Q268" s="184"/>
      <c r="R268" s="46">
        <f t="shared" si="98"/>
        <v>43200</v>
      </c>
      <c r="S268" s="47">
        <f t="shared" si="99"/>
        <v>46779</v>
      </c>
      <c r="T268" s="48">
        <v>66</v>
      </c>
      <c r="U268" s="49"/>
      <c r="V268" s="50">
        <f t="shared" si="91"/>
        <v>46779</v>
      </c>
      <c r="W268" t="e">
        <f>VLOOKUP(Q268,Q315:Q441,1,0)</f>
        <v>#N/A</v>
      </c>
    </row>
    <row r="269" spans="1:23" ht="14.25" customHeight="1">
      <c r="A269" s="285" t="s">
        <v>17</v>
      </c>
      <c r="B269" s="293">
        <f>M225+K225</f>
        <v>46329</v>
      </c>
      <c r="C269" s="287">
        <f t="shared" si="81"/>
        <v>2026</v>
      </c>
      <c r="D269" s="288">
        <f t="shared" si="101"/>
        <v>46329</v>
      </c>
      <c r="E269" s="316">
        <v>153544</v>
      </c>
      <c r="F269" s="290">
        <f t="shared" ref="F269:F287" ca="1" si="104">IF((TODAY()-D269)/7&gt;T269,T269,(TODAY()-D269)/7)</f>
        <v>-5</v>
      </c>
      <c r="G269" s="290" t="str">
        <f>IFERROR(VLOOKUP(H269,Encerrados!#REF!,3,FALSE),
IFERROR(VLOOKUP(H269,Encerrados!#REF!,3,FALSE),
IFERROR(VLOOKUP(H269,Encerrados!#REF!,3,FALSE),
IFERROR(VLOOKUP(H269,Encerrados!#REF!,3,FALSE),"-"))))</f>
        <v>-</v>
      </c>
      <c r="H269" s="292" t="s">
        <v>83</v>
      </c>
      <c r="I269" s="291">
        <v>84000</v>
      </c>
      <c r="J269" s="285" t="s">
        <v>45</v>
      </c>
      <c r="K269" s="285">
        <v>50</v>
      </c>
      <c r="L269" s="11" t="s">
        <v>365</v>
      </c>
      <c r="M269" s="45">
        <f t="shared" si="77"/>
        <v>46476</v>
      </c>
      <c r="N269" s="45">
        <f t="shared" si="100"/>
        <v>46497</v>
      </c>
      <c r="O269" s="23"/>
      <c r="P269" s="23" t="str">
        <f>IFERROR(VLOOKUP(Q269,Encerrados!#REF!,3,FALSE),
IFERROR(VLOOKUP(Q269,Encerrados!#REF!,3,FALSE),
IFERROR(VLOOKUP(Q269,Encerrados!#REF!,3,FALSE),
IFERROR(VLOOKUP(Q269,Encerrados!#REF!,3,FALSE),"-"))))</f>
        <v>-</v>
      </c>
      <c r="Q269" s="184"/>
      <c r="R269" s="46">
        <f t="shared" si="98"/>
        <v>80640</v>
      </c>
      <c r="S269" s="47">
        <f t="shared" si="99"/>
        <v>46790</v>
      </c>
      <c r="T269" s="48">
        <v>66</v>
      </c>
      <c r="U269" s="49"/>
      <c r="V269" s="50">
        <f t="shared" si="91"/>
        <v>46790</v>
      </c>
      <c r="W269" t="e">
        <f>VLOOKUP(Q269,Q320:Q446,1,0)</f>
        <v>#N/A</v>
      </c>
    </row>
    <row r="270" spans="1:23" ht="14.25" customHeight="1">
      <c r="A270" s="173" t="s">
        <v>17</v>
      </c>
      <c r="B270" s="174">
        <f>M227+K227</f>
        <v>46332</v>
      </c>
      <c r="C270" s="173">
        <f>YEAR(B270)</f>
        <v>2026</v>
      </c>
      <c r="D270" s="176">
        <f>B270</f>
        <v>46332</v>
      </c>
      <c r="E270" s="258">
        <f>MONTH(B270:B328)</f>
        <v>11</v>
      </c>
      <c r="F270" s="177">
        <f ca="1">IF((TODAY()-D270)/7&gt;T270,T270,(TODAY()-D270)/7)</f>
        <v>-5.4285714285714288</v>
      </c>
      <c r="G270" s="177" t="str">
        <f>IFERROR(VLOOKUP(H270,Encerrados!#REF!,3,FALSE),
IFERROR(VLOOKUP(H270,Encerrados!#REF!,3,FALSE),
IFERROR(VLOOKUP(H270,Encerrados!#REF!,3,FALSE),
IFERROR(VLOOKUP(H270,Encerrados!#REF!,3,FALSE),"-"))))</f>
        <v>-</v>
      </c>
      <c r="H270" s="294" t="s">
        <v>132</v>
      </c>
      <c r="I270" s="179">
        <v>72000</v>
      </c>
      <c r="J270" s="173" t="s">
        <v>45</v>
      </c>
      <c r="K270" s="173">
        <v>50</v>
      </c>
      <c r="L270" s="12" t="s">
        <v>368</v>
      </c>
      <c r="M270" s="45">
        <f>D270+(22*7)-7</f>
        <v>46479</v>
      </c>
      <c r="N270" s="45">
        <f>D270+24*7</f>
        <v>46500</v>
      </c>
      <c r="O270" s="23"/>
      <c r="P270" s="23" t="str">
        <f>IFERROR(VLOOKUP(Q270,Encerrados!#REF!,3,FALSE),
IFERROR(VLOOKUP(Q270,Encerrados!#REF!,3,FALSE),
IFERROR(VLOOKUP(Q270,Encerrados!#REF!,3,FALSE),
IFERROR(VLOOKUP(Q270,Encerrados!#REF!,3,FALSE),"-"))))</f>
        <v>-</v>
      </c>
      <c r="Q270" s="184"/>
      <c r="R270" s="46">
        <f>I270*0.96</f>
        <v>69120</v>
      </c>
      <c r="S270" s="47">
        <f>D270+(T270*7)-1</f>
        <v>46793</v>
      </c>
      <c r="T270" s="48">
        <v>66</v>
      </c>
      <c r="U270" s="49"/>
      <c r="V270" s="50">
        <f>IFERROR(S270+U270," ")</f>
        <v>46793</v>
      </c>
      <c r="W270" t="e">
        <f>VLOOKUP(Q270,Q330:Q456,1,0)</f>
        <v>#N/A</v>
      </c>
    </row>
    <row r="271" spans="1:23" ht="14.25" customHeight="1">
      <c r="A271" s="173" t="s">
        <v>17</v>
      </c>
      <c r="B271" s="174">
        <f>M218+K218</f>
        <v>46338</v>
      </c>
      <c r="C271" s="175">
        <f t="shared" si="81"/>
        <v>2026</v>
      </c>
      <c r="D271" s="176">
        <f t="shared" si="101"/>
        <v>46338</v>
      </c>
      <c r="E271" s="258">
        <f>MONTH(B271:B328)</f>
        <v>11</v>
      </c>
      <c r="F271" s="177">
        <f t="shared" ca="1" si="104"/>
        <v>-6.2857142857142856</v>
      </c>
      <c r="G271" s="177" t="str">
        <f>IFERROR(VLOOKUP(H271,Encerrados!#REF!,3,FALSE),
IFERROR(VLOOKUP(H271,Encerrados!#REF!,3,FALSE),
IFERROR(VLOOKUP(H271,Encerrados!#REF!,3,FALSE),
IFERROR(VLOOKUP(H271,Encerrados!#REF!,3,FALSE),"-"))))</f>
        <v>-</v>
      </c>
      <c r="H271" s="178" t="s">
        <v>104</v>
      </c>
      <c r="I271" s="179">
        <v>66000</v>
      </c>
      <c r="J271" s="173" t="s">
        <v>60</v>
      </c>
      <c r="K271" s="173">
        <v>28</v>
      </c>
      <c r="L271" s="11" t="s">
        <v>365</v>
      </c>
      <c r="M271" s="45">
        <f t="shared" si="77"/>
        <v>46485</v>
      </c>
      <c r="N271" s="45">
        <f t="shared" si="100"/>
        <v>46506</v>
      </c>
      <c r="O271" s="23"/>
      <c r="P271" s="23" t="str">
        <f>IFERROR(VLOOKUP(Q271,Encerrados!#REF!,3,FALSE),
IFERROR(VLOOKUP(Q271,Encerrados!#REF!,3,FALSE),
IFERROR(VLOOKUP(Q271,Encerrados!#REF!,3,FALSE),
IFERROR(VLOOKUP(Q271,Encerrados!#REF!,3,FALSE),"-"))))</f>
        <v>-</v>
      </c>
      <c r="Q271" s="184"/>
      <c r="R271" s="46">
        <f t="shared" si="98"/>
        <v>63360</v>
      </c>
      <c r="S271" s="47">
        <f t="shared" si="99"/>
        <v>46799</v>
      </c>
      <c r="T271" s="48">
        <v>66</v>
      </c>
      <c r="U271" s="49"/>
      <c r="V271" s="50">
        <f t="shared" si="91"/>
        <v>46799</v>
      </c>
      <c r="W271" t="e">
        <f>VLOOKUP(Q271,Q322:Q448,1,0)</f>
        <v>#N/A</v>
      </c>
    </row>
    <row r="272" spans="1:23" ht="14.25" customHeight="1">
      <c r="A272" s="173" t="s">
        <v>17</v>
      </c>
      <c r="B272" s="174">
        <f>M229+K229</f>
        <v>46339</v>
      </c>
      <c r="C272" s="175">
        <f t="shared" si="81"/>
        <v>2026</v>
      </c>
      <c r="D272" s="176">
        <f t="shared" si="101"/>
        <v>46339</v>
      </c>
      <c r="E272" s="258">
        <f>MONTH(B272:B328)</f>
        <v>11</v>
      </c>
      <c r="F272" s="177">
        <f ca="1">IF((TODAY()-D272)/7&gt;T272,T272,(TODAY()-D272)/7)</f>
        <v>-6.4285714285714288</v>
      </c>
      <c r="G272" s="177" t="str">
        <f>IFERROR(VLOOKUP(H272,Encerrados!#REF!,3,FALSE),
IFERROR(VLOOKUP(H272,Encerrados!#REF!,3,FALSE),
IFERROR(VLOOKUP(H272,Encerrados!#REF!,3,FALSE),
IFERROR(VLOOKUP(H272,Encerrados!#REF!,3,FALSE),"-"))))</f>
        <v>-</v>
      </c>
      <c r="H272" s="294" t="s">
        <v>107</v>
      </c>
      <c r="I272" s="179">
        <v>42000</v>
      </c>
      <c r="J272" s="173" t="s">
        <v>45</v>
      </c>
      <c r="K272" s="173">
        <v>50</v>
      </c>
      <c r="L272" s="12" t="s">
        <v>368</v>
      </c>
      <c r="M272" s="45">
        <f>D272+(22*7)-7</f>
        <v>46486</v>
      </c>
      <c r="N272" s="45">
        <f t="shared" si="100"/>
        <v>46507</v>
      </c>
      <c r="O272" s="23"/>
      <c r="P272" s="23" t="str">
        <f>IFERROR(VLOOKUP(Q272,Encerrados!#REF!,3,FALSE),
IFERROR(VLOOKUP(Q272,Encerrados!#REF!,3,FALSE),
IFERROR(VLOOKUP(Q272,Encerrados!#REF!,3,FALSE),
IFERROR(VLOOKUP(Q272,Encerrados!#REF!,3,FALSE),"-"))))</f>
        <v>-</v>
      </c>
      <c r="Q272" s="184"/>
      <c r="R272" s="46">
        <f t="shared" si="98"/>
        <v>40320</v>
      </c>
      <c r="S272" s="47">
        <f t="shared" si="99"/>
        <v>46800</v>
      </c>
      <c r="T272" s="48">
        <v>66</v>
      </c>
      <c r="U272" s="49"/>
      <c r="V272" s="50">
        <f t="shared" si="91"/>
        <v>46800</v>
      </c>
      <c r="W272" t="e">
        <f>VLOOKUP(Q272,Q323:Q449,1,0)</f>
        <v>#N/A</v>
      </c>
    </row>
    <row r="273" spans="1:23" ht="14.25" customHeight="1">
      <c r="A273" s="173" t="s">
        <v>17</v>
      </c>
      <c r="B273" s="174">
        <f>M230+K230</f>
        <v>46343</v>
      </c>
      <c r="C273" s="175">
        <f t="shared" si="81"/>
        <v>2026</v>
      </c>
      <c r="D273" s="176">
        <f t="shared" si="101"/>
        <v>46343</v>
      </c>
      <c r="E273" s="258">
        <f>MONTH(B273:B329)</f>
        <v>11</v>
      </c>
      <c r="F273" s="177">
        <f t="shared" ca="1" si="104"/>
        <v>-7</v>
      </c>
      <c r="G273" s="177" t="str">
        <f>IFERROR(VLOOKUP(H273,Encerrados!#REF!,3,FALSE),
IFERROR(VLOOKUP(H273,Encerrados!#REF!,3,FALSE),
IFERROR(VLOOKUP(H273,Encerrados!#REF!,3,FALSE),
IFERROR(VLOOKUP(H273,Encerrados!#REF!,3,FALSE),"-"))))</f>
        <v>-</v>
      </c>
      <c r="H273" s="294" t="s">
        <v>101</v>
      </c>
      <c r="I273" s="179">
        <v>60000</v>
      </c>
      <c r="J273" s="173" t="s">
        <v>45</v>
      </c>
      <c r="K273" s="173">
        <v>50</v>
      </c>
      <c r="L273" s="12" t="s">
        <v>368</v>
      </c>
      <c r="M273" s="45">
        <f t="shared" si="77"/>
        <v>46490</v>
      </c>
      <c r="N273" s="45">
        <f t="shared" si="100"/>
        <v>46511</v>
      </c>
      <c r="O273" s="23"/>
      <c r="P273" s="23" t="str">
        <f>IFERROR(VLOOKUP(Q273,Encerrados!#REF!,3,FALSE),
IFERROR(VLOOKUP(Q273,Encerrados!#REF!,3,FALSE),
IFERROR(VLOOKUP(Q273,Encerrados!#REF!,3,FALSE),
IFERROR(VLOOKUP(Q273,Encerrados!#REF!,3,FALSE),"-"))))</f>
        <v>-</v>
      </c>
      <c r="Q273" s="184"/>
      <c r="R273" s="46">
        <f t="shared" si="98"/>
        <v>57600</v>
      </c>
      <c r="S273" s="47">
        <f t="shared" si="99"/>
        <v>46804</v>
      </c>
      <c r="T273" s="48">
        <v>66</v>
      </c>
      <c r="U273" s="49"/>
      <c r="V273" s="50">
        <f t="shared" si="91"/>
        <v>46804</v>
      </c>
      <c r="W273" t="e">
        <f>VLOOKUP(Q273,Q324:Q450,1,0)</f>
        <v>#N/A</v>
      </c>
    </row>
    <row r="274" spans="1:23" ht="14.25" customHeight="1">
      <c r="A274" s="173" t="s">
        <v>17</v>
      </c>
      <c r="B274" s="174">
        <f>M235+K235</f>
        <v>46373</v>
      </c>
      <c r="C274" s="175">
        <f>YEAR(B274)</f>
        <v>2026</v>
      </c>
      <c r="D274" s="176">
        <f>B274</f>
        <v>46373</v>
      </c>
      <c r="E274" s="258">
        <f>MONTH(B271:B328)</f>
        <v>12</v>
      </c>
      <c r="F274" s="177">
        <f t="shared" ref="F274:F280" ca="1" si="105">IF((TODAY()-D274)/7&gt;T274,T274,(TODAY()-D274)/7)</f>
        <v>-11.285714285714286</v>
      </c>
      <c r="G274" s="177" t="str">
        <f>IFERROR(VLOOKUP(H274,Encerrados!#REF!,3,FALSE),
IFERROR(VLOOKUP(H274,Encerrados!#REF!,3,FALSE),
IFERROR(VLOOKUP(H274,Encerrados!#REF!,3,FALSE),
IFERROR(VLOOKUP(H274,Encerrados!#REF!,3,FALSE),"-"))))</f>
        <v>-</v>
      </c>
      <c r="H274" s="178" t="s">
        <v>216</v>
      </c>
      <c r="I274" s="179">
        <v>60000</v>
      </c>
      <c r="J274" s="173" t="s">
        <v>60</v>
      </c>
      <c r="K274" s="173">
        <v>30</v>
      </c>
      <c r="L274" s="13" t="s">
        <v>472</v>
      </c>
      <c r="M274" s="126">
        <f t="shared" ref="M274:M280" si="106">D274+(22*7)-7</f>
        <v>46520</v>
      </c>
      <c r="N274" s="126">
        <f>D274+24*7</f>
        <v>46541</v>
      </c>
      <c r="O274" s="121"/>
      <c r="P274" s="121" t="str">
        <f>IFERROR(VLOOKUP(Q274,Encerrados!#REF!,3,FALSE),
IFERROR(VLOOKUP(Q274,Encerrados!#REF!,3,FALSE),
IFERROR(VLOOKUP(Q274,Encerrados!#REF!,3,FALSE),
IFERROR(VLOOKUP(Q274,Encerrados!#REF!,3,FALSE),"-"))))</f>
        <v>-</v>
      </c>
      <c r="Q274" s="221"/>
      <c r="R274" s="127">
        <f>I274*0.96</f>
        <v>57600</v>
      </c>
      <c r="S274" s="128">
        <f>D274+(T274*7)-1</f>
        <v>46834</v>
      </c>
      <c r="T274" s="129">
        <v>66</v>
      </c>
      <c r="U274" s="130"/>
      <c r="V274" s="131">
        <f>IFERROR(S274+U274," ")</f>
        <v>46834</v>
      </c>
      <c r="W274" t="e">
        <f>VLOOKUP(Q274,Q321:Q447,1,0)</f>
        <v>#N/A</v>
      </c>
    </row>
    <row r="275" spans="1:23" ht="14.25" customHeight="1">
      <c r="A275" s="119" t="s">
        <v>17</v>
      </c>
      <c r="B275" s="120">
        <f>M233+K233</f>
        <v>46345</v>
      </c>
      <c r="C275" s="121">
        <f>YEAR(B275)</f>
        <v>2026</v>
      </c>
      <c r="D275" s="122">
        <f>B275</f>
        <v>46345</v>
      </c>
      <c r="E275" s="257">
        <v>153549</v>
      </c>
      <c r="F275" s="123">
        <f t="shared" ca="1" si="105"/>
        <v>-7.2857142857142856</v>
      </c>
      <c r="G275" s="123" t="str">
        <f>IFERROR(VLOOKUP(H275,Encerrados!#REF!,3,FALSE),
IFERROR(VLOOKUP(H275,Encerrados!#REF!,3,FALSE),
IFERROR(VLOOKUP(H275,Encerrados!#REF!,3,FALSE),
IFERROR(VLOOKUP(H275,Encerrados!#REF!,3,FALSE),"-"))))</f>
        <v>-</v>
      </c>
      <c r="H275" s="124" t="s">
        <v>246</v>
      </c>
      <c r="I275" s="125">
        <v>60000</v>
      </c>
      <c r="J275" s="119" t="s">
        <v>45</v>
      </c>
      <c r="K275" s="119">
        <v>50</v>
      </c>
      <c r="L275" s="11" t="s">
        <v>365</v>
      </c>
      <c r="M275" s="126">
        <f t="shared" si="106"/>
        <v>46492</v>
      </c>
      <c r="N275" s="126">
        <f>D275+24*7</f>
        <v>46513</v>
      </c>
      <c r="O275" s="121"/>
      <c r="P275" s="121" t="str">
        <f>IFERROR(VLOOKUP(Q275,Encerrados!#REF!,3,FALSE),
IFERROR(VLOOKUP(Q275,Encerrados!#REF!,3,FALSE),
IFERROR(VLOOKUP(Q275,Encerrados!#REF!,3,FALSE),
IFERROR(VLOOKUP(Q275,Encerrados!#REF!,3,FALSE),"-"))))</f>
        <v>-</v>
      </c>
      <c r="Q275" s="248" t="s">
        <v>256</v>
      </c>
      <c r="R275" s="127">
        <f>I275*0.96</f>
        <v>57600</v>
      </c>
      <c r="S275" s="128">
        <f>D275+(T275*7)-1</f>
        <v>46806</v>
      </c>
      <c r="T275" s="129">
        <v>66</v>
      </c>
      <c r="U275" s="130"/>
      <c r="V275" s="131">
        <f>IFERROR(S275+U275," ")</f>
        <v>46806</v>
      </c>
      <c r="W275" t="e">
        <f>VLOOKUP(Q275,Q318:Q444,1,0)</f>
        <v>#N/A</v>
      </c>
    </row>
    <row r="276" spans="1:23" ht="14.25" customHeight="1">
      <c r="A276" s="285" t="s">
        <v>17</v>
      </c>
      <c r="B276" s="293">
        <f>M236+K236</f>
        <v>46350</v>
      </c>
      <c r="C276" s="285">
        <f>YEAR(B276)</f>
        <v>2026</v>
      </c>
      <c r="D276" s="288">
        <f>B276</f>
        <v>46350</v>
      </c>
      <c r="E276" s="316">
        <v>153565</v>
      </c>
      <c r="F276" s="290">
        <f t="shared" ca="1" si="105"/>
        <v>-8</v>
      </c>
      <c r="G276" s="290" t="str">
        <f>IFERROR(VLOOKUP(H276,Encerrados!#REF!,3,FALSE),
IFERROR(VLOOKUP(H276,Encerrados!#REF!,3,FALSE),
IFERROR(VLOOKUP(H276,Encerrados!#REF!,3,FALSE),
IFERROR(VLOOKUP(H276,Encerrados!#REF!,3,FALSE),"-"))))</f>
        <v>-</v>
      </c>
      <c r="H276" s="292" t="s">
        <v>129</v>
      </c>
      <c r="I276" s="291">
        <v>38000</v>
      </c>
      <c r="J276" s="285" t="s">
        <v>45</v>
      </c>
      <c r="K276" s="285">
        <v>50</v>
      </c>
      <c r="L276" s="11" t="s">
        <v>365</v>
      </c>
      <c r="M276" s="45">
        <f t="shared" si="106"/>
        <v>46497</v>
      </c>
      <c r="N276" s="45">
        <f>D276+24*7</f>
        <v>46518</v>
      </c>
      <c r="O276" s="23"/>
      <c r="P276" s="23" t="str">
        <f>IFERROR(VLOOKUP(Q276,Encerrados!#REF!,3,FALSE),
IFERROR(VLOOKUP(Q276,Encerrados!#REF!,3,FALSE),
IFERROR(VLOOKUP(Q276,Encerrados!#REF!,3,FALSE),
IFERROR(VLOOKUP(Q276,Encerrados!#REF!,3,FALSE),"-"))))</f>
        <v>-</v>
      </c>
      <c r="Q276" s="184"/>
      <c r="R276" s="46">
        <f>I276*0.96</f>
        <v>36480</v>
      </c>
      <c r="S276" s="47">
        <f>D276+(T276*7)-1</f>
        <v>46811</v>
      </c>
      <c r="T276" s="48">
        <v>66</v>
      </c>
      <c r="U276" s="49"/>
      <c r="V276" s="50">
        <f>IFERROR(S276+U276," ")</f>
        <v>46811</v>
      </c>
      <c r="W276" t="e">
        <f>VLOOKUP(Q276,Q333:Q459,1,0)</f>
        <v>#N/A</v>
      </c>
    </row>
    <row r="277" spans="1:23" ht="14.25" customHeight="1">
      <c r="A277" s="173" t="s">
        <v>17</v>
      </c>
      <c r="B277" s="174">
        <f>M223+K223</f>
        <v>46352</v>
      </c>
      <c r="C277" s="175">
        <f>YEAR(B277)</f>
        <v>2026</v>
      </c>
      <c r="D277" s="176">
        <f>B277</f>
        <v>46352</v>
      </c>
      <c r="E277" s="258">
        <f>MONTH(B277:B328)</f>
        <v>11</v>
      </c>
      <c r="F277" s="177">
        <f t="shared" ca="1" si="105"/>
        <v>-8.2857142857142865</v>
      </c>
      <c r="G277" s="177" t="str">
        <f>IFERROR(VLOOKUP(H277,Encerrados!#REF!,3,FALSE),
IFERROR(VLOOKUP(H277,Encerrados!#REF!,3,FALSE),
IFERROR(VLOOKUP(H277,Encerrados!#REF!,3,FALSE),
IFERROR(VLOOKUP(H277,Encerrados!#REF!,3,FALSE),"-"))))</f>
        <v>-</v>
      </c>
      <c r="H277" s="294" t="s">
        <v>111</v>
      </c>
      <c r="I277" s="179">
        <v>42000</v>
      </c>
      <c r="J277" s="173" t="s">
        <v>60</v>
      </c>
      <c r="K277" s="173">
        <v>25</v>
      </c>
      <c r="L277" s="12" t="s">
        <v>368</v>
      </c>
      <c r="M277" s="45">
        <f t="shared" si="106"/>
        <v>46499</v>
      </c>
      <c r="N277" s="45">
        <f>D277+24*7</f>
        <v>46520</v>
      </c>
      <c r="O277" s="23"/>
      <c r="P277" s="23" t="str">
        <f>IFERROR(VLOOKUP(Q277,Encerrados!#REF!,3,FALSE),
IFERROR(VLOOKUP(Q277,Encerrados!#REF!,3,FALSE),
IFERROR(VLOOKUP(Q277,Encerrados!#REF!,3,FALSE),
IFERROR(VLOOKUP(Q277,Encerrados!#REF!,3,FALSE),"-"))))</f>
        <v>-</v>
      </c>
      <c r="Q277" s="184"/>
      <c r="R277" s="46">
        <f>I277*0.96</f>
        <v>40320</v>
      </c>
      <c r="S277" s="47">
        <f>D277+(T277*7)-1</f>
        <v>46813</v>
      </c>
      <c r="T277" s="48">
        <v>66</v>
      </c>
      <c r="U277" s="49"/>
      <c r="V277" s="50">
        <f>IFERROR(S277+U277," ")</f>
        <v>46813</v>
      </c>
      <c r="W277" t="e">
        <f>VLOOKUP(Q277,Q326:Q452,1,0)</f>
        <v>#N/A</v>
      </c>
    </row>
    <row r="278" spans="1:23" ht="14.25" customHeight="1">
      <c r="A278" s="173" t="s">
        <v>17</v>
      </c>
      <c r="B278" s="174">
        <f>M224+K224</f>
        <v>46355</v>
      </c>
      <c r="C278" s="175">
        <f t="shared" si="81"/>
        <v>2026</v>
      </c>
      <c r="D278" s="176">
        <f t="shared" si="101"/>
        <v>46355</v>
      </c>
      <c r="E278" s="258">
        <f>MONTH(B278:B328)</f>
        <v>11</v>
      </c>
      <c r="F278" s="177">
        <f t="shared" ca="1" si="105"/>
        <v>-8.7142857142857135</v>
      </c>
      <c r="G278" s="177" t="str">
        <f>IFERROR(VLOOKUP(H278,Encerrados!#REF!,3,FALSE),
IFERROR(VLOOKUP(H278,Encerrados!#REF!,3,FALSE),
IFERROR(VLOOKUP(H278,Encerrados!#REF!,3,FALSE),
IFERROR(VLOOKUP(H278,Encerrados!#REF!,3,FALSE),"-"))))</f>
        <v>-</v>
      </c>
      <c r="H278" s="294" t="s">
        <v>375</v>
      </c>
      <c r="I278" s="179">
        <v>42000</v>
      </c>
      <c r="J278" s="173" t="s">
        <v>60</v>
      </c>
      <c r="K278" s="173">
        <v>28</v>
      </c>
      <c r="L278" s="12" t="s">
        <v>368</v>
      </c>
      <c r="M278" s="45">
        <f t="shared" si="106"/>
        <v>46502</v>
      </c>
      <c r="N278" s="45">
        <f t="shared" si="100"/>
        <v>46523</v>
      </c>
      <c r="O278" s="23"/>
      <c r="P278" s="23" t="str">
        <f>IFERROR(VLOOKUP(Q278,Encerrados!#REF!,3,FALSE),
IFERROR(VLOOKUP(Q278,Encerrados!#REF!,3,FALSE),
IFERROR(VLOOKUP(Q278,Encerrados!#REF!,3,FALSE),
IFERROR(VLOOKUP(Q278,Encerrados!#REF!,3,FALSE),"-"))))</f>
        <v>-</v>
      </c>
      <c r="Q278" s="184"/>
      <c r="R278" s="46">
        <f t="shared" si="98"/>
        <v>40320</v>
      </c>
      <c r="S278" s="47">
        <f t="shared" si="99"/>
        <v>46816</v>
      </c>
      <c r="T278" s="48">
        <v>66</v>
      </c>
      <c r="U278" s="49"/>
      <c r="V278" s="50">
        <f t="shared" si="91"/>
        <v>46816</v>
      </c>
      <c r="W278" t="e">
        <f>VLOOKUP(Q278,Q325:Q451,1,0)</f>
        <v>#N/A</v>
      </c>
    </row>
    <row r="279" spans="1:23" ht="14.25" customHeight="1">
      <c r="A279" s="173" t="s">
        <v>17</v>
      </c>
      <c r="B279" s="174">
        <f>M238+K238</f>
        <v>46360</v>
      </c>
      <c r="C279" s="173">
        <f>YEAR(B279)</f>
        <v>2026</v>
      </c>
      <c r="D279" s="176">
        <f>B279</f>
        <v>46360</v>
      </c>
      <c r="E279" s="258"/>
      <c r="F279" s="177">
        <f t="shared" ca="1" si="105"/>
        <v>-9.4285714285714288</v>
      </c>
      <c r="G279" s="177" t="str">
        <f>IFERROR(VLOOKUP(H279,Encerrados!#REF!,3,FALSE),
IFERROR(VLOOKUP(H279,Encerrados!#REF!,3,FALSE),
IFERROR(VLOOKUP(H279,Encerrados!#REF!,3,FALSE),
IFERROR(VLOOKUP(H279,Encerrados!#REF!,3,FALSE),"-"))))</f>
        <v>-</v>
      </c>
      <c r="H279" s="294" t="s">
        <v>120</v>
      </c>
      <c r="I279" s="179">
        <v>50000</v>
      </c>
      <c r="J279" s="173" t="s">
        <v>45</v>
      </c>
      <c r="K279" s="173">
        <v>45</v>
      </c>
      <c r="L279" s="12" t="s">
        <v>368</v>
      </c>
      <c r="M279" s="45">
        <f t="shared" si="106"/>
        <v>46507</v>
      </c>
      <c r="N279" s="45">
        <f>D279+24*7</f>
        <v>46528</v>
      </c>
      <c r="O279" s="23"/>
      <c r="P279" s="23" t="str">
        <f>IFERROR(VLOOKUP(Q279,Encerrados!#REF!,3,FALSE),
IFERROR(VLOOKUP(Q279,Encerrados!#REF!,3,FALSE),
IFERROR(VLOOKUP(Q279,Encerrados!#REF!,3,FALSE),
IFERROR(VLOOKUP(Q279,Encerrados!#REF!,3,FALSE),"-"))))</f>
        <v>-</v>
      </c>
      <c r="Q279" s="184"/>
      <c r="R279" s="46">
        <f>I279*0.96</f>
        <v>48000</v>
      </c>
      <c r="S279" s="47">
        <f>D279+(T279*7)-1</f>
        <v>46821</v>
      </c>
      <c r="T279" s="48">
        <v>66</v>
      </c>
      <c r="U279" s="49"/>
      <c r="V279" s="50">
        <f>IFERROR(S279+U279," ")</f>
        <v>46821</v>
      </c>
      <c r="W279" t="e">
        <f>VLOOKUP(Q279,Q329:Q455,1,0)</f>
        <v>#N/A</v>
      </c>
    </row>
    <row r="280" spans="1:23" ht="14.25" customHeight="1">
      <c r="A280" s="285" t="s">
        <v>17</v>
      </c>
      <c r="B280" s="293">
        <f>M239+K239</f>
        <v>46362</v>
      </c>
      <c r="C280" s="285">
        <f>YEAR(B280)</f>
        <v>2026</v>
      </c>
      <c r="D280" s="288">
        <f>B280</f>
        <v>46362</v>
      </c>
      <c r="E280" s="316">
        <v>153552</v>
      </c>
      <c r="F280" s="290">
        <f t="shared" ca="1" si="105"/>
        <v>-9.7142857142857135</v>
      </c>
      <c r="G280" s="290" t="str">
        <f>IFERROR(VLOOKUP(H280,Encerrados!#REF!,3,FALSE),
IFERROR(VLOOKUP(H280,Encerrados!#REF!,3,FALSE),
IFERROR(VLOOKUP(H280,Encerrados!#REF!,3,FALSE),
IFERROR(VLOOKUP(H280,Encerrados!#REF!,3,FALSE),"-"))))</f>
        <v>-</v>
      </c>
      <c r="H280" s="292" t="s">
        <v>115</v>
      </c>
      <c r="I280" s="291">
        <v>63000</v>
      </c>
      <c r="J280" s="285" t="s">
        <v>45</v>
      </c>
      <c r="K280" s="285">
        <v>50</v>
      </c>
      <c r="L280" s="11" t="s">
        <v>365</v>
      </c>
      <c r="M280" s="45">
        <f t="shared" si="106"/>
        <v>46509</v>
      </c>
      <c r="N280" s="45">
        <f>D280+24*7</f>
        <v>46530</v>
      </c>
      <c r="O280" s="23"/>
      <c r="P280" s="23" t="str">
        <f>IFERROR(VLOOKUP(Q280,Encerrados!#REF!,3,FALSE),
IFERROR(VLOOKUP(Q280,Encerrados!#REF!,3,FALSE),
IFERROR(VLOOKUP(Q280,Encerrados!#REF!,3,FALSE),
IFERROR(VLOOKUP(Q280,Encerrados!#REF!,3,FALSE),"-"))))</f>
        <v>-</v>
      </c>
      <c r="Q280" s="184"/>
      <c r="R280" s="46">
        <f>I280*0.96</f>
        <v>60480</v>
      </c>
      <c r="S280" s="47">
        <f>D280+(T280*7)-1</f>
        <v>46823</v>
      </c>
      <c r="T280" s="48">
        <v>66</v>
      </c>
      <c r="U280" s="49"/>
      <c r="V280" s="50">
        <f>IFERROR(S280+U280," ")</f>
        <v>46823</v>
      </c>
      <c r="W280" t="e">
        <f>VLOOKUP(Q280,Q327:Q453,1,0)</f>
        <v>#N/A</v>
      </c>
    </row>
    <row r="281" spans="1:23" ht="14.25" customHeight="1">
      <c r="A281" s="285" t="s">
        <v>17</v>
      </c>
      <c r="B281" s="293">
        <f>M240+K240</f>
        <v>46359</v>
      </c>
      <c r="C281" s="285">
        <f t="shared" si="81"/>
        <v>2026</v>
      </c>
      <c r="D281" s="288">
        <f t="shared" si="101"/>
        <v>46359</v>
      </c>
      <c r="E281" s="316">
        <v>153552</v>
      </c>
      <c r="F281" s="290">
        <f t="shared" ca="1" si="104"/>
        <v>-9.2857142857142865</v>
      </c>
      <c r="G281" s="290" t="str">
        <f>IFERROR(VLOOKUP(H281,Encerrados!#REF!,3,FALSE),
IFERROR(VLOOKUP(H281,Encerrados!#REF!,3,FALSE),
IFERROR(VLOOKUP(H281,Encerrados!#REF!,3,FALSE),
IFERROR(VLOOKUP(H281,Encerrados!#REF!,3,FALSE),"-"))))</f>
        <v>-</v>
      </c>
      <c r="H281" s="292" t="s">
        <v>115</v>
      </c>
      <c r="I281" s="291">
        <v>63000</v>
      </c>
      <c r="J281" s="285" t="s">
        <v>45</v>
      </c>
      <c r="K281" s="285">
        <v>50</v>
      </c>
      <c r="L281" s="11" t="s">
        <v>365</v>
      </c>
      <c r="M281" s="45">
        <f t="shared" si="77"/>
        <v>46506</v>
      </c>
      <c r="N281" s="45">
        <f t="shared" si="100"/>
        <v>46527</v>
      </c>
      <c r="O281" s="23"/>
      <c r="P281" s="23" t="str">
        <f>IFERROR(VLOOKUP(Q281,Encerrados!#REF!,3,FALSE),
IFERROR(VLOOKUP(Q281,Encerrados!#REF!,3,FALSE),
IFERROR(VLOOKUP(Q281,Encerrados!#REF!,3,FALSE),
IFERROR(VLOOKUP(Q281,Encerrados!#REF!,3,FALSE),"-"))))</f>
        <v>-</v>
      </c>
      <c r="Q281" s="184"/>
      <c r="R281" s="46">
        <f t="shared" si="98"/>
        <v>60480</v>
      </c>
      <c r="S281" s="47">
        <f t="shared" si="99"/>
        <v>46820</v>
      </c>
      <c r="T281" s="48">
        <v>66</v>
      </c>
      <c r="U281" s="49"/>
      <c r="V281" s="50">
        <f t="shared" si="91"/>
        <v>46820</v>
      </c>
      <c r="W281" t="e">
        <f>VLOOKUP(Q281,Q328:Q454,1,0)</f>
        <v>#N/A</v>
      </c>
    </row>
    <row r="282" spans="1:23" ht="14.25" customHeight="1">
      <c r="A282" s="173" t="s">
        <v>17</v>
      </c>
      <c r="B282" s="174">
        <f>M234+K234</f>
        <v>46377</v>
      </c>
      <c r="C282" s="173">
        <f>YEAR(B282)</f>
        <v>2026</v>
      </c>
      <c r="D282" s="176">
        <f>B282</f>
        <v>46377</v>
      </c>
      <c r="E282" s="258">
        <f>MONTH(B282:B328)</f>
        <v>12</v>
      </c>
      <c r="F282" s="177">
        <f ca="1">IF((TODAY()-D282)/7&gt;T282,T282,(TODAY()-D282)/7)</f>
        <v>-11.857142857142858</v>
      </c>
      <c r="G282" s="177" t="str">
        <f>IFERROR(VLOOKUP(H282,Encerrados!#REF!,3,FALSE),
IFERROR(VLOOKUP(H282,Encerrados!#REF!,3,FALSE),
IFERROR(VLOOKUP(H282,Encerrados!#REF!,3,FALSE),
IFERROR(VLOOKUP(H282,Encerrados!#REF!,3,FALSE),"-"))))</f>
        <v>-</v>
      </c>
      <c r="H282" s="294" t="s">
        <v>139</v>
      </c>
      <c r="I282" s="179">
        <v>60000</v>
      </c>
      <c r="J282" s="173" t="s">
        <v>60</v>
      </c>
      <c r="K282" s="173">
        <v>25</v>
      </c>
      <c r="L282" s="12" t="s">
        <v>368</v>
      </c>
      <c r="M282" s="45">
        <f>D282+(22*7)-7</f>
        <v>46524</v>
      </c>
      <c r="N282" s="45">
        <f>D282+24*7</f>
        <v>46545</v>
      </c>
      <c r="O282" s="23"/>
      <c r="P282" s="23" t="str">
        <f>IFERROR(VLOOKUP(Q282,Encerrados!#REF!,3,FALSE),
IFERROR(VLOOKUP(Q282,Encerrados!#REF!,3,FALSE),
IFERROR(VLOOKUP(Q282,Encerrados!#REF!,3,FALSE),
IFERROR(VLOOKUP(Q282,Encerrados!#REF!,3,FALSE),"-"))))</f>
        <v>-</v>
      </c>
      <c r="Q282" s="184"/>
      <c r="R282" s="46">
        <f>I282*0.96</f>
        <v>57600</v>
      </c>
      <c r="S282" s="47">
        <f>D282+(T282*7)-1</f>
        <v>46838</v>
      </c>
      <c r="T282" s="48">
        <v>66</v>
      </c>
      <c r="U282" s="49"/>
      <c r="V282" s="50">
        <f>IFERROR(S282+U282," ")</f>
        <v>46838</v>
      </c>
      <c r="W282" t="e">
        <f>VLOOKUP(Q282,Q332:Q458,1,0)</f>
        <v>#N/A</v>
      </c>
    </row>
    <row r="283" spans="1:23" ht="14.25" customHeight="1">
      <c r="A283" s="285" t="s">
        <v>17</v>
      </c>
      <c r="B283" s="293">
        <f>M237+K237</f>
        <v>46378</v>
      </c>
      <c r="C283" s="285">
        <f t="shared" si="81"/>
        <v>2026</v>
      </c>
      <c r="D283" s="288">
        <f>B283</f>
        <v>46378</v>
      </c>
      <c r="E283" s="316">
        <v>153533</v>
      </c>
      <c r="F283" s="290">
        <f t="shared" ca="1" si="104"/>
        <v>-12</v>
      </c>
      <c r="G283" s="290" t="str">
        <f>IFERROR(VLOOKUP(H283,Encerrados!#REF!,3,FALSE),
IFERROR(VLOOKUP(H283,Encerrados!#REF!,3,FALSE),
IFERROR(VLOOKUP(H283,Encerrados!#REF!,3,FALSE),
IFERROR(VLOOKUP(H283,Encerrados!#REF!,3,FALSE),"-"))))</f>
        <v>-</v>
      </c>
      <c r="H283" s="292" t="s">
        <v>135</v>
      </c>
      <c r="I283" s="291">
        <v>46000</v>
      </c>
      <c r="J283" s="285" t="s">
        <v>60</v>
      </c>
      <c r="K283" s="285">
        <v>28</v>
      </c>
      <c r="L283" s="11" t="s">
        <v>365</v>
      </c>
      <c r="M283" s="45">
        <f t="shared" si="77"/>
        <v>46525</v>
      </c>
      <c r="N283" s="45">
        <f t="shared" si="100"/>
        <v>46546</v>
      </c>
      <c r="O283" s="23"/>
      <c r="P283" s="23" t="str">
        <f>IFERROR(VLOOKUP(Q283,Encerrados!#REF!,3,FALSE),
IFERROR(VLOOKUP(Q283,Encerrados!#REF!,3,FALSE),
IFERROR(VLOOKUP(Q283,Encerrados!#REF!,3,FALSE),
IFERROR(VLOOKUP(Q283,Encerrados!#REF!,3,FALSE),"-"))))</f>
        <v>-</v>
      </c>
      <c r="Q283" s="184"/>
      <c r="R283" s="46">
        <f t="shared" si="98"/>
        <v>44160</v>
      </c>
      <c r="S283" s="47">
        <f t="shared" si="99"/>
        <v>46839</v>
      </c>
      <c r="T283" s="48">
        <v>66</v>
      </c>
      <c r="U283" s="49"/>
      <c r="V283" s="50">
        <f>IFERROR(S283+U283," ")</f>
        <v>46839</v>
      </c>
      <c r="W283" t="e">
        <f>VLOOKUP(Q283,Q331:Q457,1,0)</f>
        <v>#N/A</v>
      </c>
    </row>
    <row r="284" spans="1:23" s="172" customFormat="1" ht="14.25" customHeight="1">
      <c r="A284" s="119" t="s">
        <v>17</v>
      </c>
      <c r="B284" s="120">
        <f>M232+K232+60</f>
        <v>46405</v>
      </c>
      <c r="C284" s="121">
        <f>YEAR(B284)</f>
        <v>2027</v>
      </c>
      <c r="D284" s="122">
        <f>B284</f>
        <v>46405</v>
      </c>
      <c r="E284" s="257">
        <f>MONTH(B271:B328)</f>
        <v>1</v>
      </c>
      <c r="F284" s="123">
        <f ca="1">IF((TODAY()-D284)/7&gt;T284,T284,(TODAY()-D284)/7)</f>
        <v>-15.857142857142858</v>
      </c>
      <c r="G284" s="123" t="str">
        <f>IFERROR(VLOOKUP(H284,Encerrados!#REF!,3,FALSE),
IFERROR(VLOOKUP(H284,Encerrados!#REF!,3,FALSE),
IFERROR(VLOOKUP(H284,Encerrados!#REF!,3,FALSE),
IFERROR(VLOOKUP(H284,Encerrados!#REF!,3,FALSE),"-"))))</f>
        <v>-</v>
      </c>
      <c r="H284" s="124" t="s">
        <v>248</v>
      </c>
      <c r="I284" s="125">
        <v>84000</v>
      </c>
      <c r="J284" s="119" t="s">
        <v>45</v>
      </c>
      <c r="K284" s="119">
        <v>50</v>
      </c>
      <c r="L284" s="11" t="s">
        <v>365</v>
      </c>
      <c r="M284" s="126">
        <f>D284+(22*7)-7</f>
        <v>46552</v>
      </c>
      <c r="N284" s="126">
        <f>D284+24*7</f>
        <v>46573</v>
      </c>
      <c r="O284" s="121"/>
      <c r="P284" s="121" t="str">
        <f>IFERROR(VLOOKUP(Q284,Encerrados!#REF!,3,FALSE),
IFERROR(VLOOKUP(Q284,Encerrados!#REF!,3,FALSE),
IFERROR(VLOOKUP(Q284,Encerrados!#REF!,3,FALSE),
IFERROR(VLOOKUP(Q284,Encerrados!#REF!,3,FALSE),"-"))))</f>
        <v>-</v>
      </c>
      <c r="Q284" s="248" t="s">
        <v>525</v>
      </c>
      <c r="R284" s="127">
        <f>I284*0.96</f>
        <v>80640</v>
      </c>
      <c r="S284" s="128">
        <f>D284+(T284*7)-1</f>
        <v>46866</v>
      </c>
      <c r="T284" s="129">
        <v>66</v>
      </c>
      <c r="U284" s="130"/>
      <c r="V284" s="131">
        <f>IFERROR(S284+U284," ")</f>
        <v>46866</v>
      </c>
      <c r="W284" t="e">
        <f t="shared" ref="W284:W290" si="107">VLOOKUP(Q284,Q334:Q460,1,0)</f>
        <v>#N/A</v>
      </c>
    </row>
    <row r="285" spans="1:23" ht="14.25" customHeight="1">
      <c r="A285" s="173" t="s">
        <v>17</v>
      </c>
      <c r="B285" s="174">
        <f>M241+K241</f>
        <v>46402</v>
      </c>
      <c r="C285" s="173">
        <f t="shared" ref="C285:C290" si="108">YEAR(B285)</f>
        <v>2027</v>
      </c>
      <c r="D285" s="176">
        <f t="shared" ref="D285:D290" si="109">B285</f>
        <v>46402</v>
      </c>
      <c r="E285" s="258">
        <f>MONTH(B285:B328)</f>
        <v>1</v>
      </c>
      <c r="F285" s="177">
        <f t="shared" ca="1" si="104"/>
        <v>-15.428571428571429</v>
      </c>
      <c r="G285" s="177" t="str">
        <f>IFERROR(VLOOKUP(H285,Encerrados!#REF!,3,FALSE),
IFERROR(VLOOKUP(H285,Encerrados!#REF!,3,FALSE),
IFERROR(VLOOKUP(H285,Encerrados!#REF!,3,FALSE),
IFERROR(VLOOKUP(H285,Encerrados!#REF!,3,FALSE),"-"))))</f>
        <v>-</v>
      </c>
      <c r="H285" s="178" t="s">
        <v>123</v>
      </c>
      <c r="I285" s="179">
        <v>42000</v>
      </c>
      <c r="J285" s="173" t="s">
        <v>60</v>
      </c>
      <c r="K285" s="173">
        <v>28</v>
      </c>
      <c r="L285" s="113"/>
      <c r="M285" s="45">
        <f t="shared" ref="M285:M287" si="110">D285+(22*7)-7</f>
        <v>46549</v>
      </c>
      <c r="N285" s="45">
        <f t="shared" si="100"/>
        <v>46570</v>
      </c>
      <c r="O285" s="23"/>
      <c r="P285" s="23" t="str">
        <f>IFERROR(VLOOKUP(Q285,Encerrados!#REF!,3,FALSE),
IFERROR(VLOOKUP(Q285,Encerrados!#REF!,3,FALSE),
IFERROR(VLOOKUP(Q285,Encerrados!#REF!,3,FALSE),
IFERROR(VLOOKUP(Q285,Encerrados!#REF!,3,FALSE),"-"))))</f>
        <v>-</v>
      </c>
      <c r="Q285" s="184"/>
      <c r="R285" s="46">
        <f t="shared" si="98"/>
        <v>40320</v>
      </c>
      <c r="S285" s="47">
        <f t="shared" si="99"/>
        <v>46863</v>
      </c>
      <c r="T285" s="48">
        <v>66</v>
      </c>
      <c r="U285" s="49"/>
      <c r="V285" s="50">
        <f t="shared" ref="V285:V290" si="111">IFERROR(S285+U285," ")</f>
        <v>46863</v>
      </c>
      <c r="W285" t="e">
        <f t="shared" si="107"/>
        <v>#N/A</v>
      </c>
    </row>
    <row r="286" spans="1:23" ht="14.25" customHeight="1">
      <c r="A286" s="119" t="s">
        <v>17</v>
      </c>
      <c r="B286" s="120">
        <f>M254+K254</f>
        <v>46460</v>
      </c>
      <c r="C286" s="121">
        <f t="shared" si="108"/>
        <v>2027</v>
      </c>
      <c r="D286" s="122">
        <f t="shared" si="109"/>
        <v>46460</v>
      </c>
      <c r="E286" s="257">
        <f>MONTH(B286:B328)</f>
        <v>3</v>
      </c>
      <c r="F286" s="123">
        <f ca="1">IF((TODAY()-D286)/7&gt;T286,T286,(TODAY()-D286)/7)</f>
        <v>-23.714285714285715</v>
      </c>
      <c r="G286" s="123" t="str">
        <f>IFERROR(VLOOKUP(H286,Encerrados!#REF!,3,FALSE),
IFERROR(VLOOKUP(H286,Encerrados!#REF!,3,FALSE),
IFERROR(VLOOKUP(H286,Encerrados!#REF!,3,FALSE),
IFERROR(VLOOKUP(H286,Encerrados!#REF!,3,FALSE),"-"))))</f>
        <v>-</v>
      </c>
      <c r="H286" s="124" t="s">
        <v>241</v>
      </c>
      <c r="I286" s="125">
        <v>84000</v>
      </c>
      <c r="J286" s="119" t="s">
        <v>60</v>
      </c>
      <c r="K286" s="119">
        <v>30</v>
      </c>
      <c r="L286" s="11" t="s">
        <v>365</v>
      </c>
      <c r="M286" s="126">
        <f>D286+(22*7)-7</f>
        <v>46607</v>
      </c>
      <c r="N286" s="126">
        <f t="shared" si="100"/>
        <v>46628</v>
      </c>
      <c r="O286" s="121"/>
      <c r="P286" s="121" t="str">
        <f>IFERROR(VLOOKUP(Q286,Encerrados!#REF!,3,FALSE),
IFERROR(VLOOKUP(Q286,Encerrados!#REF!,3,FALSE),
IFERROR(VLOOKUP(Q286,Encerrados!#REF!,3,FALSE),
IFERROR(VLOOKUP(Q286,Encerrados!#REF!,3,FALSE),"-"))))</f>
        <v>-</v>
      </c>
      <c r="Q286" s="221"/>
      <c r="R286" s="127">
        <f t="shared" si="98"/>
        <v>80640</v>
      </c>
      <c r="S286" s="128">
        <f t="shared" si="99"/>
        <v>46921</v>
      </c>
      <c r="T286" s="129">
        <v>66</v>
      </c>
      <c r="U286" s="130"/>
      <c r="V286" s="131">
        <f t="shared" si="111"/>
        <v>46921</v>
      </c>
      <c r="W286" t="e">
        <f t="shared" si="107"/>
        <v>#N/A</v>
      </c>
    </row>
    <row r="287" spans="1:23" ht="14.25" customHeight="1">
      <c r="A287" s="173" t="s">
        <v>17</v>
      </c>
      <c r="B287" s="174">
        <f>M243+K243</f>
        <v>46413</v>
      </c>
      <c r="C287" s="173">
        <f t="shared" si="108"/>
        <v>2027</v>
      </c>
      <c r="D287" s="176">
        <f t="shared" si="109"/>
        <v>46413</v>
      </c>
      <c r="E287" s="258">
        <f>MONTH(B287:B328)</f>
        <v>1</v>
      </c>
      <c r="F287" s="177">
        <f t="shared" ca="1" si="104"/>
        <v>-17</v>
      </c>
      <c r="G287" s="177" t="str">
        <f>IFERROR(VLOOKUP(H287,Encerrados!#REF!,3,FALSE),
IFERROR(VLOOKUP(H287,Encerrados!#REF!,3,FALSE),
IFERROR(VLOOKUP(H287,Encerrados!#REF!,3,FALSE),
IFERROR(VLOOKUP(H287,Encerrados!#REF!,3,FALSE),"-"))))</f>
        <v>-</v>
      </c>
      <c r="H287" s="178" t="s">
        <v>402</v>
      </c>
      <c r="I287" s="179">
        <v>84000</v>
      </c>
      <c r="J287" s="173" t="s">
        <v>45</v>
      </c>
      <c r="K287" s="173">
        <v>50</v>
      </c>
      <c r="L287" s="113"/>
      <c r="M287" s="45">
        <f t="shared" si="110"/>
        <v>46560</v>
      </c>
      <c r="N287" s="45">
        <f t="shared" si="100"/>
        <v>46581</v>
      </c>
      <c r="O287" s="23"/>
      <c r="P287" s="23" t="str">
        <f>IFERROR(VLOOKUP(Q287,Encerrados!#REF!,3,FALSE),
IFERROR(VLOOKUP(Q287,Encerrados!#REF!,3,FALSE),
IFERROR(VLOOKUP(Q287,Encerrados!#REF!,3,FALSE),
IFERROR(VLOOKUP(Q287,Encerrados!#REF!,3,FALSE),"-"))))</f>
        <v>-</v>
      </c>
      <c r="Q287" s="184"/>
      <c r="R287" s="46">
        <f t="shared" si="98"/>
        <v>80640</v>
      </c>
      <c r="S287" s="47">
        <f t="shared" si="99"/>
        <v>46874</v>
      </c>
      <c r="T287" s="48">
        <v>66</v>
      </c>
      <c r="U287" s="49"/>
      <c r="V287" s="50">
        <f t="shared" si="111"/>
        <v>46874</v>
      </c>
      <c r="W287" t="e">
        <f t="shared" si="107"/>
        <v>#N/A</v>
      </c>
    </row>
    <row r="288" spans="1:23" ht="14.25" customHeight="1">
      <c r="A288" s="173" t="s">
        <v>17</v>
      </c>
      <c r="B288" s="174">
        <f>M261+K261</f>
        <v>46471</v>
      </c>
      <c r="C288" s="175">
        <f t="shared" si="108"/>
        <v>2027</v>
      </c>
      <c r="D288" s="176">
        <f t="shared" si="109"/>
        <v>46471</v>
      </c>
      <c r="E288" s="258">
        <f>MONTH(B288:B328)</f>
        <v>3</v>
      </c>
      <c r="F288" s="177">
        <f ca="1">IF((TODAY()-D288)/7&gt;T288,T288,(TODAY()-D288)/7)</f>
        <v>-25.285714285714285</v>
      </c>
      <c r="G288" s="177" t="str">
        <f>IFERROR(VLOOKUP(H288,Encerrados!#REF!,3,FALSE),
IFERROR(VLOOKUP(H288,Encerrados!#REF!,3,FALSE),
IFERROR(VLOOKUP(H288,Encerrados!#REF!,3,FALSE),
IFERROR(VLOOKUP(H288,Encerrados!#REF!,3,FALSE),"-"))))</f>
        <v>-</v>
      </c>
      <c r="H288" s="178" t="s">
        <v>187</v>
      </c>
      <c r="I288" s="179">
        <v>60000</v>
      </c>
      <c r="J288" s="173" t="s">
        <v>45</v>
      </c>
      <c r="K288" s="173">
        <v>50</v>
      </c>
      <c r="L288" s="11" t="s">
        <v>365</v>
      </c>
      <c r="M288" s="45">
        <f>D288+(22*7)-7</f>
        <v>46618</v>
      </c>
      <c r="N288" s="45">
        <f t="shared" si="100"/>
        <v>46639</v>
      </c>
      <c r="O288" s="23"/>
      <c r="P288" s="23" t="str">
        <f>IFERROR(VLOOKUP(Q288,Encerrados!#REF!,3,FALSE),
IFERROR(VLOOKUP(Q288,Encerrados!#REF!,3,FALSE),
IFERROR(VLOOKUP(Q288,Encerrados!#REF!,3,FALSE),
IFERROR(VLOOKUP(Q288,Encerrados!#REF!,3,FALSE),"-"))))</f>
        <v>-</v>
      </c>
      <c r="Q288" s="184"/>
      <c r="R288" s="46">
        <f t="shared" si="98"/>
        <v>57600</v>
      </c>
      <c r="S288" s="47">
        <f t="shared" si="99"/>
        <v>46932</v>
      </c>
      <c r="T288" s="48">
        <v>66</v>
      </c>
      <c r="U288" s="49"/>
      <c r="V288" s="50">
        <f t="shared" si="111"/>
        <v>46932</v>
      </c>
      <c r="W288" t="e">
        <f t="shared" si="107"/>
        <v>#N/A</v>
      </c>
    </row>
    <row r="289" spans="1:23" ht="14.25" customHeight="1">
      <c r="A289" s="119" t="s">
        <v>17</v>
      </c>
      <c r="B289" s="120">
        <f>M253+K253</f>
        <v>46431</v>
      </c>
      <c r="C289" s="121">
        <f t="shared" si="108"/>
        <v>2027</v>
      </c>
      <c r="D289" s="122">
        <f t="shared" si="109"/>
        <v>46431</v>
      </c>
      <c r="E289" s="257">
        <f>MONTH(B289:B328)</f>
        <v>2</v>
      </c>
      <c r="F289" s="123">
        <f ca="1">IF((TODAY()-D289)/7&gt;T289,T289,(TODAY()-D289)/7)</f>
        <v>-19.571428571428573</v>
      </c>
      <c r="G289" s="123" t="str">
        <f>IFERROR(VLOOKUP(H289,Encerrados!#REF!,3,FALSE),
IFERROR(VLOOKUP(H289,Encerrados!#REF!,3,FALSE),
IFERROR(VLOOKUP(H289,Encerrados!#REF!,3,FALSE),
IFERROR(VLOOKUP(H289,Encerrados!#REF!,3,FALSE),"-"))))</f>
        <v>-</v>
      </c>
      <c r="H289" s="248" t="s">
        <v>252</v>
      </c>
      <c r="I289" s="125">
        <v>60000</v>
      </c>
      <c r="J289" s="119" t="s">
        <v>60</v>
      </c>
      <c r="K289" s="119">
        <v>30</v>
      </c>
      <c r="L289" s="38" t="s">
        <v>376</v>
      </c>
      <c r="M289" s="126">
        <f>D289+(22*7)-7</f>
        <v>46578</v>
      </c>
      <c r="N289" s="126">
        <f t="shared" si="100"/>
        <v>46599</v>
      </c>
      <c r="O289" s="121"/>
      <c r="P289" s="121" t="str">
        <f>IFERROR(VLOOKUP(Q289,Encerrados!#REF!,3,FALSE),
IFERROR(VLOOKUP(Q289,Encerrados!#REF!,3,FALSE),
IFERROR(VLOOKUP(Q289,Encerrados!#REF!,3,FALSE),
IFERROR(VLOOKUP(Q289,Encerrados!#REF!,3,FALSE),"-"))))</f>
        <v>-</v>
      </c>
      <c r="Q289" s="248" t="s">
        <v>261</v>
      </c>
      <c r="R289" s="127">
        <f t="shared" si="98"/>
        <v>57600</v>
      </c>
      <c r="S289" s="128">
        <f t="shared" si="99"/>
        <v>46892</v>
      </c>
      <c r="T289" s="129">
        <v>66</v>
      </c>
      <c r="U289" s="130"/>
      <c r="V289" s="131">
        <f t="shared" si="111"/>
        <v>46892</v>
      </c>
      <c r="W289" t="e">
        <f t="shared" si="107"/>
        <v>#N/A</v>
      </c>
    </row>
    <row r="290" spans="1:23" ht="14.25" customHeight="1">
      <c r="A290" s="119" t="s">
        <v>17</v>
      </c>
      <c r="B290" s="120">
        <f>M267+K267</f>
        <v>46514</v>
      </c>
      <c r="C290" s="121">
        <f t="shared" si="108"/>
        <v>2027</v>
      </c>
      <c r="D290" s="122">
        <f t="shared" si="109"/>
        <v>46514</v>
      </c>
      <c r="E290" s="257">
        <f>MONTH(B290:B328)</f>
        <v>5</v>
      </c>
      <c r="F290" s="123">
        <f ca="1">IF((TODAY()-D290)/7&gt;T290,T290,(TODAY()-D290)/7)</f>
        <v>-31.428571428571427</v>
      </c>
      <c r="G290" s="123" t="str">
        <f>IFERROR(VLOOKUP(H290,Encerrados!#REF!,3,FALSE),
IFERROR(VLOOKUP(H290,Encerrados!#REF!,3,FALSE),
IFERROR(VLOOKUP(H290,Encerrados!#REF!,3,FALSE),
IFERROR(VLOOKUP(H290,Encerrados!#REF!,3,FALSE),"-"))))</f>
        <v>-</v>
      </c>
      <c r="H290" s="124" t="s">
        <v>521</v>
      </c>
      <c r="I290" s="125">
        <v>60000</v>
      </c>
      <c r="J290" s="119" t="s">
        <v>60</v>
      </c>
      <c r="K290" s="119">
        <v>30</v>
      </c>
      <c r="L290" s="38" t="s">
        <v>376</v>
      </c>
      <c r="M290" s="126">
        <f>D290+(22*7)-7</f>
        <v>46661</v>
      </c>
      <c r="N290" s="126">
        <f t="shared" si="100"/>
        <v>46682</v>
      </c>
      <c r="O290" s="121"/>
      <c r="P290" s="121" t="str">
        <f>IFERROR(VLOOKUP(Q290,Encerrados!#REF!,3,FALSE),
IFERROR(VLOOKUP(Q290,Encerrados!#REF!,3,FALSE),
IFERROR(VLOOKUP(Q290,Encerrados!#REF!,3,FALSE),
IFERROR(VLOOKUP(Q290,Encerrados!#REF!,3,FALSE),"-"))))</f>
        <v>-</v>
      </c>
      <c r="Q290" s="221"/>
      <c r="R290" s="127">
        <f t="shared" si="98"/>
        <v>57600</v>
      </c>
      <c r="S290" s="128">
        <f t="shared" si="99"/>
        <v>46975</v>
      </c>
      <c r="T290" s="129">
        <v>66</v>
      </c>
      <c r="U290" s="130"/>
      <c r="V290" s="131">
        <f t="shared" si="111"/>
        <v>46975</v>
      </c>
      <c r="W290" t="e">
        <f t="shared" si="107"/>
        <v>#N/A</v>
      </c>
    </row>
    <row r="291" spans="1:23" ht="14.25" customHeight="1">
      <c r="A291" s="2"/>
      <c r="B291" s="2"/>
      <c r="C291" s="2"/>
      <c r="D291" s="2"/>
      <c r="E291" s="2"/>
      <c r="F291" s="2"/>
      <c r="G291" s="2"/>
      <c r="H291" s="3"/>
      <c r="I291" s="4"/>
      <c r="J291" s="2"/>
      <c r="K291" s="2"/>
      <c r="L291" s="2"/>
      <c r="M291" s="2"/>
      <c r="N291" s="2"/>
      <c r="O291" s="2"/>
      <c r="P291" s="2"/>
      <c r="Q291" s="222"/>
      <c r="R291" s="2"/>
      <c r="S291" s="2"/>
      <c r="T291" s="5"/>
      <c r="U291" s="2"/>
      <c r="V291" s="2"/>
    </row>
    <row r="292" spans="1:23" ht="14.25" customHeight="1">
      <c r="A292" s="2"/>
      <c r="B292" s="2"/>
      <c r="C292" s="2"/>
      <c r="D292" s="2"/>
      <c r="E292" s="2"/>
      <c r="F292" s="2"/>
      <c r="G292" s="2"/>
      <c r="H292" s="3"/>
      <c r="I292" s="4"/>
      <c r="J292" s="2"/>
      <c r="K292" s="2"/>
      <c r="L292" s="2"/>
      <c r="M292" s="2"/>
      <c r="N292" s="2"/>
      <c r="O292" s="2"/>
      <c r="P292" s="2"/>
      <c r="Q292" s="222"/>
      <c r="R292" s="2"/>
      <c r="S292" s="2"/>
      <c r="T292" s="5"/>
      <c r="U292" s="2"/>
      <c r="V292" s="2"/>
    </row>
    <row r="293" spans="1:23" ht="14.25" customHeight="1">
      <c r="A293" s="2"/>
      <c r="B293" s="2"/>
      <c r="C293" s="2"/>
      <c r="D293" s="2"/>
      <c r="E293" s="2"/>
      <c r="F293" s="2"/>
      <c r="G293" s="2"/>
      <c r="H293" s="3"/>
      <c r="I293" s="4"/>
      <c r="J293" s="2"/>
      <c r="K293" s="2"/>
      <c r="L293" s="2"/>
      <c r="M293" s="2"/>
      <c r="N293" s="2"/>
      <c r="O293" s="2"/>
      <c r="P293" s="2"/>
      <c r="Q293" s="222"/>
      <c r="R293" s="2"/>
      <c r="S293" s="2"/>
      <c r="T293" s="5"/>
      <c r="U293" s="2"/>
      <c r="V293" s="2"/>
    </row>
    <row r="294" spans="1:23" ht="14.25" customHeight="1">
      <c r="A294" s="2"/>
      <c r="B294" s="2"/>
      <c r="C294" s="2"/>
      <c r="D294" s="2"/>
      <c r="E294" s="2"/>
      <c r="F294" s="2"/>
      <c r="G294" s="2"/>
      <c r="H294" s="3"/>
      <c r="I294" s="4"/>
      <c r="J294" s="2"/>
      <c r="K294" s="2"/>
      <c r="L294" s="2"/>
      <c r="M294" s="2"/>
      <c r="N294" s="2"/>
      <c r="O294" s="2"/>
      <c r="P294" s="2"/>
      <c r="Q294" s="222"/>
      <c r="R294" s="2"/>
      <c r="S294" s="2"/>
      <c r="T294" s="5"/>
      <c r="U294" s="2"/>
      <c r="V294" s="2"/>
    </row>
    <row r="295" spans="1:23">
      <c r="A295" s="2"/>
      <c r="B295" s="2"/>
      <c r="C295" s="2"/>
      <c r="D295" s="2"/>
      <c r="E295" s="2"/>
      <c r="F295" s="2"/>
      <c r="G295" s="2"/>
      <c r="H295" s="3"/>
      <c r="I295" s="4"/>
      <c r="J295" s="2"/>
      <c r="K295" s="2"/>
      <c r="L295" s="2"/>
      <c r="M295" s="2"/>
      <c r="N295" s="2"/>
      <c r="O295" s="2"/>
      <c r="P295" s="2"/>
      <c r="Q295" s="222"/>
      <c r="R295" s="75" t="s">
        <v>342</v>
      </c>
      <c r="S295" s="111">
        <v>2026</v>
      </c>
      <c r="T295" s="5"/>
      <c r="U295" s="2"/>
      <c r="V295" s="2"/>
    </row>
    <row r="296" spans="1:23" ht="14.25" customHeight="1">
      <c r="A296" s="2"/>
      <c r="B296" s="2"/>
      <c r="C296" s="2"/>
      <c r="D296" s="2"/>
      <c r="E296" s="2"/>
      <c r="F296" s="2"/>
      <c r="G296" s="2"/>
      <c r="H296" s="3"/>
      <c r="I296" s="4"/>
      <c r="J296" s="2"/>
      <c r="K296" s="2"/>
      <c r="L296" s="2"/>
      <c r="M296" s="2"/>
      <c r="N296" s="2"/>
      <c r="O296" s="2"/>
      <c r="P296" s="2"/>
      <c r="Q296" s="222"/>
      <c r="R296" s="2"/>
      <c r="S296" s="2"/>
      <c r="T296" s="5"/>
      <c r="U296" s="2"/>
      <c r="V296" s="2"/>
    </row>
    <row r="297" spans="1:23" ht="17.399999999999999">
      <c r="A297" s="2"/>
      <c r="B297" s="2"/>
      <c r="C297" s="2"/>
      <c r="D297" s="2"/>
      <c r="E297" s="2"/>
      <c r="F297" s="2"/>
      <c r="G297" s="2"/>
      <c r="H297" s="250" t="s">
        <v>263</v>
      </c>
      <c r="I297" s="250" t="s">
        <v>264</v>
      </c>
      <c r="J297" s="112"/>
      <c r="K297" s="112"/>
      <c r="L297" s="112"/>
      <c r="P297"/>
      <c r="Q297"/>
      <c r="R297" s="75" t="s">
        <v>526</v>
      </c>
      <c r="S297" t="s">
        <v>263</v>
      </c>
    </row>
    <row r="298" spans="1:23" ht="17.399999999999999">
      <c r="A298" s="2"/>
      <c r="B298" s="2"/>
      <c r="C298" s="2"/>
      <c r="D298" s="2"/>
      <c r="E298" s="2"/>
      <c r="F298" s="2"/>
      <c r="G298" s="2"/>
      <c r="H298" s="250" t="s">
        <v>265</v>
      </c>
      <c r="I298" s="112" t="s">
        <v>344</v>
      </c>
      <c r="J298" s="112" t="s">
        <v>266</v>
      </c>
      <c r="K298" s="112" t="s">
        <v>267</v>
      </c>
      <c r="L298" s="112" t="s">
        <v>268</v>
      </c>
      <c r="P298"/>
      <c r="Q298"/>
      <c r="R298" t="s">
        <v>270</v>
      </c>
      <c r="S298">
        <v>285000</v>
      </c>
    </row>
    <row r="299" spans="1:23" ht="17.399999999999999">
      <c r="A299" s="2"/>
      <c r="B299" s="2"/>
      <c r="C299" s="2"/>
      <c r="D299" s="2"/>
      <c r="E299" s="2"/>
      <c r="F299" s="2"/>
      <c r="G299" s="2"/>
      <c r="H299" s="251" t="s">
        <v>365</v>
      </c>
      <c r="I299" s="256">
        <v>1287000</v>
      </c>
      <c r="J299" s="256">
        <v>1791000</v>
      </c>
      <c r="K299" s="256">
        <v>2370000</v>
      </c>
      <c r="L299" s="256">
        <v>228000</v>
      </c>
      <c r="P299"/>
      <c r="Q299"/>
      <c r="R299" t="s">
        <v>271</v>
      </c>
      <c r="S299">
        <v>366000</v>
      </c>
    </row>
    <row r="300" spans="1:23" ht="17.399999999999999">
      <c r="A300" s="2"/>
      <c r="B300" s="2"/>
      <c r="C300" s="2"/>
      <c r="D300" s="199"/>
      <c r="E300" s="2" t="s">
        <v>527</v>
      </c>
      <c r="G300" s="2"/>
      <c r="H300" s="251" t="s">
        <v>381</v>
      </c>
      <c r="I300" s="256">
        <v>551000</v>
      </c>
      <c r="J300" s="256"/>
      <c r="K300" s="256"/>
      <c r="L300" s="256"/>
      <c r="P300"/>
      <c r="Q300"/>
      <c r="R300" t="s">
        <v>272</v>
      </c>
      <c r="S300">
        <v>449000</v>
      </c>
    </row>
    <row r="301" spans="1:23" ht="17.399999999999999">
      <c r="A301" s="2"/>
      <c r="B301" s="2"/>
      <c r="C301" s="2"/>
      <c r="D301" s="2"/>
      <c r="E301" s="2"/>
      <c r="F301" s="2"/>
      <c r="G301" s="2"/>
      <c r="H301" s="251" t="s">
        <v>376</v>
      </c>
      <c r="I301" s="256">
        <v>267000</v>
      </c>
      <c r="J301" s="256">
        <v>300000</v>
      </c>
      <c r="K301" s="256">
        <v>269000</v>
      </c>
      <c r="L301" s="256">
        <v>120000</v>
      </c>
      <c r="P301"/>
      <c r="Q301"/>
      <c r="R301" t="s">
        <v>273</v>
      </c>
      <c r="S301">
        <v>287000</v>
      </c>
    </row>
    <row r="302" spans="1:23" ht="17.399999999999999">
      <c r="A302" s="2"/>
      <c r="B302" s="2"/>
      <c r="C302" s="2"/>
      <c r="D302" s="2"/>
      <c r="E302" s="2"/>
      <c r="F302" s="2"/>
      <c r="G302" s="2"/>
      <c r="H302" s="251" t="s">
        <v>368</v>
      </c>
      <c r="I302" s="256">
        <v>476000</v>
      </c>
      <c r="J302" s="256">
        <v>1288392</v>
      </c>
      <c r="K302" s="256">
        <v>1475000</v>
      </c>
      <c r="L302" s="256"/>
      <c r="P302"/>
      <c r="Q302"/>
      <c r="R302" t="s">
        <v>274</v>
      </c>
      <c r="S302">
        <v>466000</v>
      </c>
    </row>
    <row r="303" spans="1:23" ht="17.399999999999999">
      <c r="A303" s="2"/>
      <c r="B303" s="2"/>
      <c r="C303" s="2"/>
      <c r="D303" s="2"/>
      <c r="E303" s="2"/>
      <c r="F303" s="2"/>
      <c r="G303" s="2"/>
      <c r="H303" s="251" t="s">
        <v>472</v>
      </c>
      <c r="I303" s="256">
        <v>46000</v>
      </c>
      <c r="J303" s="256">
        <v>160000</v>
      </c>
      <c r="K303" s="256">
        <v>267000</v>
      </c>
      <c r="L303" s="256"/>
      <c r="P303"/>
      <c r="Q303"/>
      <c r="R303" t="s">
        <v>275</v>
      </c>
      <c r="S303">
        <v>434000</v>
      </c>
    </row>
    <row r="304" spans="1:23" ht="17.399999999999999">
      <c r="A304" s="2"/>
      <c r="B304" s="2"/>
      <c r="C304" s="2"/>
      <c r="D304" s="2"/>
      <c r="E304" s="2"/>
      <c r="F304" s="2"/>
      <c r="G304" s="2"/>
      <c r="H304" s="251" t="s">
        <v>528</v>
      </c>
      <c r="I304" s="256"/>
      <c r="J304" s="256"/>
      <c r="K304" s="256"/>
      <c r="L304" s="256">
        <v>210000</v>
      </c>
      <c r="P304"/>
      <c r="Q304"/>
      <c r="R304" t="s">
        <v>276</v>
      </c>
      <c r="S304">
        <v>264000</v>
      </c>
    </row>
    <row r="305" spans="1:19" ht="17.399999999999999">
      <c r="A305" s="2"/>
      <c r="B305" s="2"/>
      <c r="C305" s="2"/>
      <c r="D305" s="2"/>
      <c r="E305" s="2"/>
      <c r="F305" s="2"/>
      <c r="G305" s="2"/>
      <c r="H305" s="251" t="s">
        <v>522</v>
      </c>
      <c r="I305" s="256"/>
      <c r="J305" s="256"/>
      <c r="K305" s="256">
        <v>84000</v>
      </c>
      <c r="L305" s="256"/>
      <c r="P305"/>
      <c r="Q305"/>
      <c r="R305" t="s">
        <v>277</v>
      </c>
      <c r="S305">
        <v>404000</v>
      </c>
    </row>
    <row r="306" spans="1:19" ht="17.399999999999999">
      <c r="A306" s="2"/>
      <c r="B306" s="2"/>
      <c r="C306" s="2"/>
      <c r="D306" s="2"/>
      <c r="E306" s="2"/>
      <c r="F306" s="2"/>
      <c r="G306" s="2"/>
      <c r="H306" s="251" t="s">
        <v>512</v>
      </c>
      <c r="I306" s="256"/>
      <c r="J306" s="256">
        <v>42000</v>
      </c>
      <c r="K306" s="256"/>
      <c r="L306" s="256"/>
      <c r="P306"/>
      <c r="Q306"/>
      <c r="R306" t="s">
        <v>278</v>
      </c>
      <c r="S306">
        <v>504000</v>
      </c>
    </row>
    <row r="307" spans="1:19" ht="17.399999999999999">
      <c r="A307" s="2"/>
      <c r="B307" s="2"/>
      <c r="C307" s="2"/>
      <c r="D307" s="2"/>
      <c r="E307" s="2"/>
      <c r="F307" s="2"/>
      <c r="G307" s="2"/>
      <c r="H307" s="251" t="s">
        <v>507</v>
      </c>
      <c r="I307" s="256"/>
      <c r="J307" s="256">
        <v>102000</v>
      </c>
      <c r="K307" s="256"/>
      <c r="L307" s="256"/>
      <c r="P307"/>
      <c r="Q307"/>
      <c r="R307" t="s">
        <v>279</v>
      </c>
      <c r="S307">
        <v>218000</v>
      </c>
    </row>
    <row r="308" spans="1:19" ht="17.399999999999999">
      <c r="A308" s="2"/>
      <c r="B308" s="2"/>
      <c r="C308" s="2"/>
      <c r="D308" s="2"/>
      <c r="E308" s="2"/>
      <c r="F308" s="2"/>
      <c r="G308" s="2"/>
      <c r="H308" s="251" t="s">
        <v>529</v>
      </c>
      <c r="I308" s="256"/>
      <c r="J308" s="256"/>
      <c r="K308" s="256">
        <v>60000</v>
      </c>
      <c r="L308" s="256"/>
      <c r="P308"/>
      <c r="Q308"/>
      <c r="R308" t="s">
        <v>280</v>
      </c>
      <c r="S308">
        <v>456000</v>
      </c>
    </row>
    <row r="309" spans="1:19" ht="17.399999999999999">
      <c r="A309" s="2"/>
      <c r="B309" s="2"/>
      <c r="C309" s="2"/>
      <c r="D309" s="2"/>
      <c r="E309" s="2"/>
      <c r="F309" s="2"/>
      <c r="G309" s="2"/>
      <c r="H309" s="251" t="s">
        <v>510</v>
      </c>
      <c r="I309" s="256"/>
      <c r="J309" s="256">
        <v>252500</v>
      </c>
      <c r="K309" s="256"/>
      <c r="L309" s="256"/>
      <c r="P309"/>
      <c r="Q309"/>
      <c r="R309" t="s">
        <v>281</v>
      </c>
      <c r="S309">
        <v>392000</v>
      </c>
    </row>
    <row r="310" spans="1:19" ht="17.399999999999999">
      <c r="A310" s="2"/>
      <c r="B310" s="2"/>
      <c r="C310" s="2"/>
      <c r="D310" s="2"/>
      <c r="E310" s="2"/>
      <c r="F310" s="2"/>
      <c r="G310" s="2"/>
      <c r="H310" s="251" t="s">
        <v>282</v>
      </c>
      <c r="I310" s="256">
        <v>2627000</v>
      </c>
      <c r="J310" s="256">
        <v>3935892</v>
      </c>
      <c r="K310" s="256">
        <v>4525000</v>
      </c>
      <c r="L310" s="256">
        <v>558000</v>
      </c>
      <c r="P310"/>
      <c r="Q310"/>
      <c r="R310" t="s">
        <v>282</v>
      </c>
      <c r="S310">
        <v>4525000</v>
      </c>
    </row>
    <row r="311" spans="1:19">
      <c r="A311" s="2"/>
      <c r="B311" s="2"/>
      <c r="C311" s="2"/>
      <c r="D311" s="2"/>
      <c r="E311" s="2"/>
      <c r="F311" s="2"/>
      <c r="G311" s="2"/>
      <c r="Q311" s="222"/>
    </row>
    <row r="312" spans="1:19">
      <c r="A312" s="2"/>
      <c r="B312" s="2"/>
      <c r="C312" s="2"/>
      <c r="D312" s="2"/>
      <c r="E312" s="2"/>
      <c r="F312" s="2"/>
      <c r="G312" s="2"/>
      <c r="N312" s="2"/>
      <c r="Q312" s="222"/>
    </row>
    <row r="313" spans="1:19">
      <c r="A313" s="2"/>
      <c r="B313" s="2"/>
      <c r="C313" s="2"/>
      <c r="D313" s="2"/>
      <c r="E313" s="2"/>
      <c r="F313" s="2"/>
      <c r="G313" s="2"/>
      <c r="N313" s="2"/>
      <c r="Q313" s="222"/>
    </row>
    <row r="314" spans="1:19">
      <c r="A314" s="2"/>
      <c r="B314" s="2"/>
      <c r="C314" s="2"/>
      <c r="D314" s="2"/>
      <c r="E314" s="2"/>
      <c r="F314" s="2"/>
      <c r="G314" s="2"/>
    </row>
    <row r="315" spans="1:19">
      <c r="A315" s="2"/>
      <c r="B315" s="2"/>
      <c r="C315" s="2"/>
      <c r="D315" s="2"/>
      <c r="E315" s="2"/>
      <c r="F315" s="2"/>
      <c r="G315" s="2"/>
    </row>
    <row r="316" spans="1:19">
      <c r="A316" s="2"/>
      <c r="B316" s="2"/>
      <c r="C316" s="2"/>
      <c r="D316" s="2"/>
      <c r="E316" s="2"/>
      <c r="F316" s="2"/>
      <c r="G316" s="2"/>
    </row>
    <row r="317" spans="1:19">
      <c r="A317" s="2"/>
      <c r="B317" s="2"/>
      <c r="C317" s="2"/>
      <c r="D317" s="2"/>
      <c r="E317" s="2"/>
      <c r="F317" s="2"/>
      <c r="G317" s="2"/>
    </row>
    <row r="318" spans="1:19">
      <c r="A318" s="2"/>
      <c r="B318" s="2"/>
      <c r="C318" s="2"/>
      <c r="D318" s="2"/>
      <c r="E318" s="2"/>
      <c r="F318" s="2"/>
      <c r="G318" s="2"/>
    </row>
    <row r="319" spans="1:19">
      <c r="A319" s="2"/>
      <c r="B319" s="2"/>
      <c r="C319" s="2"/>
      <c r="D319" s="2"/>
      <c r="E319" s="2"/>
      <c r="F319" s="2"/>
      <c r="G319" s="2"/>
    </row>
    <row r="320" spans="1:19">
      <c r="A320" s="2"/>
      <c r="B320" s="2"/>
      <c r="C320" s="2"/>
      <c r="D320" s="2"/>
      <c r="E320" s="2"/>
      <c r="F320" s="2"/>
      <c r="G320" s="2"/>
    </row>
    <row r="321" spans="1:7">
      <c r="A321" s="2"/>
      <c r="B321" s="2"/>
      <c r="C321" s="2"/>
      <c r="D321" s="2"/>
      <c r="E321" s="2"/>
      <c r="F321" s="2"/>
      <c r="G321" s="2"/>
    </row>
    <row r="322" spans="1:7">
      <c r="A322" s="2"/>
      <c r="B322" s="2"/>
      <c r="C322" s="2"/>
      <c r="D322" s="2"/>
      <c r="E322" s="2"/>
      <c r="F322" s="2"/>
      <c r="G322" s="2"/>
    </row>
    <row r="323" spans="1:7">
      <c r="A323" s="2"/>
      <c r="B323" s="2"/>
      <c r="C323" s="2"/>
      <c r="D323" s="2"/>
      <c r="E323" s="2"/>
      <c r="F323" s="2"/>
      <c r="G323" s="2"/>
    </row>
    <row r="324" spans="1:7">
      <c r="A324" s="2"/>
      <c r="B324" s="2"/>
      <c r="C324" s="2"/>
      <c r="D324" s="2"/>
      <c r="E324" s="2"/>
      <c r="F324" s="2"/>
      <c r="G324" s="2"/>
    </row>
    <row r="325" spans="1:7">
      <c r="A325" s="2"/>
      <c r="B325" s="2"/>
      <c r="C325" s="2"/>
      <c r="D325" s="2"/>
      <c r="E325" s="2"/>
      <c r="F325" s="2"/>
      <c r="G325" s="2"/>
    </row>
    <row r="326" spans="1:7">
      <c r="A326" s="2"/>
      <c r="B326" s="2"/>
      <c r="C326" s="2"/>
      <c r="D326" s="2"/>
      <c r="E326" s="2"/>
      <c r="F326" s="2"/>
      <c r="G326" s="2"/>
    </row>
    <row r="327" spans="1:7">
      <c r="A327" s="2"/>
      <c r="B327" s="2"/>
      <c r="C327" s="2"/>
      <c r="D327" s="2"/>
      <c r="E327" s="2"/>
      <c r="F327" s="2"/>
      <c r="G327" s="2"/>
    </row>
    <row r="328" spans="1:7">
      <c r="A328" s="2"/>
      <c r="B328" s="2"/>
      <c r="C328" s="2"/>
      <c r="D328" s="2"/>
      <c r="E328" s="2"/>
      <c r="F328" s="2"/>
      <c r="G328" s="2"/>
    </row>
  </sheetData>
  <sheetProtection algorithmName="SHA-512" hashValue="d9HUxh8pEW5+9GarkFwla9xKRBRdbPZQbSViqzyRj6ByyW9i0eE2Ch/vhohvAoS3wQM4AnnFutdvA6klUpHHkA==" saltValue="wPDq4LvyO0dK1ygtbt3CQA==" spinCount="100000" sheet="1" objects="1" scenarios="1" formatColumns="0" autoFilter="0"/>
  <autoFilter ref="A1:W290" xr:uid="{00000000-0001-0000-0000-000000000000}"/>
  <conditionalFormatting sqref="Y68">
    <cfRule type="expression" dxfId="332" priority="1">
      <formula>$Q68=VLOOKUP($Q68,#REF!,1,0)</formula>
    </cfRule>
  </conditionalFormatting>
  <printOptions horizontalCentered="1"/>
  <pageMargins left="0" right="0" top="0" bottom="0" header="0" footer="0"/>
  <pageSetup paperSize="9" scale="40" fitToHeight="3" orientation="landscape" horizontalDpi="4294967293" verticalDpi="4294967293" r:id="rId3"/>
  <headerFooter>
    <oddFooter>&amp;L&amp;D&amp;T</oddFooter>
  </headerFooter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09F1-4ADC-4355-937B-C3B6693D1F8D}">
  <sheetPr codeName="Planilha8">
    <tabColor rgb="FFFFFF00"/>
    <pageSetUpPr fitToPage="1"/>
  </sheetPr>
  <dimension ref="A1:W72"/>
  <sheetViews>
    <sheetView showGridLines="0" zoomScale="85" zoomScaleNormal="85" workbookViewId="0">
      <selection activeCell="G10" sqref="G10"/>
    </sheetView>
  </sheetViews>
  <sheetFormatPr defaultColWidth="9.09765625" defaultRowHeight="15.6"/>
  <cols>
    <col min="1" max="1" width="12.09765625" style="265" bestFit="1" customWidth="1"/>
    <col min="2" max="2" width="18.09765625" style="265" bestFit="1" customWidth="1"/>
    <col min="3" max="3" width="27.8984375" style="265" bestFit="1" customWidth="1"/>
    <col min="4" max="4" width="11.09765625" style="265" bestFit="1" customWidth="1"/>
    <col min="5" max="5" width="13.09765625" style="265" bestFit="1" customWidth="1"/>
    <col min="6" max="6" width="15.69921875" style="265" bestFit="1" customWidth="1"/>
    <col min="7" max="7" width="19.296875" style="265" bestFit="1" customWidth="1"/>
    <col min="8" max="8" width="9.296875" style="265" bestFit="1" customWidth="1"/>
    <col min="9" max="9" width="13" style="265" bestFit="1" customWidth="1"/>
    <col min="10" max="10" width="13.3984375" style="265" bestFit="1" customWidth="1"/>
    <col min="11" max="11" width="3.8984375" style="265" bestFit="1" customWidth="1"/>
    <col min="12" max="12" width="9.3984375" style="871" customWidth="1"/>
    <col min="13" max="13" width="22.69921875" style="265" bestFit="1" customWidth="1"/>
    <col min="14" max="14" width="18.59765625" style="265" bestFit="1" customWidth="1"/>
    <col min="15" max="15" width="11.8984375" style="265" bestFit="1" customWidth="1"/>
    <col min="16" max="16" width="10.296875" style="265" bestFit="1" customWidth="1"/>
    <col min="17" max="17" width="24.296875" style="265" bestFit="1" customWidth="1"/>
    <col min="18" max="18" width="9.296875" style="265" bestFit="1" customWidth="1"/>
    <col min="19" max="19" width="14.8984375" style="265" bestFit="1" customWidth="1"/>
    <col min="20" max="20" width="22.3984375" style="265" bestFit="1" customWidth="1"/>
    <col min="21" max="21" width="7.8984375" style="265" bestFit="1" customWidth="1"/>
    <col min="22" max="22" width="9.09765625" style="265" bestFit="1" customWidth="1"/>
    <col min="23" max="23" width="12.8984375" style="265" bestFit="1" customWidth="1"/>
    <col min="24" max="16384" width="9.09765625" style="265"/>
  </cols>
  <sheetData>
    <row r="1" spans="1:23" s="817" customFormat="1" ht="31.2">
      <c r="A1" s="884" t="s">
        <v>0</v>
      </c>
      <c r="B1" s="884" t="s">
        <v>1</v>
      </c>
      <c r="C1" s="884" t="s">
        <v>2</v>
      </c>
      <c r="D1" s="884" t="s">
        <v>3</v>
      </c>
      <c r="E1" s="797" t="s">
        <v>4</v>
      </c>
      <c r="F1" s="633" t="s">
        <v>5</v>
      </c>
      <c r="G1" s="884" t="s">
        <v>6</v>
      </c>
      <c r="H1" s="884" t="s">
        <v>7</v>
      </c>
      <c r="I1" s="884" t="s">
        <v>8</v>
      </c>
      <c r="J1" s="884" t="s">
        <v>9</v>
      </c>
      <c r="K1" s="884" t="s">
        <v>10</v>
      </c>
      <c r="L1" s="797" t="s">
        <v>11</v>
      </c>
      <c r="M1" s="797" t="s">
        <v>12</v>
      </c>
      <c r="N1" s="885" t="s">
        <v>13</v>
      </c>
      <c r="O1" s="884" t="s">
        <v>3</v>
      </c>
      <c r="P1" s="633" t="s">
        <v>5</v>
      </c>
      <c r="Q1" s="884" t="s">
        <v>295</v>
      </c>
      <c r="R1" s="884" t="s">
        <v>7</v>
      </c>
      <c r="S1" s="886" t="s">
        <v>8</v>
      </c>
      <c r="T1" s="884" t="s">
        <v>14</v>
      </c>
      <c r="U1" s="884" t="s">
        <v>15</v>
      </c>
      <c r="V1" s="887" t="s">
        <v>10</v>
      </c>
      <c r="W1" s="888" t="s">
        <v>16</v>
      </c>
    </row>
    <row r="2" spans="1:23" ht="16.2">
      <c r="A2" s="15" t="s">
        <v>530</v>
      </c>
      <c r="B2" s="443">
        <v>45981</v>
      </c>
      <c r="C2" s="14">
        <v>45981</v>
      </c>
      <c r="D2" s="309">
        <v>600025</v>
      </c>
      <c r="E2" s="17">
        <f t="shared" ref="E2:E9" ca="1" si="0">IF((TODAY()-C2)/7&gt;T2,T2,(TODAY()-C2)/7)</f>
        <v>44.714285714285715</v>
      </c>
      <c r="F2" s="17" t="str">
        <f>IFERROR(VLOOKUP(G2,Recria[[Granja Recria]:[Emp+CC]],4,0),"")</f>
        <v>132_2414</v>
      </c>
      <c r="G2" s="296" t="s">
        <v>531</v>
      </c>
      <c r="H2" s="551" t="str">
        <f>IFERROR(VLOOKUP(G2,Recria[[Granja Recria]:[Núcleo]],2,0),"")</f>
        <v>(N1)</v>
      </c>
      <c r="I2" s="552">
        <v>48000</v>
      </c>
      <c r="J2" s="15" t="s">
        <v>60</v>
      </c>
      <c r="K2" s="15">
        <v>30</v>
      </c>
      <c r="L2" s="803" t="str">
        <f>VLOOKUP(M2,Raca_Linhagem[],2,0)</f>
        <v>COBB</v>
      </c>
      <c r="M2" s="803" t="s">
        <v>21</v>
      </c>
      <c r="N2" s="445">
        <f t="shared" ref="N2:N19" si="1">C2+(22*7)-7</f>
        <v>46128</v>
      </c>
      <c r="O2" s="309">
        <v>630026</v>
      </c>
      <c r="P2" s="167" t="str">
        <f>IFERROR(VLOOKUP(Q2,Producao[[Granja Produção]:[Emp+CC]],4,0),"")</f>
        <v>134_2416</v>
      </c>
      <c r="Q2" s="537" t="s">
        <v>532</v>
      </c>
      <c r="R2" s="537" t="str">
        <f>IFERROR(VLOOKUP(Q2,Producao[[Granja Produção]:[Núcleo]],2,0),"")</f>
        <v>(N1)</v>
      </c>
      <c r="S2" s="83">
        <v>23000</v>
      </c>
      <c r="T2" s="142">
        <f t="shared" ref="T2:T19" si="2">C2+(U2*7)-1</f>
        <v>46449</v>
      </c>
      <c r="U2" s="143">
        <v>67</v>
      </c>
      <c r="V2" s="144">
        <f>N10-T2</f>
        <v>49</v>
      </c>
      <c r="W2" s="145">
        <f t="shared" ref="W2:W14" si="3">IFERROR(T2+V2," ")</f>
        <v>46498</v>
      </c>
    </row>
    <row r="3" spans="1:23" ht="16.2">
      <c r="A3" s="15" t="s">
        <v>530</v>
      </c>
      <c r="B3" s="443">
        <v>45981</v>
      </c>
      <c r="C3" s="14">
        <v>45981</v>
      </c>
      <c r="D3" s="309">
        <v>600025</v>
      </c>
      <c r="E3" s="17">
        <f t="shared" ca="1" si="0"/>
        <v>44.714285714285715</v>
      </c>
      <c r="F3" s="17" t="str">
        <f>IFERROR(VLOOKUP(G3,Recria[[Granja Recria]:[Emp+CC]],4,0),"")</f>
        <v>132_2414</v>
      </c>
      <c r="G3" s="296" t="s">
        <v>531</v>
      </c>
      <c r="H3" s="551" t="str">
        <f>IFERROR(VLOOKUP(G3,Recria[[Granja Recria]:[Núcleo]],2,0),"")</f>
        <v>(N1)</v>
      </c>
      <c r="I3" s="552">
        <v>0</v>
      </c>
      <c r="J3" s="15" t="s">
        <v>60</v>
      </c>
      <c r="K3" s="15">
        <v>30</v>
      </c>
      <c r="L3" s="803" t="str">
        <f>VLOOKUP(M3,Raca_Linhagem[],2,0)</f>
        <v>COBB</v>
      </c>
      <c r="M3" s="803" t="s">
        <v>21</v>
      </c>
      <c r="N3" s="445">
        <f t="shared" si="1"/>
        <v>46128</v>
      </c>
      <c r="O3" s="309">
        <v>630126</v>
      </c>
      <c r="P3" s="167" t="str">
        <f>IFERROR(VLOOKUP(Q3,Producao[[Granja Produção]:[Emp+CC]],4,0),"")</f>
        <v>133_2418</v>
      </c>
      <c r="Q3" s="537" t="s">
        <v>533</v>
      </c>
      <c r="R3" s="537" t="str">
        <f>IFERROR(VLOOKUP(Q3,Producao[[Granja Produção]:[Núcleo]],2,0),"")</f>
        <v>(N1)</v>
      </c>
      <c r="S3" s="83">
        <v>23000</v>
      </c>
      <c r="T3" s="142">
        <f t="shared" si="2"/>
        <v>46449</v>
      </c>
      <c r="U3" s="143">
        <v>67</v>
      </c>
      <c r="V3" s="144">
        <f>N11-T3</f>
        <v>49</v>
      </c>
      <c r="W3" s="145">
        <f t="shared" ref="W3" si="4">IFERROR(T3+V3," ")</f>
        <v>46498</v>
      </c>
    </row>
    <row r="4" spans="1:23" ht="16.2">
      <c r="A4" s="15" t="s">
        <v>530</v>
      </c>
      <c r="B4" s="443">
        <v>46065</v>
      </c>
      <c r="C4" s="14">
        <v>46065</v>
      </c>
      <c r="D4" s="309">
        <v>600026</v>
      </c>
      <c r="E4" s="17">
        <f t="shared" ca="1" si="0"/>
        <v>32.714285714285715</v>
      </c>
      <c r="F4" s="17" t="str">
        <f>IFERROR(VLOOKUP(G4,Recria[[Granja Recria]:[Emp+CC]],4,0),"")</f>
        <v>132_2415</v>
      </c>
      <c r="G4" s="296" t="s">
        <v>534</v>
      </c>
      <c r="H4" s="551" t="str">
        <f>IFERROR(VLOOKUP(G4,Recria[[Granja Recria]:[Núcleo]],2,0),"")</f>
        <v>(N2)</v>
      </c>
      <c r="I4" s="552">
        <v>48000</v>
      </c>
      <c r="J4" s="15" t="s">
        <v>60</v>
      </c>
      <c r="K4" s="15">
        <v>49</v>
      </c>
      <c r="L4" s="803" t="str">
        <f>VLOOKUP(M4,Raca_Linhagem[],2,0)</f>
        <v>COBB</v>
      </c>
      <c r="M4" s="803" t="s">
        <v>21</v>
      </c>
      <c r="N4" s="139">
        <f t="shared" si="1"/>
        <v>46212</v>
      </c>
      <c r="O4" s="303">
        <v>630226</v>
      </c>
      <c r="P4" s="140" t="str">
        <f>IFERROR(VLOOKUP(Q4,Producao[[Granja Produção]:[Emp+CC]],4,0),"")</f>
        <v>140_2420</v>
      </c>
      <c r="Q4" s="141" t="s">
        <v>535</v>
      </c>
      <c r="R4" s="141" t="str">
        <f>IFERROR(VLOOKUP(Q4,Producao[[Granja Produção]:[Núcleo]],2,0),"")</f>
        <v>(N1)</v>
      </c>
      <c r="S4" s="138">
        <v>23000</v>
      </c>
      <c r="T4" s="142">
        <f t="shared" si="2"/>
        <v>46533</v>
      </c>
      <c r="U4" s="143">
        <v>67</v>
      </c>
      <c r="V4" s="144">
        <f>N12-T4</f>
        <v>72</v>
      </c>
      <c r="W4" s="145">
        <f t="shared" si="3"/>
        <v>46605</v>
      </c>
    </row>
    <row r="5" spans="1:23" ht="16.2">
      <c r="A5" s="15" t="s">
        <v>530</v>
      </c>
      <c r="B5" s="443">
        <v>46065</v>
      </c>
      <c r="C5" s="14">
        <v>46065</v>
      </c>
      <c r="D5" s="309">
        <v>600026</v>
      </c>
      <c r="E5" s="17">
        <f t="shared" ca="1" si="0"/>
        <v>32.714285714285715</v>
      </c>
      <c r="F5" s="17" t="str">
        <f>IFERROR(VLOOKUP(G5,Recria[[Granja Recria]:[Emp+CC]],4,0),"")</f>
        <v>132_2415</v>
      </c>
      <c r="G5" s="296" t="s">
        <v>534</v>
      </c>
      <c r="H5" s="551" t="str">
        <f>IFERROR(VLOOKUP(G5,Recria[[Granja Recria]:[Núcleo]],2,0),"")</f>
        <v>(N2)</v>
      </c>
      <c r="I5" s="552">
        <v>0</v>
      </c>
      <c r="J5" s="15" t="s">
        <v>60</v>
      </c>
      <c r="K5" s="15">
        <v>49</v>
      </c>
      <c r="L5" s="803" t="str">
        <f>VLOOKUP(M5,Raca_Linhagem[],2,0)</f>
        <v>COBB</v>
      </c>
      <c r="M5" s="803" t="s">
        <v>21</v>
      </c>
      <c r="N5" s="139">
        <f t="shared" si="1"/>
        <v>46212</v>
      </c>
      <c r="O5" s="303">
        <v>630326</v>
      </c>
      <c r="P5" s="140" t="str">
        <f>IFERROR(VLOOKUP(Q5,Producao[[Granja Produção]:[Emp+CC]],4,0),"")</f>
        <v>140_2421</v>
      </c>
      <c r="Q5" s="141" t="s">
        <v>536</v>
      </c>
      <c r="R5" s="141" t="str">
        <f>IFERROR(VLOOKUP(Q5,Producao[[Granja Produção]:[Núcleo]],2,0),"")</f>
        <v>(N2)</v>
      </c>
      <c r="S5" s="138">
        <v>23000</v>
      </c>
      <c r="T5" s="142">
        <f t="shared" si="2"/>
        <v>46533</v>
      </c>
      <c r="U5" s="143">
        <v>67</v>
      </c>
      <c r="V5" s="144">
        <f>N13-T5</f>
        <v>72</v>
      </c>
      <c r="W5" s="145">
        <f t="shared" ref="W5" si="5">IFERROR(T5+V5," ")</f>
        <v>46605</v>
      </c>
    </row>
    <row r="6" spans="1:23" ht="16.2">
      <c r="A6" s="15" t="s">
        <v>530</v>
      </c>
      <c r="B6" s="443">
        <f t="shared" ref="B6:B16" si="6">N2+K2</f>
        <v>46158</v>
      </c>
      <c r="C6" s="14">
        <v>46156</v>
      </c>
      <c r="D6" s="309">
        <v>600126</v>
      </c>
      <c r="E6" s="17">
        <f t="shared" ca="1" si="0"/>
        <v>19.714285714285715</v>
      </c>
      <c r="F6" s="17" t="str">
        <f>IFERROR(VLOOKUP(G6,Recria[[Granja Recria]:[Emp+CC]],4,0),"")</f>
        <v>132_2414</v>
      </c>
      <c r="G6" s="296" t="s">
        <v>531</v>
      </c>
      <c r="H6" s="551" t="str">
        <f>IFERROR(VLOOKUP(G6,Recria[[Granja Recria]:[Núcleo]],2,0),"")</f>
        <v>(N1)</v>
      </c>
      <c r="I6" s="552">
        <v>48000</v>
      </c>
      <c r="J6" s="15" t="s">
        <v>45</v>
      </c>
      <c r="K6" s="15">
        <v>48</v>
      </c>
      <c r="L6" s="803" t="str">
        <f>VLOOKUP(M6,Raca_Linhagem[],2,0)</f>
        <v>COBB</v>
      </c>
      <c r="M6" s="803" t="s">
        <v>21</v>
      </c>
      <c r="N6" s="139">
        <f t="shared" si="1"/>
        <v>46303</v>
      </c>
      <c r="O6" s="303"/>
      <c r="P6" s="140" t="str">
        <f>IFERROR(VLOOKUP(Q6,Producao[[Granja Produção]:[Emp+CC]],4,0),"")</f>
        <v>134_2417</v>
      </c>
      <c r="Q6" s="141" t="s">
        <v>1537</v>
      </c>
      <c r="R6" s="141" t="str">
        <f>IFERROR(VLOOKUP(Q6,Producao[[Granja Produção]:[Núcleo]],2,0),"")</f>
        <v>(N2)</v>
      </c>
      <c r="S6" s="138">
        <v>23000</v>
      </c>
      <c r="T6" s="142">
        <f t="shared" si="2"/>
        <v>46624</v>
      </c>
      <c r="U6" s="143">
        <v>67</v>
      </c>
      <c r="V6" s="144">
        <f t="shared" ref="V6:V9" si="7">N14-T6</f>
        <v>48</v>
      </c>
      <c r="W6" s="145">
        <f t="shared" si="3"/>
        <v>46672</v>
      </c>
    </row>
    <row r="7" spans="1:23" ht="16.2">
      <c r="A7" s="15" t="s">
        <v>530</v>
      </c>
      <c r="B7" s="443">
        <f>N2+K2</f>
        <v>46158</v>
      </c>
      <c r="C7" s="14">
        <v>46156</v>
      </c>
      <c r="D7" s="309">
        <v>600126</v>
      </c>
      <c r="E7" s="17">
        <f t="shared" ca="1" si="0"/>
        <v>19.714285714285715</v>
      </c>
      <c r="F7" s="17" t="str">
        <f>IFERROR(VLOOKUP(G7,Recria[[Granja Recria]:[Emp+CC]],4,0),"")</f>
        <v>132_2414</v>
      </c>
      <c r="G7" s="296" t="s">
        <v>531</v>
      </c>
      <c r="H7" s="551" t="str">
        <f>IFERROR(VLOOKUP(G7,Recria[[Granja Recria]:[Núcleo]],2,0),"")</f>
        <v>(N1)</v>
      </c>
      <c r="I7" s="552"/>
      <c r="J7" s="15" t="s">
        <v>45</v>
      </c>
      <c r="K7" s="15">
        <v>48</v>
      </c>
      <c r="L7" s="803" t="str">
        <f>VLOOKUP(M7,Raca_Linhagem[],2,0)</f>
        <v>COBB</v>
      </c>
      <c r="M7" s="803" t="s">
        <v>21</v>
      </c>
      <c r="N7" s="139">
        <f t="shared" si="1"/>
        <v>46303</v>
      </c>
      <c r="O7" s="303"/>
      <c r="P7" s="140" t="str">
        <f>IFERROR(VLOOKUP(Q7,Producao[[Granja Produção]:[Emp+CC]],4,0),"")</f>
        <v>133_2419</v>
      </c>
      <c r="Q7" s="141" t="s">
        <v>1542</v>
      </c>
      <c r="R7" s="141" t="str">
        <f>IFERROR(VLOOKUP(Q7,Producao[[Granja Produção]:[Núcleo]],2,0),"")</f>
        <v>(N2)</v>
      </c>
      <c r="S7" s="138">
        <v>23000</v>
      </c>
      <c r="T7" s="142">
        <f t="shared" si="2"/>
        <v>46624</v>
      </c>
      <c r="U7" s="143">
        <v>67</v>
      </c>
      <c r="V7" s="144">
        <f t="shared" si="7"/>
        <v>48</v>
      </c>
      <c r="W7" s="145">
        <f t="shared" ref="W7" si="8">IFERROR(T7+V7," ")</f>
        <v>46672</v>
      </c>
    </row>
    <row r="8" spans="1:23" ht="16.2">
      <c r="A8" s="310" t="s">
        <v>530</v>
      </c>
      <c r="B8" s="311">
        <f t="shared" si="6"/>
        <v>46261</v>
      </c>
      <c r="C8" s="313">
        <f t="shared" ref="C8:C19" si="9">B8</f>
        <v>46261</v>
      </c>
      <c r="D8" s="1243">
        <v>600226</v>
      </c>
      <c r="E8" s="314">
        <f t="shared" ca="1" si="0"/>
        <v>4.7142857142857144</v>
      </c>
      <c r="F8" s="314" t="str">
        <f>IFERROR(VLOOKUP(G8,Recria[[Granja Recria]:[Emp+CC]],4,0),"")</f>
        <v>132_2415</v>
      </c>
      <c r="G8" s="295" t="s">
        <v>534</v>
      </c>
      <c r="H8" s="1101" t="str">
        <f>IFERROR(VLOOKUP(G8,Recria[[Granja Recria]:[Núcleo]],2,0),"")</f>
        <v>(N2)</v>
      </c>
      <c r="I8" s="315">
        <v>48000</v>
      </c>
      <c r="J8" s="310" t="s">
        <v>45</v>
      </c>
      <c r="K8" s="310">
        <v>50</v>
      </c>
      <c r="L8" s="803" t="str">
        <f>VLOOKUP(M8,Raca_Linhagem[],2,0)</f>
        <v>COBB</v>
      </c>
      <c r="M8" s="803" t="s">
        <v>319</v>
      </c>
      <c r="N8" s="139">
        <f t="shared" si="1"/>
        <v>46408</v>
      </c>
      <c r="O8" s="303"/>
      <c r="P8" s="140" t="str">
        <f>IFERROR(VLOOKUP(Q8,Producao[[Granja Produção]:[Emp+CC]],4,0),"")</f>
        <v>140_2422</v>
      </c>
      <c r="Q8" s="141" t="s">
        <v>1549</v>
      </c>
      <c r="R8" s="141" t="str">
        <f>IFERROR(VLOOKUP(Q8,Producao[[Granja Produção]:[Núcleo]],2,0),"")</f>
        <v>(N1)</v>
      </c>
      <c r="S8" s="138">
        <v>23000</v>
      </c>
      <c r="T8" s="142">
        <f t="shared" si="2"/>
        <v>46729</v>
      </c>
      <c r="U8" s="143">
        <v>67</v>
      </c>
      <c r="V8" s="144">
        <f t="shared" si="7"/>
        <v>50</v>
      </c>
      <c r="W8" s="145">
        <f t="shared" si="3"/>
        <v>46779</v>
      </c>
    </row>
    <row r="9" spans="1:23" ht="16.2">
      <c r="A9" s="310" t="s">
        <v>530</v>
      </c>
      <c r="B9" s="311">
        <f>N4+K4</f>
        <v>46261</v>
      </c>
      <c r="C9" s="313">
        <f t="shared" si="9"/>
        <v>46261</v>
      </c>
      <c r="D9" s="1243">
        <v>600226</v>
      </c>
      <c r="E9" s="314">
        <f t="shared" ca="1" si="0"/>
        <v>4.7142857142857144</v>
      </c>
      <c r="F9" s="314" t="str">
        <f>IFERROR(VLOOKUP(G9,Recria[[Granja Recria]:[Emp+CC]],4,0),"")</f>
        <v>132_2415</v>
      </c>
      <c r="G9" s="295" t="s">
        <v>534</v>
      </c>
      <c r="H9" s="1101" t="str">
        <f>IFERROR(VLOOKUP(G9,Recria[[Granja Recria]:[Núcleo]],2,0),"")</f>
        <v>(N2)</v>
      </c>
      <c r="I9" s="315"/>
      <c r="J9" s="310" t="s">
        <v>45</v>
      </c>
      <c r="K9" s="310">
        <v>50</v>
      </c>
      <c r="L9" s="803" t="str">
        <f>VLOOKUP(M9,Raca_Linhagem[],2,0)</f>
        <v>COBB</v>
      </c>
      <c r="M9" s="803" t="s">
        <v>319</v>
      </c>
      <c r="N9" s="139">
        <f t="shared" si="1"/>
        <v>46408</v>
      </c>
      <c r="O9" s="303"/>
      <c r="P9" s="140" t="str">
        <f>IFERROR(VLOOKUP(Q9,Producao[[Granja Produção]:[Emp+CC]],4,0),"")</f>
        <v>140_2423</v>
      </c>
      <c r="Q9" s="141" t="s">
        <v>1552</v>
      </c>
      <c r="R9" s="141" t="str">
        <f>IFERROR(VLOOKUP(Q9,Producao[[Granja Produção]:[Núcleo]],2,0),"")</f>
        <v>(N2)</v>
      </c>
      <c r="S9" s="138">
        <v>23000</v>
      </c>
      <c r="T9" s="142">
        <f t="shared" si="2"/>
        <v>46729</v>
      </c>
      <c r="U9" s="143">
        <v>67</v>
      </c>
      <c r="V9" s="144">
        <f t="shared" si="7"/>
        <v>50</v>
      </c>
      <c r="W9" s="145">
        <f t="shared" ref="W9" si="10">IFERROR(T9+V9," ")</f>
        <v>46779</v>
      </c>
    </row>
    <row r="10" spans="1:23" ht="16.2">
      <c r="A10" s="173" t="s">
        <v>530</v>
      </c>
      <c r="B10" s="174">
        <f t="shared" si="6"/>
        <v>46351</v>
      </c>
      <c r="C10" s="176">
        <f t="shared" si="9"/>
        <v>46351</v>
      </c>
      <c r="D10" s="1073">
        <v>600326</v>
      </c>
      <c r="E10" s="1072">
        <v>153545</v>
      </c>
      <c r="F10" s="177" t="str">
        <f>IFERROR(VLOOKUP(G10,Recria[[Granja Recria]:[Emp+CC]],4,0),"")</f>
        <v>132_2414</v>
      </c>
      <c r="G10" s="178" t="s">
        <v>531</v>
      </c>
      <c r="H10" s="512" t="str">
        <f>IFERROR(VLOOKUP(G10,Recria[[Granja Recria]:[Núcleo]],2,0),"")</f>
        <v>(N1)</v>
      </c>
      <c r="I10" s="179">
        <v>48000</v>
      </c>
      <c r="J10" s="173" t="s">
        <v>60</v>
      </c>
      <c r="K10" s="173">
        <v>27</v>
      </c>
      <c r="L10" s="803" t="str">
        <f>VLOOKUP(M10,Raca_Linhagem[],2,0)</f>
        <v>COBB</v>
      </c>
      <c r="M10" s="803" t="s">
        <v>21</v>
      </c>
      <c r="N10" s="139">
        <f t="shared" si="1"/>
        <v>46498</v>
      </c>
      <c r="O10" s="303"/>
      <c r="P10" s="140" t="str">
        <f>IFERROR(VLOOKUP(Q10,Producao[[Granja Produção]:[Emp+CC]],4,0),"")</f>
        <v/>
      </c>
      <c r="Q10" s="141"/>
      <c r="R10" s="141" t="str">
        <f>IFERROR(VLOOKUP(Q10,Producao[[Granja Produção]:[Núcleo]],2,0),"")</f>
        <v/>
      </c>
      <c r="S10" s="138"/>
      <c r="T10" s="142">
        <f t="shared" si="2"/>
        <v>46819</v>
      </c>
      <c r="U10" s="143">
        <v>67</v>
      </c>
      <c r="V10" s="144"/>
      <c r="W10" s="145">
        <f t="shared" si="3"/>
        <v>46819</v>
      </c>
    </row>
    <row r="11" spans="1:23" ht="16.2">
      <c r="A11" s="173" t="s">
        <v>530</v>
      </c>
      <c r="B11" s="174">
        <f t="shared" si="6"/>
        <v>46351</v>
      </c>
      <c r="C11" s="176">
        <f t="shared" si="9"/>
        <v>46351</v>
      </c>
      <c r="D11" s="1073">
        <v>600326</v>
      </c>
      <c r="E11" s="1072">
        <v>153545</v>
      </c>
      <c r="F11" s="177" t="str">
        <f>IFERROR(VLOOKUP(G11,Recria[[Granja Recria]:[Emp+CC]],4,0),"")</f>
        <v>132_2414</v>
      </c>
      <c r="G11" s="178" t="s">
        <v>531</v>
      </c>
      <c r="H11" s="512" t="str">
        <f>IFERROR(VLOOKUP(G11,Recria[[Granja Recria]:[Núcleo]],2,0),"")</f>
        <v>(N1)</v>
      </c>
      <c r="I11" s="179"/>
      <c r="J11" s="173" t="s">
        <v>60</v>
      </c>
      <c r="K11" s="173">
        <v>27</v>
      </c>
      <c r="L11" s="803" t="str">
        <f>VLOOKUP(M11,Raca_Linhagem[],2,0)</f>
        <v>COBB</v>
      </c>
      <c r="M11" s="803" t="s">
        <v>21</v>
      </c>
      <c r="N11" s="139">
        <f t="shared" si="1"/>
        <v>46498</v>
      </c>
      <c r="O11" s="303"/>
      <c r="P11" s="140" t="str">
        <f>IFERROR(VLOOKUP(Q11,Producao[[Granja Produção]:[Emp+CC]],4,0),"")</f>
        <v/>
      </c>
      <c r="Q11" s="141"/>
      <c r="R11" s="141" t="str">
        <f>IFERROR(VLOOKUP(Q11,Producao[[Granja Produção]:[Núcleo]],2,0),"")</f>
        <v/>
      </c>
      <c r="S11" s="138"/>
      <c r="T11" s="142">
        <f t="shared" si="2"/>
        <v>46819</v>
      </c>
      <c r="U11" s="143">
        <v>67</v>
      </c>
      <c r="V11" s="144"/>
      <c r="W11" s="145">
        <f t="shared" ref="W11" si="11">IFERROR(T11+V11," ")</f>
        <v>46819</v>
      </c>
    </row>
    <row r="12" spans="1:23" ht="16.2">
      <c r="A12" s="173" t="s">
        <v>530</v>
      </c>
      <c r="B12" s="174">
        <f t="shared" si="6"/>
        <v>46458</v>
      </c>
      <c r="C12" s="176">
        <f t="shared" si="9"/>
        <v>46458</v>
      </c>
      <c r="D12" s="1073">
        <v>600027</v>
      </c>
      <c r="E12" s="177"/>
      <c r="F12" s="177" t="str">
        <f>IFERROR(VLOOKUP(G12,Recria[[Granja Recria]:[Emp+CC]],4,0),"")</f>
        <v>132_2415</v>
      </c>
      <c r="G12" s="178" t="s">
        <v>534</v>
      </c>
      <c r="H12" s="512" t="str">
        <f>IFERROR(VLOOKUP(G12,Recria[[Granja Recria]:[Núcleo]],2,0),"")</f>
        <v>(N2)</v>
      </c>
      <c r="I12" s="179">
        <v>48000</v>
      </c>
      <c r="J12" s="173" t="s">
        <v>60</v>
      </c>
      <c r="K12" s="173">
        <v>27</v>
      </c>
      <c r="L12" s="803" t="str">
        <f>VLOOKUP(M12,Raca_Linhagem[],2,0)</f>
        <v>COBB</v>
      </c>
      <c r="M12" s="803" t="s">
        <v>21</v>
      </c>
      <c r="N12" s="139">
        <f t="shared" si="1"/>
        <v>46605</v>
      </c>
      <c r="O12" s="303"/>
      <c r="P12" s="140" t="str">
        <f>IFERROR(VLOOKUP(Q12,Producao[[Granja Produção]:[Emp+CC]],4,0),"")</f>
        <v/>
      </c>
      <c r="Q12" s="141"/>
      <c r="R12" s="141" t="str">
        <f>IFERROR(VLOOKUP(Q12,Producao[[Granja Produção]:[Núcleo]],2,0),"")</f>
        <v/>
      </c>
      <c r="S12" s="138"/>
      <c r="T12" s="142">
        <f t="shared" si="2"/>
        <v>46926</v>
      </c>
      <c r="U12" s="143">
        <v>67</v>
      </c>
      <c r="V12" s="144"/>
      <c r="W12" s="145">
        <f t="shared" si="3"/>
        <v>46926</v>
      </c>
    </row>
    <row r="13" spans="1:23" ht="16.2">
      <c r="A13" s="173" t="s">
        <v>530</v>
      </c>
      <c r="B13" s="174">
        <f t="shared" si="6"/>
        <v>46458</v>
      </c>
      <c r="C13" s="176">
        <f t="shared" si="9"/>
        <v>46458</v>
      </c>
      <c r="D13" s="1073">
        <v>600027</v>
      </c>
      <c r="E13" s="177"/>
      <c r="F13" s="177" t="str">
        <f>IFERROR(VLOOKUP(G13,Recria[[Granja Recria]:[Emp+CC]],4,0),"")</f>
        <v>132_2415</v>
      </c>
      <c r="G13" s="178" t="s">
        <v>534</v>
      </c>
      <c r="H13" s="512" t="str">
        <f>IFERROR(VLOOKUP(G13,Recria[[Granja Recria]:[Núcleo]],2,0),"")</f>
        <v>(N2)</v>
      </c>
      <c r="I13" s="179"/>
      <c r="J13" s="173" t="s">
        <v>60</v>
      </c>
      <c r="K13" s="173">
        <v>27</v>
      </c>
      <c r="L13" s="803" t="str">
        <f>VLOOKUP(M13,Raca_Linhagem[],2,0)</f>
        <v>COBB</v>
      </c>
      <c r="M13" s="803" t="s">
        <v>21</v>
      </c>
      <c r="N13" s="139">
        <f t="shared" si="1"/>
        <v>46605</v>
      </c>
      <c r="O13" s="303"/>
      <c r="P13" s="140" t="str">
        <f>IFERROR(VLOOKUP(Q13,Producao[[Granja Produção]:[Emp+CC]],4,0),"")</f>
        <v/>
      </c>
      <c r="Q13" s="141"/>
      <c r="R13" s="141" t="str">
        <f>IFERROR(VLOOKUP(Q13,Producao[[Granja Produção]:[Núcleo]],2,0),"")</f>
        <v/>
      </c>
      <c r="S13" s="138"/>
      <c r="T13" s="142">
        <f t="shared" si="2"/>
        <v>46926</v>
      </c>
      <c r="U13" s="143">
        <v>67</v>
      </c>
      <c r="V13" s="144"/>
      <c r="W13" s="145">
        <f t="shared" ref="W13" si="12">IFERROR(T13+V13," ")</f>
        <v>46926</v>
      </c>
    </row>
    <row r="14" spans="1:23" ht="16.2">
      <c r="A14" s="173" t="s">
        <v>530</v>
      </c>
      <c r="B14" s="174">
        <f t="shared" si="6"/>
        <v>46525</v>
      </c>
      <c r="C14" s="176">
        <f t="shared" si="9"/>
        <v>46525</v>
      </c>
      <c r="D14" s="1073">
        <v>600127</v>
      </c>
      <c r="E14" s="177"/>
      <c r="F14" s="177" t="str">
        <f>IFERROR(VLOOKUP(G14,Recria[[Granja Recria]:[Emp+CC]],4,0),"")</f>
        <v>132_2414</v>
      </c>
      <c r="G14" s="178" t="s">
        <v>531</v>
      </c>
      <c r="H14" s="512" t="str">
        <f>IFERROR(VLOOKUP(G14,Recria[[Granja Recria]:[Núcleo]],2,0),"")</f>
        <v>(N1)</v>
      </c>
      <c r="I14" s="179">
        <v>48000</v>
      </c>
      <c r="J14" s="173" t="s">
        <v>45</v>
      </c>
      <c r="K14" s="173">
        <v>50</v>
      </c>
      <c r="L14" s="803" t="str">
        <f>VLOOKUP(M14,Raca_Linhagem[],2,0)</f>
        <v>ROSS</v>
      </c>
      <c r="M14" s="812" t="s">
        <v>26</v>
      </c>
      <c r="N14" s="139">
        <f t="shared" si="1"/>
        <v>46672</v>
      </c>
      <c r="O14" s="303"/>
      <c r="P14" s="140" t="str">
        <f>IFERROR(VLOOKUP(Q14,Producao[[Granja Produção]:[Emp+CC]],4,0),"")</f>
        <v/>
      </c>
      <c r="Q14" s="141"/>
      <c r="R14" s="141" t="str">
        <f>IFERROR(VLOOKUP(Q14,Producao[[Granja Produção]:[Núcleo]],2,0),"")</f>
        <v/>
      </c>
      <c r="S14" s="138"/>
      <c r="T14" s="142">
        <f t="shared" si="2"/>
        <v>46993</v>
      </c>
      <c r="U14" s="143">
        <v>67</v>
      </c>
      <c r="V14" s="144"/>
      <c r="W14" s="145">
        <f t="shared" si="3"/>
        <v>46993</v>
      </c>
    </row>
    <row r="15" spans="1:23" ht="16.2">
      <c r="A15" s="173" t="s">
        <v>530</v>
      </c>
      <c r="B15" s="174">
        <f t="shared" si="6"/>
        <v>46525</v>
      </c>
      <c r="C15" s="176">
        <f t="shared" si="9"/>
        <v>46525</v>
      </c>
      <c r="D15" s="1073">
        <v>600127</v>
      </c>
      <c r="E15" s="177"/>
      <c r="F15" s="177" t="str">
        <f>IFERROR(VLOOKUP(G15,Recria[[Granja Recria]:[Emp+CC]],4,0),"")</f>
        <v>132_2414</v>
      </c>
      <c r="G15" s="178" t="s">
        <v>531</v>
      </c>
      <c r="H15" s="512" t="str">
        <f>IFERROR(VLOOKUP(G15,Recria[[Granja Recria]:[Núcleo]],2,0),"")</f>
        <v>(N1)</v>
      </c>
      <c r="I15" s="179"/>
      <c r="J15" s="173" t="s">
        <v>45</v>
      </c>
      <c r="K15" s="173">
        <v>50</v>
      </c>
      <c r="L15" s="803" t="str">
        <f>VLOOKUP(M15,Raca_Linhagem[],2,0)</f>
        <v>ROSS</v>
      </c>
      <c r="M15" s="812" t="s">
        <v>26</v>
      </c>
      <c r="N15" s="139">
        <f t="shared" si="1"/>
        <v>46672</v>
      </c>
      <c r="O15" s="303"/>
      <c r="P15" s="140" t="str">
        <f>IFERROR(VLOOKUP(Q15,Producao[[Granja Produção]:[Emp+CC]],4,0),"")</f>
        <v/>
      </c>
      <c r="Q15" s="141"/>
      <c r="R15" s="141" t="str">
        <f>IFERROR(VLOOKUP(Q15,Producao[[Granja Produção]:[Núcleo]],2,0),"")</f>
        <v/>
      </c>
      <c r="S15" s="138"/>
      <c r="T15" s="142">
        <f t="shared" si="2"/>
        <v>46993</v>
      </c>
      <c r="U15" s="143">
        <v>67</v>
      </c>
      <c r="V15" s="144"/>
      <c r="W15" s="145">
        <f t="shared" ref="W15:W19" si="13">IFERROR(T15+V15," ")</f>
        <v>46993</v>
      </c>
    </row>
    <row r="16" spans="1:23" ht="16.2">
      <c r="A16" s="173" t="s">
        <v>530</v>
      </c>
      <c r="B16" s="174">
        <f t="shared" si="6"/>
        <v>46632</v>
      </c>
      <c r="C16" s="176">
        <f t="shared" si="9"/>
        <v>46632</v>
      </c>
      <c r="D16" s="1073">
        <v>600227</v>
      </c>
      <c r="E16" s="177"/>
      <c r="F16" s="177" t="str">
        <f>IFERROR(VLOOKUP(G16,Recria[[Granja Recria]:[Emp+CC]],4,0),"")</f>
        <v>132_2415</v>
      </c>
      <c r="G16" s="178" t="s">
        <v>534</v>
      </c>
      <c r="H16" s="512" t="str">
        <f>IFERROR(VLOOKUP(G16,Recria[[Granja Recria]:[Núcleo]],2,0),"")</f>
        <v>(N2)</v>
      </c>
      <c r="I16" s="179">
        <v>48000</v>
      </c>
      <c r="J16" s="173" t="s">
        <v>45</v>
      </c>
      <c r="K16" s="173">
        <v>50</v>
      </c>
      <c r="L16" s="803" t="str">
        <f>VLOOKUP(M16,Raca_Linhagem[],2,0)</f>
        <v>COBB</v>
      </c>
      <c r="M16" s="803" t="s">
        <v>21</v>
      </c>
      <c r="N16" s="139">
        <f t="shared" si="1"/>
        <v>46779</v>
      </c>
      <c r="O16" s="303"/>
      <c r="P16" s="140" t="str">
        <f>IFERROR(VLOOKUP(Q16,Producao[[Granja Produção]:[Emp+CC]],4,0),"")</f>
        <v/>
      </c>
      <c r="Q16" s="141"/>
      <c r="R16" s="141" t="str">
        <f>IFERROR(VLOOKUP(Q16,Producao[[Granja Produção]:[Núcleo]],2,0),"")</f>
        <v/>
      </c>
      <c r="S16" s="138"/>
      <c r="T16" s="142">
        <f t="shared" si="2"/>
        <v>47100</v>
      </c>
      <c r="U16" s="143">
        <v>67</v>
      </c>
      <c r="V16" s="144"/>
      <c r="W16" s="145">
        <f t="shared" si="13"/>
        <v>47100</v>
      </c>
    </row>
    <row r="17" spans="1:23" ht="16.2">
      <c r="A17" s="173" t="s">
        <v>530</v>
      </c>
      <c r="B17" s="174">
        <f>N12+K12</f>
        <v>46632</v>
      </c>
      <c r="C17" s="176">
        <f t="shared" si="9"/>
        <v>46632</v>
      </c>
      <c r="D17" s="1073">
        <v>600227</v>
      </c>
      <c r="E17" s="177"/>
      <c r="F17" s="177" t="str">
        <f>IFERROR(VLOOKUP(G17,Recria[[Granja Recria]:[Emp+CC]],4,0),"")</f>
        <v>132_2415</v>
      </c>
      <c r="G17" s="178" t="s">
        <v>534</v>
      </c>
      <c r="H17" s="512" t="str">
        <f>IFERROR(VLOOKUP(G17,Recria[[Granja Recria]:[Núcleo]],2,0),"")</f>
        <v>(N2)</v>
      </c>
      <c r="I17" s="179"/>
      <c r="J17" s="173" t="s">
        <v>45</v>
      </c>
      <c r="K17" s="173">
        <v>50</v>
      </c>
      <c r="L17" s="803" t="str">
        <f>VLOOKUP(M17,Raca_Linhagem[],2,0)</f>
        <v>COBB</v>
      </c>
      <c r="M17" s="803" t="s">
        <v>21</v>
      </c>
      <c r="N17" s="139">
        <f t="shared" si="1"/>
        <v>46779</v>
      </c>
      <c r="O17" s="303"/>
      <c r="P17" s="140" t="str">
        <f>IFERROR(VLOOKUP(Q17,Producao[[Granja Produção]:[Emp+CC]],4,0),"")</f>
        <v/>
      </c>
      <c r="Q17" s="141"/>
      <c r="R17" s="141" t="str">
        <f>IFERROR(VLOOKUP(Q17,Producao[[Granja Produção]:[Núcleo]],2,0),"")</f>
        <v/>
      </c>
      <c r="S17" s="138"/>
      <c r="T17" s="142">
        <f t="shared" si="2"/>
        <v>47100</v>
      </c>
      <c r="U17" s="143">
        <v>67</v>
      </c>
      <c r="V17" s="144"/>
      <c r="W17" s="145">
        <f t="shared" si="13"/>
        <v>47100</v>
      </c>
    </row>
    <row r="18" spans="1:23" ht="16.2">
      <c r="A18" s="173" t="s">
        <v>530</v>
      </c>
      <c r="B18" s="174">
        <f>N14+K14</f>
        <v>46722</v>
      </c>
      <c r="C18" s="176">
        <f t="shared" si="9"/>
        <v>46722</v>
      </c>
      <c r="D18" s="1073">
        <v>600327</v>
      </c>
      <c r="E18" s="177"/>
      <c r="F18" s="177" t="str">
        <f>IFERROR(VLOOKUP(G18,Recria[[Granja Recria]:[Emp+CC]],4,0),"")</f>
        <v>132_2414</v>
      </c>
      <c r="G18" s="178" t="s">
        <v>531</v>
      </c>
      <c r="H18" s="512" t="str">
        <f>IFERROR(VLOOKUP(G18,Recria[[Granja Recria]:[Núcleo]],2,0),"")</f>
        <v>(N1)</v>
      </c>
      <c r="I18" s="179">
        <v>48000</v>
      </c>
      <c r="J18" s="173" t="s">
        <v>60</v>
      </c>
      <c r="K18" s="173">
        <v>25</v>
      </c>
      <c r="L18" s="803" t="str">
        <f>VLOOKUP(M18,Raca_Linhagem[],2,0)</f>
        <v>ROSS</v>
      </c>
      <c r="M18" s="812" t="s">
        <v>26</v>
      </c>
      <c r="N18" s="139">
        <f t="shared" si="1"/>
        <v>46869</v>
      </c>
      <c r="O18" s="303"/>
      <c r="P18" s="140" t="str">
        <f>IFERROR(VLOOKUP(Q18,Producao[[Granja Produção]:[Emp+CC]],4,0),"")</f>
        <v/>
      </c>
      <c r="Q18" s="141"/>
      <c r="R18" s="141" t="str">
        <f>IFERROR(VLOOKUP(Q18,Producao[[Granja Produção]:[Núcleo]],2,0),"")</f>
        <v/>
      </c>
      <c r="S18" s="138"/>
      <c r="T18" s="142">
        <f t="shared" si="2"/>
        <v>47190</v>
      </c>
      <c r="U18" s="143">
        <v>67</v>
      </c>
      <c r="V18" s="144"/>
      <c r="W18" s="145">
        <f t="shared" ref="W18" si="14">IFERROR(T18+V18," ")</f>
        <v>47190</v>
      </c>
    </row>
    <row r="19" spans="1:23" ht="16.2">
      <c r="A19" s="173" t="s">
        <v>530</v>
      </c>
      <c r="B19" s="174">
        <f>N15+K15</f>
        <v>46722</v>
      </c>
      <c r="C19" s="176">
        <f t="shared" si="9"/>
        <v>46722</v>
      </c>
      <c r="D19" s="1073">
        <v>600327</v>
      </c>
      <c r="E19" s="177"/>
      <c r="F19" s="177" t="str">
        <f>IFERROR(VLOOKUP(G19,Recria[[Granja Recria]:[Emp+CC]],4,0),"")</f>
        <v>132_2414</v>
      </c>
      <c r="G19" s="178" t="s">
        <v>531</v>
      </c>
      <c r="H19" s="512" t="str">
        <f>IFERROR(VLOOKUP(G19,Recria[[Granja Recria]:[Núcleo]],2,0),"")</f>
        <v>(N1)</v>
      </c>
      <c r="I19" s="179"/>
      <c r="J19" s="173" t="s">
        <v>60</v>
      </c>
      <c r="K19" s="173">
        <v>25</v>
      </c>
      <c r="L19" s="803" t="str">
        <f>VLOOKUP(M19,Raca_Linhagem[],2,0)</f>
        <v>ROSS</v>
      </c>
      <c r="M19" s="812" t="s">
        <v>26</v>
      </c>
      <c r="N19" s="139">
        <f t="shared" si="1"/>
        <v>46869</v>
      </c>
      <c r="O19" s="303"/>
      <c r="P19" s="140" t="str">
        <f>IFERROR(VLOOKUP(Q19,Producao[[Granja Produção]:[Emp+CC]],4,0),"")</f>
        <v/>
      </c>
      <c r="Q19" s="141"/>
      <c r="R19" s="141" t="str">
        <f>IFERROR(VLOOKUP(Q19,Producao[[Granja Produção]:[Núcleo]],2,0),"")</f>
        <v/>
      </c>
      <c r="S19" s="138"/>
      <c r="T19" s="142">
        <f t="shared" si="2"/>
        <v>47190</v>
      </c>
      <c r="U19" s="143">
        <v>67</v>
      </c>
      <c r="V19" s="144"/>
      <c r="W19" s="145">
        <f t="shared" si="13"/>
        <v>47190</v>
      </c>
    </row>
    <row r="24" spans="1:23">
      <c r="A24" s="1146"/>
      <c r="B24" s="1145"/>
      <c r="C24" s="1146"/>
      <c r="D24" s="1146"/>
      <c r="E24" s="1146"/>
      <c r="F24" s="1146"/>
      <c r="G24" s="1146"/>
      <c r="H24" s="1146"/>
      <c r="I24" s="1146"/>
      <c r="J24" s="1146"/>
      <c r="K24" s="1146"/>
      <c r="L24" s="1146"/>
      <c r="M24" s="1146"/>
      <c r="N24" s="1146"/>
      <c r="O24" s="1146"/>
      <c r="P24" s="1146"/>
      <c r="Q24" s="1146"/>
      <c r="R24" s="1146"/>
      <c r="S24" s="1146"/>
      <c r="T24" s="1146"/>
      <c r="U24" s="1146"/>
      <c r="V24" s="1146"/>
      <c r="W24" s="1146"/>
    </row>
    <row r="25" spans="1:23">
      <c r="A25" s="1146"/>
      <c r="B25" s="1145"/>
      <c r="C25" s="1146"/>
      <c r="D25" s="1146"/>
      <c r="E25" s="1146"/>
      <c r="F25" s="1146"/>
      <c r="G25" s="1146"/>
      <c r="H25" s="1146"/>
      <c r="I25" s="1146"/>
      <c r="J25" s="1146"/>
      <c r="K25" s="1146"/>
      <c r="L25" s="1146"/>
      <c r="M25" s="1146"/>
      <c r="N25" s="1146"/>
      <c r="O25" s="1146"/>
      <c r="P25" s="1146"/>
      <c r="Q25" s="1146"/>
      <c r="R25" s="1146"/>
      <c r="S25" s="1146"/>
      <c r="T25" s="1146"/>
      <c r="U25" s="1146"/>
      <c r="V25" s="1146"/>
      <c r="W25" s="1146"/>
    </row>
    <row r="26" spans="1:23">
      <c r="A26" s="1146"/>
      <c r="B26" s="1145"/>
      <c r="C26" s="1146"/>
      <c r="D26" s="1146"/>
      <c r="E26" s="1146"/>
      <c r="F26" s="1146"/>
      <c r="G26" s="1146"/>
      <c r="H26" s="1146"/>
      <c r="I26" s="1146"/>
      <c r="J26" s="1146"/>
      <c r="K26"/>
      <c r="L26"/>
      <c r="M26"/>
      <c r="N26" s="2"/>
      <c r="O26"/>
      <c r="P26"/>
      <c r="Q26"/>
      <c r="R26" s="1146"/>
      <c r="S26" s="1146"/>
      <c r="T26" s="1146"/>
      <c r="U26" s="1146"/>
      <c r="V26" s="1146"/>
      <c r="W26" s="1146"/>
    </row>
    <row r="27" spans="1:23" s="871" customFormat="1">
      <c r="A27" s="1146"/>
      <c r="B27" s="1145"/>
      <c r="C27" s="1146"/>
      <c r="D27" s="1146"/>
      <c r="E27" s="1146"/>
      <c r="F27" s="1146"/>
      <c r="G27" s="1146"/>
      <c r="H27" s="1146"/>
      <c r="I27" s="1146"/>
      <c r="J27" s="1146"/>
      <c r="K27"/>
      <c r="L27"/>
      <c r="M27"/>
      <c r="N27" s="2"/>
      <c r="O27"/>
      <c r="P27"/>
      <c r="Q27"/>
      <c r="R27" s="1146"/>
      <c r="S27" s="1146"/>
      <c r="T27" s="1146"/>
      <c r="U27" s="1146"/>
      <c r="V27" s="1146"/>
      <c r="W27" s="1146"/>
    </row>
    <row r="28" spans="1:23" s="871" customFormat="1">
      <c r="A28" s="1146"/>
      <c r="B28" s="1145"/>
      <c r="C28" s="1146"/>
      <c r="D28" s="1146"/>
      <c r="E28" s="1146"/>
      <c r="F28" s="1146"/>
      <c r="G28" s="1146"/>
      <c r="H28" s="1146"/>
      <c r="I28" s="1146"/>
      <c r="J28" s="1146"/>
      <c r="K28"/>
      <c r="L28"/>
      <c r="M28"/>
      <c r="N28" s="2"/>
      <c r="O28"/>
      <c r="P28"/>
      <c r="Q28"/>
      <c r="R28" s="1146"/>
      <c r="S28" s="1146"/>
      <c r="T28" s="1146"/>
      <c r="U28" s="1146"/>
      <c r="V28" s="1146"/>
      <c r="W28" s="1146"/>
    </row>
    <row r="29" spans="1:23" s="871" customFormat="1">
      <c r="A29" s="1146"/>
      <c r="B29" s="1145"/>
      <c r="C29" s="1146"/>
      <c r="D29" s="1146"/>
      <c r="E29" s="1146"/>
      <c r="F29" s="1146"/>
      <c r="G29" s="1146"/>
      <c r="H29" s="1146"/>
      <c r="I29" s="1146"/>
      <c r="J29" s="1146"/>
      <c r="K29"/>
      <c r="L29"/>
      <c r="M29"/>
      <c r="N29" s="2"/>
      <c r="O29"/>
      <c r="P29"/>
      <c r="Q29"/>
      <c r="R29" s="1146"/>
      <c r="S29" s="1146"/>
      <c r="T29" s="1146"/>
      <c r="U29" s="1146"/>
      <c r="V29" s="1146"/>
      <c r="W29" s="1146"/>
    </row>
    <row r="30" spans="1:23" s="871" customFormat="1">
      <c r="A30" s="1146"/>
      <c r="B30" s="1145"/>
      <c r="C30" s="1146"/>
      <c r="D30" s="1146"/>
      <c r="E30" s="1146"/>
      <c r="F30" s="1146"/>
      <c r="G30" s="1146"/>
      <c r="H30" s="1146"/>
      <c r="I30" s="1146"/>
      <c r="J30" s="1146"/>
      <c r="K30"/>
      <c r="L30"/>
      <c r="M30"/>
      <c r="N30" s="2"/>
      <c r="O30"/>
      <c r="P30"/>
      <c r="Q30"/>
      <c r="R30" s="1146"/>
      <c r="S30" s="1146"/>
      <c r="T30" s="1146"/>
      <c r="U30" s="1146"/>
      <c r="V30" s="1146"/>
      <c r="W30" s="1146"/>
    </row>
    <row r="31" spans="1:23">
      <c r="A31" s="1146"/>
      <c r="B31" s="1145"/>
      <c r="C31" s="1146"/>
      <c r="D31" s="1146"/>
      <c r="E31" s="1146"/>
      <c r="F31" s="1146"/>
      <c r="G31" s="1146"/>
      <c r="H31" s="1146"/>
      <c r="I31" s="1146"/>
      <c r="J31" s="1146"/>
      <c r="K31"/>
      <c r="L31"/>
      <c r="M31"/>
      <c r="N31" s="2"/>
      <c r="O31"/>
      <c r="P31"/>
      <c r="Q31"/>
      <c r="R31" s="1146"/>
      <c r="S31" s="1146"/>
      <c r="T31" s="1146"/>
      <c r="U31" s="1146"/>
      <c r="V31" s="1146"/>
      <c r="W31" s="1146"/>
    </row>
    <row r="32" spans="1:23">
      <c r="A32" s="1146"/>
      <c r="B32" s="1145"/>
      <c r="C32" s="1146"/>
      <c r="D32" s="1146"/>
      <c r="E32" s="1146"/>
      <c r="F32" s="1146"/>
      <c r="G32" s="1146"/>
      <c r="H32" s="1146"/>
      <c r="I32" s="1146"/>
      <c r="J32" s="1146"/>
      <c r="K32"/>
      <c r="L32"/>
      <c r="M32"/>
      <c r="N32" s="2"/>
      <c r="O32"/>
      <c r="P32"/>
      <c r="Q32"/>
      <c r="R32" s="1146"/>
      <c r="S32" s="1146"/>
      <c r="T32" s="1146"/>
      <c r="U32" s="1146"/>
      <c r="V32" s="1146"/>
      <c r="W32" s="1146"/>
    </row>
    <row r="33" spans="1:23" ht="17.399999999999999">
      <c r="A33" s="250" t="s">
        <v>361</v>
      </c>
      <c r="B33" s="250" t="s">
        <v>342</v>
      </c>
      <c r="C33" s="112"/>
      <c r="D33" s="112"/>
      <c r="E33" s="1146"/>
      <c r="F33" s="1146"/>
      <c r="G33" s="1146"/>
      <c r="H33" s="1146"/>
      <c r="I33" s="1146"/>
      <c r="J33" s="1146"/>
      <c r="K33"/>
      <c r="L33"/>
      <c r="M33"/>
      <c r="N33" s="2"/>
      <c r="O33"/>
      <c r="P33"/>
      <c r="Q33"/>
      <c r="R33" s="1146"/>
      <c r="S33" s="1146"/>
      <c r="T33" s="1146"/>
      <c r="U33" s="1146"/>
      <c r="V33" s="1146"/>
      <c r="W33" s="1146"/>
    </row>
    <row r="34" spans="1:23" ht="17.399999999999999">
      <c r="A34" s="250" t="s">
        <v>346</v>
      </c>
      <c r="B34" s="112" t="s">
        <v>266</v>
      </c>
      <c r="C34" s="112" t="s">
        <v>267</v>
      </c>
      <c r="D34" s="112" t="s">
        <v>268</v>
      </c>
      <c r="E34" s="1146"/>
      <c r="F34" s="1146"/>
      <c r="G34"/>
      <c r="H34"/>
      <c r="I34"/>
      <c r="J34"/>
      <c r="K34"/>
      <c r="L34"/>
      <c r="M34"/>
      <c r="N34" s="2"/>
      <c r="O34"/>
      <c r="P34"/>
      <c r="Q34"/>
      <c r="R34" s="1146"/>
      <c r="S34" s="1146"/>
      <c r="T34" s="1146"/>
      <c r="U34" s="1146"/>
      <c r="V34" s="1146"/>
      <c r="W34" s="1146"/>
    </row>
    <row r="35" spans="1:23" ht="17.399999999999999">
      <c r="A35" s="251" t="s">
        <v>271</v>
      </c>
      <c r="B35" s="256"/>
      <c r="C35" s="256">
        <v>48000</v>
      </c>
      <c r="D35" s="256">
        <v>48000</v>
      </c>
      <c r="E35" s="1146"/>
      <c r="F35" s="1146"/>
      <c r="G35"/>
      <c r="H35"/>
      <c r="I35"/>
      <c r="J35"/>
      <c r="K35"/>
      <c r="L35"/>
      <c r="M35" s="1146"/>
      <c r="N35" s="1146"/>
      <c r="O35" s="1146"/>
      <c r="P35" s="1146"/>
      <c r="Q35"/>
      <c r="R35" s="1146"/>
      <c r="S35" s="1146"/>
      <c r="T35" s="1146"/>
      <c r="U35" s="1146"/>
      <c r="V35" s="1146"/>
      <c r="W35" s="1146"/>
    </row>
    <row r="36" spans="1:23" ht="17.399999999999999">
      <c r="A36" s="251" t="s">
        <v>274</v>
      </c>
      <c r="B36" s="256"/>
      <c r="C36" s="256">
        <v>48000</v>
      </c>
      <c r="D36" s="256">
        <v>48000</v>
      </c>
      <c r="E36" s="1146"/>
      <c r="F36" s="1146"/>
      <c r="G36"/>
      <c r="H36"/>
      <c r="I36"/>
      <c r="J36"/>
      <c r="K36"/>
      <c r="L36"/>
      <c r="M36" s="1146"/>
      <c r="N36" s="1146"/>
      <c r="O36" s="1146"/>
      <c r="P36" s="1146"/>
      <c r="Q36"/>
      <c r="R36" s="1146"/>
      <c r="S36" s="1146"/>
      <c r="T36" s="1146"/>
      <c r="U36" s="1146"/>
      <c r="V36" s="1146"/>
      <c r="W36" s="1146"/>
    </row>
    <row r="37" spans="1:23" ht="17.399999999999999">
      <c r="A37" s="251" t="s">
        <v>277</v>
      </c>
      <c r="B37" s="256"/>
      <c r="C37" s="256">
        <v>48000</v>
      </c>
      <c r="D37" s="256">
        <v>48000</v>
      </c>
      <c r="E37" s="1146"/>
      <c r="F37" s="1146"/>
      <c r="G37"/>
      <c r="H37"/>
      <c r="I37"/>
      <c r="J37"/>
      <c r="K37"/>
      <c r="L37"/>
      <c r="M37" s="1146"/>
      <c r="N37" s="1146"/>
      <c r="O37" s="1146"/>
      <c r="P37" s="1146"/>
      <c r="Q37"/>
      <c r="R37" s="1146"/>
      <c r="S37" s="1146"/>
      <c r="T37" s="1146"/>
      <c r="U37" s="1146"/>
      <c r="V37" s="1146"/>
      <c r="W37" s="1146"/>
    </row>
    <row r="38" spans="1:23" ht="17.399999999999999">
      <c r="A38" s="251" t="s">
        <v>280</v>
      </c>
      <c r="B38" s="256">
        <v>48000</v>
      </c>
      <c r="C38" s="256">
        <v>48000</v>
      </c>
      <c r="D38" s="256"/>
      <c r="E38" s="1146"/>
      <c r="F38" s="1146"/>
      <c r="G38"/>
      <c r="H38"/>
      <c r="I38"/>
      <c r="J38"/>
      <c r="K38"/>
      <c r="L38"/>
      <c r="M38" s="1146"/>
      <c r="N38" s="1146"/>
      <c r="O38" s="1146"/>
      <c r="P38" s="1146"/>
      <c r="Q38"/>
      <c r="R38" s="1146"/>
      <c r="S38" s="1146"/>
      <c r="T38" s="1146"/>
      <c r="U38" s="1146"/>
      <c r="V38" s="1146"/>
      <c r="W38" s="1146"/>
    </row>
    <row r="39" spans="1:23" ht="17.399999999999999">
      <c r="A39" s="251" t="s">
        <v>281</v>
      </c>
      <c r="B39" s="256"/>
      <c r="C39" s="256"/>
      <c r="D39" s="256">
        <v>48000</v>
      </c>
      <c r="E39" s="1146"/>
      <c r="F39" s="1146"/>
      <c r="G39"/>
      <c r="H39"/>
      <c r="I39"/>
      <c r="J39"/>
      <c r="K39"/>
      <c r="L39"/>
      <c r="M39" s="1146"/>
      <c r="N39" s="1146"/>
      <c r="O39" s="1146"/>
      <c r="P39" s="1146"/>
      <c r="Q39"/>
      <c r="R39" s="1146"/>
      <c r="S39" s="1146"/>
      <c r="T39" s="1146"/>
      <c r="U39" s="1146"/>
      <c r="V39" s="1146"/>
      <c r="W39" s="1146"/>
    </row>
    <row r="40" spans="1:23" ht="17.399999999999999">
      <c r="A40" s="251" t="s">
        <v>282</v>
      </c>
      <c r="B40" s="256">
        <v>48000</v>
      </c>
      <c r="C40" s="256">
        <v>192000</v>
      </c>
      <c r="D40" s="256">
        <v>192000</v>
      </c>
      <c r="E40" s="1146"/>
      <c r="F40" s="1146"/>
      <c r="G40"/>
      <c r="H40"/>
      <c r="I40"/>
      <c r="J40"/>
      <c r="K40"/>
      <c r="L40"/>
      <c r="M40" s="1146"/>
      <c r="N40" s="1146"/>
      <c r="O40" s="1146"/>
      <c r="P40" s="1146"/>
      <c r="Q40"/>
      <c r="R40" s="1146"/>
      <c r="S40" s="1146"/>
      <c r="T40" s="1146"/>
      <c r="U40" s="1146"/>
      <c r="V40" s="1146"/>
      <c r="W40" s="1146"/>
    </row>
    <row r="41" spans="1:23">
      <c r="A41" s="1146"/>
      <c r="B41" s="1145"/>
      <c r="C41" s="1146"/>
      <c r="D41" s="1146"/>
      <c r="E41" s="1146"/>
      <c r="F41" s="1146"/>
      <c r="G41" s="3"/>
      <c r="H41" s="4"/>
      <c r="I41" s="2"/>
      <c r="J41" s="2"/>
      <c r="K41" s="2"/>
      <c r="L41" s="2"/>
      <c r="M41" s="1146"/>
      <c r="N41" s="1146"/>
      <c r="O41" s="1146"/>
      <c r="P41" s="1146"/>
      <c r="Q41"/>
      <c r="R41" s="1146"/>
      <c r="S41" s="1146"/>
      <c r="T41" s="1146"/>
      <c r="U41" s="1146"/>
      <c r="V41" s="1146"/>
      <c r="W41" s="1146"/>
    </row>
    <row r="42" spans="1:23">
      <c r="A42" s="1146"/>
      <c r="B42" s="1146"/>
      <c r="C42" s="1146"/>
      <c r="D42" s="1146"/>
      <c r="E42" s="1146"/>
      <c r="F42" s="1146"/>
      <c r="G42" s="3"/>
      <c r="H42" s="4"/>
      <c r="I42" s="2"/>
      <c r="J42" s="2"/>
      <c r="K42" s="2"/>
      <c r="L42" s="2"/>
      <c r="M42" s="1146"/>
      <c r="N42" s="1146"/>
      <c r="O42" s="1146"/>
      <c r="P42" s="1146"/>
      <c r="Q42"/>
      <c r="R42" s="1146"/>
      <c r="S42" s="1146"/>
      <c r="T42" s="1146"/>
      <c r="U42" s="1146"/>
      <c r="V42" s="1146"/>
      <c r="W42" s="1146"/>
    </row>
    <row r="43" spans="1:23">
      <c r="A43" s="1146"/>
      <c r="B43" s="1146"/>
      <c r="C43" s="1146"/>
      <c r="D43" s="1146"/>
      <c r="E43" s="1146"/>
      <c r="F43" s="1146"/>
      <c r="G43" s="3"/>
      <c r="H43" s="4"/>
      <c r="I43" s="2"/>
      <c r="J43" s="2"/>
      <c r="K43" s="2"/>
      <c r="L43" s="2"/>
      <c r="M43"/>
      <c r="N43"/>
      <c r="O43"/>
      <c r="P43"/>
      <c r="Q43"/>
      <c r="R43" s="1146"/>
      <c r="S43" s="1146"/>
      <c r="T43" s="1146"/>
      <c r="U43" s="1146"/>
      <c r="V43" s="1146"/>
      <c r="W43" s="1146"/>
    </row>
    <row r="44" spans="1:23">
      <c r="A44" s="1146"/>
      <c r="B44" s="1146"/>
      <c r="C44" s="1146"/>
      <c r="D44" s="1146"/>
      <c r="E44" s="1146"/>
      <c r="F44" s="1146"/>
      <c r="G44" s="1146"/>
      <c r="H44" s="1146"/>
      <c r="I44" s="1146"/>
      <c r="J44" s="1146"/>
      <c r="K44" s="1146"/>
      <c r="L44" s="1146"/>
      <c r="M44"/>
      <c r="N44"/>
      <c r="O44"/>
      <c r="P44"/>
      <c r="Q44"/>
      <c r="R44" s="1146"/>
      <c r="S44" s="1146"/>
      <c r="T44" s="1146"/>
      <c r="U44" s="1146"/>
      <c r="V44" s="1146"/>
      <c r="W44" s="1146"/>
    </row>
    <row r="45" spans="1:23" s="871" customFormat="1">
      <c r="A45" s="1146"/>
      <c r="B45" s="1146"/>
      <c r="C45" s="1146"/>
      <c r="D45" s="1146"/>
      <c r="E45" s="1146"/>
      <c r="F45" s="1146"/>
      <c r="G45" s="1146"/>
      <c r="H45" s="1146"/>
      <c r="I45" s="1146"/>
      <c r="J45" s="1146"/>
      <c r="K45" s="1146"/>
      <c r="L45" s="1146"/>
      <c r="M45"/>
      <c r="N45"/>
      <c r="O45"/>
      <c r="P45"/>
      <c r="Q45"/>
      <c r="R45" s="1146"/>
      <c r="S45" s="1146"/>
      <c r="T45" s="1146"/>
      <c r="U45" s="1146"/>
      <c r="V45" s="1146"/>
      <c r="W45" s="1146"/>
    </row>
    <row r="46" spans="1:23" s="871" customFormat="1">
      <c r="A46" s="1146"/>
      <c r="B46" s="1146"/>
      <c r="C46" s="1146"/>
      <c r="D46" s="1146"/>
      <c r="E46" s="1146"/>
      <c r="F46" s="1146"/>
      <c r="G46" s="1146"/>
      <c r="H46" s="1146"/>
      <c r="I46" s="1146"/>
      <c r="J46" s="1146"/>
      <c r="K46" s="1146"/>
      <c r="L46" s="1146"/>
      <c r="M46"/>
      <c r="N46"/>
      <c r="O46"/>
      <c r="P46"/>
      <c r="Q46"/>
      <c r="R46" s="1146"/>
      <c r="S46" s="1146"/>
      <c r="T46" s="1146"/>
      <c r="U46" s="1146"/>
      <c r="V46" s="1146"/>
      <c r="W46" s="1146"/>
    </row>
    <row r="47" spans="1:23">
      <c r="A47" s="1146"/>
      <c r="B47" s="1146"/>
      <c r="C47" s="1146"/>
      <c r="D47" s="1146"/>
      <c r="E47" s="1146"/>
      <c r="F47" s="1146"/>
      <c r="G47" s="1146"/>
      <c r="H47" s="1146"/>
      <c r="I47" s="1146"/>
      <c r="J47" s="1146"/>
      <c r="K47" s="1146"/>
      <c r="L47" s="1146"/>
      <c r="M47"/>
      <c r="N47"/>
      <c r="O47"/>
      <c r="P47"/>
      <c r="Q47"/>
      <c r="R47" s="1146"/>
      <c r="S47" s="1146"/>
      <c r="T47" s="1146"/>
      <c r="U47" s="1146"/>
      <c r="V47" s="1146"/>
      <c r="W47" s="1146"/>
    </row>
    <row r="48" spans="1:23">
      <c r="A48" s="1146"/>
      <c r="B48" s="1146"/>
      <c r="C48" s="1146"/>
      <c r="D48" s="1146"/>
      <c r="E48" s="1146"/>
      <c r="F48" s="1146"/>
      <c r="G48" s="1146"/>
      <c r="H48" s="1146"/>
      <c r="I48" s="1146"/>
      <c r="J48" s="1146"/>
      <c r="K48" s="1146"/>
      <c r="L48" s="1146"/>
      <c r="M48"/>
      <c r="N48"/>
      <c r="O48"/>
      <c r="P48"/>
      <c r="Q48"/>
      <c r="R48" s="1146"/>
      <c r="S48" s="1146"/>
      <c r="T48" s="1146"/>
      <c r="U48" s="1146"/>
      <c r="V48" s="1146"/>
      <c r="W48" s="1146"/>
    </row>
    <row r="49" spans="1:17">
      <c r="A49" s="1146"/>
      <c r="B49" s="1146"/>
      <c r="C49" s="1146"/>
      <c r="D49" s="1146"/>
      <c r="E49" s="1146"/>
      <c r="F49" s="1146"/>
      <c r="G49" s="1146"/>
      <c r="H49" s="1146"/>
      <c r="I49" s="1146"/>
      <c r="J49" s="1146"/>
      <c r="K49" s="1146"/>
      <c r="L49" s="1146"/>
      <c r="M49" s="1146"/>
      <c r="N49" s="1146"/>
      <c r="O49"/>
      <c r="P49"/>
      <c r="Q49"/>
    </row>
    <row r="50" spans="1:17">
      <c r="A50" s="1146"/>
      <c r="B50" s="1146"/>
      <c r="C50" s="1146"/>
      <c r="D50" s="1146"/>
      <c r="E50" s="1146"/>
      <c r="F50" s="1146"/>
      <c r="G50" s="1146"/>
      <c r="H50" s="1146"/>
      <c r="I50" s="1146"/>
      <c r="J50" s="1146"/>
      <c r="K50" s="1146"/>
      <c r="L50" s="1146"/>
      <c r="M50" s="1146"/>
      <c r="N50" s="1146"/>
      <c r="O50"/>
      <c r="P50" s="1146"/>
      <c r="Q50" s="1146"/>
    </row>
    <row r="51" spans="1:17" ht="17.399999999999999">
      <c r="A51" s="250" t="s">
        <v>361</v>
      </c>
      <c r="B51" s="250" t="s">
        <v>342</v>
      </c>
      <c r="C51" s="112"/>
      <c r="D51" s="112"/>
      <c r="E51" s="1146"/>
      <c r="F51" s="1146"/>
      <c r="G51" s="1146"/>
      <c r="H51" s="1146"/>
      <c r="I51" s="1146"/>
      <c r="J51" s="1146"/>
      <c r="K51" s="1146"/>
      <c r="L51" s="1146"/>
      <c r="M51" s="1146"/>
      <c r="N51" s="1146"/>
      <c r="O51"/>
      <c r="P51" s="1146"/>
      <c r="Q51" s="1146"/>
    </row>
    <row r="52" spans="1:17" ht="17.399999999999999">
      <c r="A52" s="250" t="s">
        <v>346</v>
      </c>
      <c r="B52" s="112" t="s">
        <v>266</v>
      </c>
      <c r="C52" s="112" t="s">
        <v>267</v>
      </c>
      <c r="D52" s="112" t="s">
        <v>268</v>
      </c>
      <c r="E52" s="1146"/>
      <c r="F52" s="1146"/>
      <c r="G52" s="1146"/>
      <c r="H52" s="1146"/>
      <c r="I52" s="1146"/>
      <c r="J52" s="1146"/>
      <c r="K52" s="1146"/>
      <c r="L52" s="1146"/>
      <c r="M52" s="1146"/>
      <c r="N52" s="1146"/>
      <c r="O52" s="1146"/>
      <c r="P52" s="1146"/>
      <c r="Q52" s="1146"/>
    </row>
    <row r="53" spans="1:17" ht="17.399999999999999">
      <c r="A53" s="251" t="s">
        <v>283</v>
      </c>
      <c r="B53" s="256">
        <v>48000</v>
      </c>
      <c r="C53" s="256">
        <v>192000</v>
      </c>
      <c r="D53" s="256">
        <v>192000</v>
      </c>
      <c r="E53" s="1146"/>
      <c r="F53" s="1146"/>
      <c r="G53" s="1146"/>
      <c r="H53" s="1146"/>
      <c r="I53" s="1146"/>
      <c r="J53" s="1146"/>
      <c r="K53" s="1146"/>
      <c r="L53" s="1146"/>
      <c r="M53" s="1146"/>
      <c r="N53" s="1146"/>
      <c r="O53" s="1146"/>
      <c r="P53" s="1146"/>
      <c r="Q53" s="1146"/>
    </row>
    <row r="54" spans="1:17" ht="17.399999999999999">
      <c r="A54" s="251" t="s">
        <v>282</v>
      </c>
      <c r="B54" s="256">
        <v>48000</v>
      </c>
      <c r="C54" s="256">
        <v>192000</v>
      </c>
      <c r="D54" s="256">
        <v>192000</v>
      </c>
      <c r="E54" s="1146"/>
      <c r="F54" s="1146"/>
      <c r="G54" s="1146"/>
      <c r="H54" s="1146"/>
      <c r="I54" s="1146"/>
      <c r="J54" s="1146"/>
      <c r="K54" s="1146"/>
      <c r="L54" s="1146"/>
      <c r="M54" s="1146"/>
      <c r="N54" s="1146"/>
      <c r="O54" s="1146"/>
      <c r="P54" s="1146"/>
      <c r="Q54" s="1146"/>
    </row>
    <row r="60" spans="1:17" ht="17.399999999999999">
      <c r="A60" s="250" t="s">
        <v>361</v>
      </c>
      <c r="B60" s="250" t="s">
        <v>342</v>
      </c>
      <c r="C60" s="112"/>
      <c r="D60" s="112"/>
      <c r="E60" s="1146"/>
      <c r="F60" s="1146"/>
      <c r="G60" s="1146"/>
      <c r="H60" s="1146"/>
      <c r="I60" s="1146"/>
      <c r="J60" s="1146"/>
      <c r="K60" s="1146"/>
      <c r="L60" s="1146"/>
      <c r="M60" s="1146"/>
      <c r="N60" s="1146"/>
      <c r="O60" s="1146"/>
      <c r="P60" s="1146"/>
      <c r="Q60" s="1146"/>
    </row>
    <row r="61" spans="1:17" ht="17.399999999999999">
      <c r="A61" s="250" t="s">
        <v>346</v>
      </c>
      <c r="B61" s="112" t="s">
        <v>266</v>
      </c>
      <c r="C61" s="112" t="s">
        <v>267</v>
      </c>
      <c r="D61" s="112" t="s">
        <v>268</v>
      </c>
      <c r="E61" s="1146"/>
      <c r="F61" s="1146"/>
      <c r="G61" s="1146"/>
      <c r="H61" s="1146"/>
      <c r="I61" s="1146"/>
      <c r="J61" s="1146"/>
      <c r="K61" s="1146"/>
      <c r="L61" s="1146"/>
      <c r="M61" s="1146"/>
      <c r="N61" s="1146"/>
      <c r="O61" s="1146"/>
      <c r="P61" s="1146"/>
      <c r="Q61" s="1146"/>
    </row>
    <row r="62" spans="1:17" ht="17.399999999999999">
      <c r="A62" s="251" t="s">
        <v>283</v>
      </c>
      <c r="B62" s="883">
        <v>1</v>
      </c>
      <c r="C62" s="883">
        <v>1</v>
      </c>
      <c r="D62" s="883">
        <v>1</v>
      </c>
      <c r="E62" s="1146"/>
      <c r="F62" s="1146"/>
      <c r="G62" s="1146"/>
      <c r="H62" s="1146"/>
      <c r="I62" s="1146"/>
      <c r="J62" s="1146"/>
      <c r="K62" s="1146"/>
      <c r="L62" s="1146"/>
      <c r="M62" s="1146"/>
      <c r="N62" s="1146"/>
      <c r="O62" s="1146"/>
      <c r="P62" s="1146"/>
      <c r="Q62" s="1146"/>
    </row>
    <row r="63" spans="1:17" ht="17.399999999999999">
      <c r="A63" s="251" t="s">
        <v>282</v>
      </c>
      <c r="B63" s="883">
        <v>1</v>
      </c>
      <c r="C63" s="883">
        <v>1</v>
      </c>
      <c r="D63" s="883">
        <v>1</v>
      </c>
      <c r="E63" s="1146"/>
      <c r="F63" s="1146"/>
      <c r="G63" s="1146"/>
      <c r="H63" s="1146"/>
      <c r="I63" s="1146"/>
      <c r="J63" s="1146"/>
      <c r="K63" s="1146"/>
      <c r="L63" s="1146"/>
      <c r="M63" s="1146"/>
      <c r="N63" s="1146"/>
      <c r="O63" s="1146"/>
      <c r="P63" s="1146"/>
      <c r="Q63" s="1146"/>
    </row>
    <row r="68" spans="1:5" ht="17.399999999999999">
      <c r="A68" s="250" t="s">
        <v>361</v>
      </c>
      <c r="B68" s="112"/>
      <c r="C68" s="250" t="s">
        <v>288</v>
      </c>
      <c r="D68" s="112"/>
      <c r="E68" s="112"/>
    </row>
    <row r="69" spans="1:5" ht="17.399999999999999">
      <c r="A69" s="250" t="s">
        <v>11</v>
      </c>
      <c r="B69" s="250" t="s">
        <v>12</v>
      </c>
      <c r="C69" s="112" t="s">
        <v>266</v>
      </c>
      <c r="D69" s="112" t="s">
        <v>267</v>
      </c>
      <c r="E69" s="112" t="s">
        <v>268</v>
      </c>
    </row>
    <row r="70" spans="1:5" ht="17.399999999999999">
      <c r="A70" s="112" t="s">
        <v>283</v>
      </c>
      <c r="B70" s="112" t="s">
        <v>21</v>
      </c>
      <c r="C70" s="256">
        <v>48000</v>
      </c>
      <c r="D70" s="256">
        <v>192000</v>
      </c>
      <c r="E70" s="256">
        <v>192000</v>
      </c>
    </row>
    <row r="71" spans="1:5" ht="17.399999999999999">
      <c r="A71" s="112" t="s">
        <v>282</v>
      </c>
      <c r="B71" s="112"/>
      <c r="C71" s="256">
        <v>48000</v>
      </c>
      <c r="D71" s="256">
        <v>192000</v>
      </c>
      <c r="E71" s="256">
        <v>192000</v>
      </c>
    </row>
    <row r="72" spans="1:5">
      <c r="A72"/>
      <c r="B72"/>
      <c r="C72"/>
      <c r="D72"/>
      <c r="E72" s="1146"/>
    </row>
  </sheetData>
  <sheetProtection algorithmName="SHA-512" hashValue="xLMR3kR5HeHnWU4l9uzXcjdmiJooK6B9cZVUwrQBzeyBS8AAXrs19z5xRQSQkTexM7KmK9+Lvo00Qryh4VT6YA==" saltValue="5uIoh+lXIUtp3PzEqxgn+w==" spinCount="100000" sheet="1" objects="1" scenarios="1" formatColumns="0" autoFilter="0"/>
  <autoFilter ref="A1:W19" xr:uid="{A28209F1-4ADC-4355-937B-C3B6693D1F8D}"/>
  <conditionalFormatting sqref="L1:L19">
    <cfRule type="cellIs" dxfId="331" priority="25" operator="equal">
      <formula>"HUBB"</formula>
    </cfRule>
    <cfRule type="cellIs" dxfId="330" priority="26" operator="equal">
      <formula>"ROSS"</formula>
    </cfRule>
    <cfRule type="cellIs" dxfId="329" priority="27" operator="equal">
      <formula>"COBB"</formula>
    </cfRule>
  </conditionalFormatting>
  <conditionalFormatting sqref="M1:M19">
    <cfRule type="cellIs" dxfId="328" priority="5" operator="equal">
      <formula>"500 SLOW - MV"</formula>
    </cfRule>
    <cfRule type="cellIs" dxfId="327" priority="6" operator="equal">
      <formula>"500 FAST - MALE"</formula>
    </cfRule>
    <cfRule type="cellIs" dxfId="326" priority="7" operator="equal">
      <formula>"500 SLOW - MX"</formula>
    </cfRule>
    <cfRule type="cellIs" dxfId="325" priority="8" operator="equal">
      <formula>"EFFICIENCY PLUS_M77"</formula>
    </cfRule>
    <cfRule type="cellIs" dxfId="324" priority="9" operator="equal">
      <formula>"AP95 - 344  JBS"</formula>
    </cfRule>
    <cfRule type="cellIs" dxfId="323" priority="10" operator="equal">
      <formula>"500 SLOW - MALE JBS"</formula>
    </cfRule>
    <cfRule type="cellIs" dxfId="322" priority="11" operator="equal">
      <formula>"AP95 - 344"</formula>
    </cfRule>
    <cfRule type="cellIs" dxfId="321" priority="12" operator="equal">
      <formula>"800 SLOW CDP4 - MALE"</formula>
    </cfRule>
    <cfRule type="cellIs" dxfId="320" priority="13" operator="equal">
      <formula>"800 SLOW CDP4 - MX"</formula>
    </cfRule>
    <cfRule type="cellIs" dxfId="319" priority="14" operator="equal">
      <formula>"500 SLOW - MALE"</formula>
    </cfRule>
  </conditionalFormatting>
  <conditionalFormatting sqref="M2:M19">
    <cfRule type="cellIs" dxfId="318" priority="1" operator="equal">
      <formula>"800 SLOW - MALE"</formula>
    </cfRule>
  </conditionalFormatting>
  <conditionalFormatting sqref="M8:M9">
    <cfRule type="cellIs" dxfId="317" priority="2" operator="equal">
      <formula>"CDP4 SF - MALE"</formula>
    </cfRule>
    <cfRule type="cellIs" dxfId="316" priority="3" operator="equal">
      <formula>"CDP4 SF - MX"</formula>
    </cfRule>
    <cfRule type="cellIs" dxfId="315" priority="4" operator="equal">
      <formula>"800 SLOW - MX"</formula>
    </cfRule>
  </conditionalFormatting>
  <pageMargins left="0.51181102362204722" right="0.51181102362204722" top="0.78740157480314965" bottom="0.78740157480314965" header="0.31496062992125984" footer="0.31496062992125984"/>
  <pageSetup paperSize="9" scale="81" orientation="landscape" horizontalDpi="4294967293" r:id="rId5"/>
  <drawing r:id="rId6"/>
  <legacyDrawing r:id="rId7"/>
  <extLst>
    <ext xmlns:x15="http://schemas.microsoft.com/office/spreadsheetml/2010/11/main" uri="{7E03D99C-DC04-49d9-9315-930204A7B6E9}">
      <x15:timelineRefs>
        <x15:timelineRef r:id="rId8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1D97-17BD-4BD2-B312-C190EB32BA33}">
  <sheetPr codeName="Planilha7">
    <tabColor rgb="FF008000"/>
  </sheetPr>
  <dimension ref="A1:W143"/>
  <sheetViews>
    <sheetView showGridLines="0" view="pageBreakPreview" zoomScale="60" zoomScaleNormal="85" workbookViewId="0">
      <pane ySplit="1" topLeftCell="A82" activePane="bottomLeft" state="frozen"/>
      <selection activeCell="H260" sqref="H260"/>
      <selection pane="bottomLeft" activeCell="H97" sqref="H97"/>
    </sheetView>
  </sheetViews>
  <sheetFormatPr defaultColWidth="8.09765625" defaultRowHeight="17.399999999999999"/>
  <cols>
    <col min="1" max="1" width="9.765625E-2" style="366" customWidth="1"/>
    <col min="2" max="2" width="10.8984375" style="366" bestFit="1" customWidth="1"/>
    <col min="3" max="3" width="14.09765625" style="366" bestFit="1" customWidth="1"/>
    <col min="4" max="4" width="25.59765625" style="366" bestFit="1" customWidth="1"/>
    <col min="5" max="5" width="13.09765625" style="408" customWidth="1"/>
    <col min="6" max="6" width="11.8984375" style="366" bestFit="1" customWidth="1"/>
    <col min="7" max="7" width="10.8984375" style="366" bestFit="1" customWidth="1"/>
    <col min="8" max="8" width="31.8984375" style="407" bestFit="1" customWidth="1"/>
    <col min="9" max="9" width="9.8984375" style="407" customWidth="1"/>
    <col min="10" max="10" width="17.8984375" style="366" bestFit="1" customWidth="1"/>
    <col min="11" max="11" width="14.296875" style="366" bestFit="1" customWidth="1"/>
    <col min="12" max="12" width="14.59765625" style="366" customWidth="1"/>
    <col min="13" max="13" width="27.296875" style="366" bestFit="1" customWidth="1"/>
    <col min="14" max="14" width="21" style="366" bestFit="1" customWidth="1"/>
    <col min="15" max="15" width="24.69921875" style="366" bestFit="1" customWidth="1"/>
    <col min="16" max="16" width="23.296875" style="366" bestFit="1" customWidth="1"/>
    <col min="17" max="17" width="8.69921875" style="366" bestFit="1" customWidth="1"/>
    <col min="18" max="18" width="46.3984375" style="366" customWidth="1"/>
    <col min="19" max="19" width="12.09765625" style="410" bestFit="1" customWidth="1"/>
    <col min="20" max="20" width="16.3984375" style="366" bestFit="1" customWidth="1"/>
    <col min="21" max="21" width="12.09765625" style="366" bestFit="1" customWidth="1"/>
    <col min="22" max="22" width="14.3984375" style="408" bestFit="1" customWidth="1"/>
    <col min="23" max="23" width="15" style="366" bestFit="1" customWidth="1"/>
    <col min="24" max="16384" width="8.09765625" style="366"/>
  </cols>
  <sheetData>
    <row r="1" spans="1:23" s="81" customFormat="1" ht="15.9" customHeight="1">
      <c r="A1" s="95" t="s">
        <v>537</v>
      </c>
      <c r="B1" s="95" t="s">
        <v>0</v>
      </c>
      <c r="C1" s="95" t="s">
        <v>1</v>
      </c>
      <c r="D1" s="95" t="s">
        <v>2</v>
      </c>
      <c r="E1" s="95" t="s">
        <v>3</v>
      </c>
      <c r="F1" s="7" t="s">
        <v>362</v>
      </c>
      <c r="G1" s="97" t="s">
        <v>538</v>
      </c>
      <c r="H1" s="95" t="s">
        <v>539</v>
      </c>
      <c r="I1" s="95" t="s">
        <v>540</v>
      </c>
      <c r="J1" s="95" t="s">
        <v>541</v>
      </c>
      <c r="K1" s="95" t="s">
        <v>542</v>
      </c>
      <c r="L1" s="95" t="s">
        <v>10</v>
      </c>
      <c r="M1" s="98" t="s">
        <v>346</v>
      </c>
      <c r="N1" s="98" t="s">
        <v>543</v>
      </c>
      <c r="O1" s="95" t="s">
        <v>544</v>
      </c>
      <c r="P1" s="97" t="s">
        <v>3</v>
      </c>
      <c r="Q1" s="97" t="s">
        <v>538</v>
      </c>
      <c r="R1" s="96" t="s">
        <v>545</v>
      </c>
      <c r="S1" s="95" t="s">
        <v>8</v>
      </c>
      <c r="T1" s="95" t="s">
        <v>14</v>
      </c>
      <c r="U1" s="94" t="s">
        <v>15</v>
      </c>
      <c r="V1" s="93" t="s">
        <v>296</v>
      </c>
      <c r="W1" s="93" t="s">
        <v>16</v>
      </c>
    </row>
    <row r="2" spans="1:23" s="382" customFormat="1" ht="21">
      <c r="A2" s="1131"/>
      <c r="B2" s="390">
        <f t="shared" ref="B2:B67" si="0">+YEAR(C2)</f>
        <v>2024</v>
      </c>
      <c r="C2" s="404">
        <v>45498</v>
      </c>
      <c r="D2" s="405">
        <f>C2</f>
        <v>45498</v>
      </c>
      <c r="E2" s="406" t="s">
        <v>546</v>
      </c>
      <c r="F2" s="393">
        <f t="shared" ref="F2:F68" ca="1" si="1">(TODAY()-C2)/7</f>
        <v>113.71428571428571</v>
      </c>
      <c r="G2" s="393">
        <v>70</v>
      </c>
      <c r="H2" s="392" t="s">
        <v>547</v>
      </c>
      <c r="I2" s="392" t="s">
        <v>548</v>
      </c>
      <c r="J2" s="393">
        <v>15500</v>
      </c>
      <c r="K2" s="393">
        <f t="shared" ref="K2" si="2">J2*13%</f>
        <v>2015</v>
      </c>
      <c r="L2" s="391">
        <f>C25-N2</f>
        <v>44</v>
      </c>
      <c r="M2" s="396" t="s">
        <v>285</v>
      </c>
      <c r="N2" s="374">
        <f>C2+21*7</f>
        <v>45645</v>
      </c>
      <c r="O2" s="367">
        <f t="shared" ref="O2" si="3">D2+24*7</f>
        <v>45666</v>
      </c>
      <c r="P2" s="368" t="s">
        <v>549</v>
      </c>
      <c r="Q2" s="368">
        <v>94</v>
      </c>
      <c r="R2" s="381" t="s">
        <v>550</v>
      </c>
      <c r="S2" s="370">
        <f t="shared" ref="S2:S28" si="4">J2*96.2%</f>
        <v>14911.000000000002</v>
      </c>
      <c r="T2" s="371">
        <f t="shared" ref="T2:T70" si="5">D2+(U2*7)</f>
        <v>45944.6</v>
      </c>
      <c r="U2" s="372">
        <v>63.8</v>
      </c>
      <c r="V2" s="373">
        <f>N41-T2</f>
        <v>56.400000000001455</v>
      </c>
      <c r="W2" s="374">
        <f t="shared" ref="W2:W63" si="6">+T2+V2</f>
        <v>46001</v>
      </c>
    </row>
    <row r="3" spans="1:23" ht="21">
      <c r="A3" s="1131"/>
      <c r="B3" s="390">
        <f t="shared" si="0"/>
        <v>2024</v>
      </c>
      <c r="C3" s="404">
        <v>45500</v>
      </c>
      <c r="D3" s="405">
        <f>C3-2</f>
        <v>45498</v>
      </c>
      <c r="E3" s="406" t="s">
        <v>546</v>
      </c>
      <c r="F3" s="393">
        <f t="shared" ca="1" si="1"/>
        <v>113.42857142857143</v>
      </c>
      <c r="G3" s="393">
        <v>70</v>
      </c>
      <c r="H3" s="392" t="s">
        <v>547</v>
      </c>
      <c r="I3" s="392" t="s">
        <v>548</v>
      </c>
      <c r="J3" s="393">
        <v>14300</v>
      </c>
      <c r="K3" s="393">
        <f>J3*13%</f>
        <v>1859</v>
      </c>
      <c r="L3" s="391">
        <f>C25-N3</f>
        <v>42</v>
      </c>
      <c r="M3" s="396" t="s">
        <v>285</v>
      </c>
      <c r="N3" s="374">
        <f>C3+21*7</f>
        <v>45647</v>
      </c>
      <c r="O3" s="367">
        <f>D3+24*7</f>
        <v>45666</v>
      </c>
      <c r="P3" s="368" t="s">
        <v>551</v>
      </c>
      <c r="Q3" s="368">
        <v>110</v>
      </c>
      <c r="R3" s="385" t="s">
        <v>552</v>
      </c>
      <c r="S3" s="370">
        <f t="shared" si="4"/>
        <v>13756.6</v>
      </c>
      <c r="T3" s="376">
        <f t="shared" si="5"/>
        <v>45979.6</v>
      </c>
      <c r="U3" s="372">
        <v>68.8</v>
      </c>
      <c r="V3" s="373">
        <f>N47-T3</f>
        <v>77.400000000001455</v>
      </c>
      <c r="W3" s="374">
        <f t="shared" si="6"/>
        <v>46057</v>
      </c>
    </row>
    <row r="4" spans="1:23" ht="21">
      <c r="A4" s="1131"/>
      <c r="B4" s="390">
        <f t="shared" si="0"/>
        <v>2024</v>
      </c>
      <c r="C4" s="404">
        <v>45505</v>
      </c>
      <c r="D4" s="405">
        <f>C4</f>
        <v>45505</v>
      </c>
      <c r="E4" s="406" t="s">
        <v>546</v>
      </c>
      <c r="F4" s="393">
        <f t="shared" ca="1" si="1"/>
        <v>112.71428571428571</v>
      </c>
      <c r="G4" s="393">
        <v>70</v>
      </c>
      <c r="H4" s="392" t="s">
        <v>547</v>
      </c>
      <c r="I4" s="392" t="s">
        <v>548</v>
      </c>
      <c r="J4" s="393">
        <v>31700</v>
      </c>
      <c r="K4" s="393">
        <f>J4*13%</f>
        <v>4121</v>
      </c>
      <c r="L4" s="391">
        <f>C25-N4</f>
        <v>37</v>
      </c>
      <c r="M4" s="396" t="s">
        <v>285</v>
      </c>
      <c r="N4" s="374">
        <f>C4+21*7</f>
        <v>45652</v>
      </c>
      <c r="O4" s="367">
        <f>D4+24*7</f>
        <v>45673</v>
      </c>
      <c r="P4" s="368" t="s">
        <v>551</v>
      </c>
      <c r="Q4" s="368">
        <v>110</v>
      </c>
      <c r="R4" s="385" t="s">
        <v>552</v>
      </c>
      <c r="S4" s="370">
        <f t="shared" si="4"/>
        <v>30495.4</v>
      </c>
      <c r="T4" s="376">
        <f t="shared" si="5"/>
        <v>45979.6</v>
      </c>
      <c r="U4" s="372">
        <v>67.8</v>
      </c>
      <c r="V4" s="373">
        <f>N47-T4</f>
        <v>77.400000000001455</v>
      </c>
      <c r="W4" s="374">
        <f t="shared" si="6"/>
        <v>46057</v>
      </c>
    </row>
    <row r="5" spans="1:23" ht="21">
      <c r="A5" s="1131"/>
      <c r="B5" s="399">
        <f t="shared" si="0"/>
        <v>2024</v>
      </c>
      <c r="C5" s="400">
        <v>45513</v>
      </c>
      <c r="D5" s="401">
        <f>C5-1</f>
        <v>45512</v>
      </c>
      <c r="E5" s="402" t="s">
        <v>553</v>
      </c>
      <c r="F5" s="403">
        <f t="shared" ca="1" si="1"/>
        <v>111.57142857142857</v>
      </c>
      <c r="G5" s="403">
        <v>70</v>
      </c>
      <c r="H5" s="559" t="s">
        <v>554</v>
      </c>
      <c r="I5" s="559" t="s">
        <v>555</v>
      </c>
      <c r="J5" s="403">
        <v>44100</v>
      </c>
      <c r="K5" s="403">
        <f t="shared" ref="K5:K11" si="7">J5*13%</f>
        <v>5733</v>
      </c>
      <c r="L5" s="560">
        <f>C23-N5</f>
        <v>22</v>
      </c>
      <c r="M5" s="396" t="s">
        <v>285</v>
      </c>
      <c r="N5" s="379">
        <f>C5+21*7</f>
        <v>45660</v>
      </c>
      <c r="O5" s="386">
        <f>D5+24*7</f>
        <v>45680</v>
      </c>
      <c r="P5" s="561" t="s">
        <v>556</v>
      </c>
      <c r="Q5" s="561">
        <v>70</v>
      </c>
      <c r="R5" s="397" t="s">
        <v>557</v>
      </c>
      <c r="S5" s="375">
        <f t="shared" si="4"/>
        <v>42424.200000000004</v>
      </c>
      <c r="T5" s="376">
        <f t="shared" si="5"/>
        <v>45968.4</v>
      </c>
      <c r="U5" s="377">
        <v>65.2</v>
      </c>
      <c r="V5" s="378">
        <f>N46-T5</f>
        <v>84.599999999998545</v>
      </c>
      <c r="W5" s="379">
        <f t="shared" si="6"/>
        <v>46053</v>
      </c>
    </row>
    <row r="6" spans="1:23" ht="21">
      <c r="A6" s="1131"/>
      <c r="B6" s="399">
        <f t="shared" si="0"/>
        <v>2024</v>
      </c>
      <c r="C6" s="400">
        <v>45514</v>
      </c>
      <c r="D6" s="401">
        <f>C6-2</f>
        <v>45512</v>
      </c>
      <c r="E6" s="402" t="s">
        <v>553</v>
      </c>
      <c r="F6" s="403">
        <f t="shared" ca="1" si="1"/>
        <v>111.42857142857143</v>
      </c>
      <c r="G6" s="403">
        <v>70</v>
      </c>
      <c r="H6" s="559" t="s">
        <v>554</v>
      </c>
      <c r="I6" s="559" t="s">
        <v>555</v>
      </c>
      <c r="J6" s="403">
        <v>20000</v>
      </c>
      <c r="K6" s="403">
        <f t="shared" si="7"/>
        <v>2600</v>
      </c>
      <c r="L6" s="560">
        <f>C23-N6</f>
        <v>21</v>
      </c>
      <c r="M6" s="396" t="s">
        <v>285</v>
      </c>
      <c r="N6" s="374">
        <f t="shared" ref="N6:N7" si="8">C6+21*7</f>
        <v>45661</v>
      </c>
      <c r="O6" s="367">
        <f t="shared" ref="O6:O22" si="9">D6+24*7</f>
        <v>45680</v>
      </c>
      <c r="P6" s="368" t="s">
        <v>558</v>
      </c>
      <c r="Q6" s="368">
        <v>94</v>
      </c>
      <c r="R6" s="384" t="s">
        <v>559</v>
      </c>
      <c r="S6" s="370">
        <f t="shared" si="4"/>
        <v>19240</v>
      </c>
      <c r="T6" s="371">
        <f t="shared" si="5"/>
        <v>45998.5</v>
      </c>
      <c r="U6" s="372">
        <v>69.5</v>
      </c>
      <c r="V6" s="373">
        <f>N45-T6</f>
        <v>49.5</v>
      </c>
      <c r="W6" s="374">
        <f t="shared" si="6"/>
        <v>46048</v>
      </c>
    </row>
    <row r="7" spans="1:23" ht="21">
      <c r="A7" s="1131"/>
      <c r="B7" s="399">
        <f t="shared" si="0"/>
        <v>2024</v>
      </c>
      <c r="C7" s="400">
        <v>45521</v>
      </c>
      <c r="D7" s="401">
        <f>C7-2</f>
        <v>45519</v>
      </c>
      <c r="E7" s="402" t="s">
        <v>560</v>
      </c>
      <c r="F7" s="403">
        <f t="shared" ca="1" si="1"/>
        <v>110.42857142857143</v>
      </c>
      <c r="G7" s="403">
        <v>70</v>
      </c>
      <c r="H7" s="559" t="s">
        <v>554</v>
      </c>
      <c r="I7" s="559" t="s">
        <v>555</v>
      </c>
      <c r="J7" s="375">
        <v>28000</v>
      </c>
      <c r="K7" s="375">
        <f>J7*12%</f>
        <v>3360</v>
      </c>
      <c r="L7" s="560"/>
      <c r="M7" s="394" t="s">
        <v>561</v>
      </c>
      <c r="N7" s="379">
        <f t="shared" si="8"/>
        <v>45668</v>
      </c>
      <c r="O7" s="386">
        <f t="shared" si="9"/>
        <v>45687</v>
      </c>
      <c r="P7" s="561" t="s">
        <v>562</v>
      </c>
      <c r="Q7" s="561">
        <v>94</v>
      </c>
      <c r="R7" s="395" t="s">
        <v>563</v>
      </c>
      <c r="S7" s="375">
        <f t="shared" si="4"/>
        <v>26936.000000000004</v>
      </c>
      <c r="T7" s="376">
        <f t="shared" si="5"/>
        <v>45991.5</v>
      </c>
      <c r="U7" s="377">
        <v>67.5</v>
      </c>
      <c r="V7" s="378">
        <f>N49-T7</f>
        <v>74.5</v>
      </c>
      <c r="W7" s="379">
        <f t="shared" si="6"/>
        <v>46066</v>
      </c>
    </row>
    <row r="8" spans="1:23" ht="21">
      <c r="A8" s="1131"/>
      <c r="B8" s="390">
        <f t="shared" si="0"/>
        <v>2024</v>
      </c>
      <c r="C8" s="404">
        <v>45538</v>
      </c>
      <c r="D8" s="405">
        <f>C8+2</f>
        <v>45540</v>
      </c>
      <c r="E8" s="406" t="s">
        <v>564</v>
      </c>
      <c r="F8" s="393">
        <f t="shared" ca="1" si="1"/>
        <v>108</v>
      </c>
      <c r="G8" s="393">
        <v>70</v>
      </c>
      <c r="H8" s="392" t="s">
        <v>565</v>
      </c>
      <c r="I8" s="392" t="s">
        <v>566</v>
      </c>
      <c r="J8" s="393">
        <v>46500</v>
      </c>
      <c r="K8" s="393">
        <f t="shared" si="7"/>
        <v>6045</v>
      </c>
      <c r="L8" s="391">
        <f>C27-N8</f>
        <v>25</v>
      </c>
      <c r="M8" s="396" t="s">
        <v>285</v>
      </c>
      <c r="N8" s="374">
        <f>C8+21*7</f>
        <v>45685</v>
      </c>
      <c r="O8" s="367">
        <f t="shared" si="9"/>
        <v>45708</v>
      </c>
      <c r="P8" s="368" t="s">
        <v>567</v>
      </c>
      <c r="Q8" s="368">
        <v>70</v>
      </c>
      <c r="R8" s="383" t="s">
        <v>568</v>
      </c>
      <c r="S8" s="370">
        <f t="shared" si="4"/>
        <v>44733</v>
      </c>
      <c r="T8" s="371">
        <f t="shared" si="5"/>
        <v>46031.4</v>
      </c>
      <c r="U8" s="372">
        <v>70.2</v>
      </c>
      <c r="V8" s="373">
        <f>N51-T8</f>
        <v>68.599999999998545</v>
      </c>
      <c r="W8" s="374">
        <f t="shared" si="6"/>
        <v>46100</v>
      </c>
    </row>
    <row r="9" spans="1:23" ht="21">
      <c r="A9" s="1131"/>
      <c r="B9" s="390">
        <f t="shared" si="0"/>
        <v>2024</v>
      </c>
      <c r="C9" s="404">
        <v>45539</v>
      </c>
      <c r="D9" s="405">
        <f>C9+1</f>
        <v>45540</v>
      </c>
      <c r="E9" s="406" t="s">
        <v>564</v>
      </c>
      <c r="F9" s="393">
        <f t="shared" ca="1" si="1"/>
        <v>107.85714285714286</v>
      </c>
      <c r="G9" s="393">
        <v>70</v>
      </c>
      <c r="H9" s="392" t="s">
        <v>565</v>
      </c>
      <c r="I9" s="392" t="s">
        <v>566</v>
      </c>
      <c r="J9" s="393">
        <v>18600</v>
      </c>
      <c r="K9" s="393">
        <f t="shared" si="7"/>
        <v>2418</v>
      </c>
      <c r="L9" s="391">
        <f>C27-N9</f>
        <v>24</v>
      </c>
      <c r="M9" s="396" t="s">
        <v>285</v>
      </c>
      <c r="N9" s="374">
        <f>C9+21*7</f>
        <v>45686</v>
      </c>
      <c r="O9" s="367">
        <f t="shared" si="9"/>
        <v>45708</v>
      </c>
      <c r="P9" s="368" t="s">
        <v>569</v>
      </c>
      <c r="Q9" s="368">
        <v>72</v>
      </c>
      <c r="R9" s="383" t="s">
        <v>570</v>
      </c>
      <c r="S9" s="370">
        <f t="shared" si="4"/>
        <v>17893.2</v>
      </c>
      <c r="T9" s="371">
        <f t="shared" si="5"/>
        <v>46040.5</v>
      </c>
      <c r="U9" s="372">
        <v>71.5</v>
      </c>
      <c r="V9" s="373">
        <f>N50-T9</f>
        <v>58.5</v>
      </c>
      <c r="W9" s="374">
        <f t="shared" si="6"/>
        <v>46099</v>
      </c>
    </row>
    <row r="10" spans="1:23" s="382" customFormat="1" ht="21">
      <c r="A10" s="1131"/>
      <c r="B10" s="390">
        <f t="shared" si="0"/>
        <v>2024</v>
      </c>
      <c r="C10" s="404">
        <v>45547</v>
      </c>
      <c r="D10" s="405">
        <f>C10</f>
        <v>45547</v>
      </c>
      <c r="E10" s="406" t="s">
        <v>571</v>
      </c>
      <c r="F10" s="393">
        <f t="shared" ca="1" si="1"/>
        <v>106.71428571428571</v>
      </c>
      <c r="G10" s="393">
        <v>70</v>
      </c>
      <c r="H10" s="392" t="s">
        <v>572</v>
      </c>
      <c r="I10" s="398" t="s">
        <v>555</v>
      </c>
      <c r="J10" s="393">
        <v>18600</v>
      </c>
      <c r="K10" s="393">
        <f t="shared" si="7"/>
        <v>2418</v>
      </c>
      <c r="L10" s="391">
        <f>C29-N10</f>
        <v>42</v>
      </c>
      <c r="M10" s="396" t="s">
        <v>285</v>
      </c>
      <c r="N10" s="374">
        <f>C10+21*7</f>
        <v>45694</v>
      </c>
      <c r="O10" s="367">
        <f t="shared" si="9"/>
        <v>45715</v>
      </c>
      <c r="P10" s="368" t="s">
        <v>569</v>
      </c>
      <c r="Q10" s="368">
        <v>72</v>
      </c>
      <c r="R10" s="383" t="s">
        <v>570</v>
      </c>
      <c r="S10" s="370">
        <f t="shared" si="4"/>
        <v>17893.2</v>
      </c>
      <c r="T10" s="371">
        <f t="shared" si="5"/>
        <v>46040.5</v>
      </c>
      <c r="U10" s="372">
        <v>70.5</v>
      </c>
      <c r="V10" s="373">
        <f>N50-T10</f>
        <v>58.5</v>
      </c>
      <c r="W10" s="374">
        <f t="shared" si="6"/>
        <v>46099</v>
      </c>
    </row>
    <row r="11" spans="1:23" ht="21">
      <c r="A11" s="1131"/>
      <c r="B11" s="390">
        <f t="shared" si="0"/>
        <v>2024</v>
      </c>
      <c r="C11" s="404">
        <v>45547</v>
      </c>
      <c r="D11" s="405">
        <f>C11</f>
        <v>45547</v>
      </c>
      <c r="E11" s="406" t="s">
        <v>571</v>
      </c>
      <c r="F11" s="393">
        <f t="shared" ca="1" si="1"/>
        <v>106.71428571428571</v>
      </c>
      <c r="G11" s="393">
        <v>70</v>
      </c>
      <c r="H11" s="392" t="s">
        <v>572</v>
      </c>
      <c r="I11" s="398" t="s">
        <v>555</v>
      </c>
      <c r="J11" s="393">
        <v>46500</v>
      </c>
      <c r="K11" s="393">
        <f t="shared" si="7"/>
        <v>6045</v>
      </c>
      <c r="L11" s="391">
        <f>C29-N11</f>
        <v>42</v>
      </c>
      <c r="M11" s="396" t="s">
        <v>285</v>
      </c>
      <c r="N11" s="374">
        <f t="shared" ref="N11:N13" si="10">C11+21*7</f>
        <v>45694</v>
      </c>
      <c r="O11" s="367">
        <f t="shared" si="9"/>
        <v>45715</v>
      </c>
      <c r="P11" s="368" t="s">
        <v>573</v>
      </c>
      <c r="Q11" s="368">
        <v>72</v>
      </c>
      <c r="R11" s="383" t="s">
        <v>574</v>
      </c>
      <c r="S11" s="370">
        <f t="shared" si="4"/>
        <v>44733</v>
      </c>
      <c r="T11" s="371">
        <f t="shared" si="5"/>
        <v>45999.199999999997</v>
      </c>
      <c r="U11" s="377">
        <v>64.599999999999994</v>
      </c>
      <c r="V11" s="373">
        <f>N52-T11</f>
        <v>102.80000000000291</v>
      </c>
      <c r="W11" s="374">
        <f t="shared" si="6"/>
        <v>46102</v>
      </c>
    </row>
    <row r="12" spans="1:23" ht="21">
      <c r="A12" s="1131"/>
      <c r="B12" s="399">
        <f t="shared" si="0"/>
        <v>2024</v>
      </c>
      <c r="C12" s="400">
        <v>45582</v>
      </c>
      <c r="D12" s="401">
        <f>C12</f>
        <v>45582</v>
      </c>
      <c r="E12" s="402" t="s">
        <v>575</v>
      </c>
      <c r="F12" s="403">
        <f t="shared" ca="1" si="1"/>
        <v>101.71428571428571</v>
      </c>
      <c r="G12" s="403">
        <v>70</v>
      </c>
      <c r="H12" s="399" t="s">
        <v>576</v>
      </c>
      <c r="I12" s="399" t="s">
        <v>577</v>
      </c>
      <c r="J12" s="403">
        <v>47000</v>
      </c>
      <c r="K12" s="403">
        <f>J12*14%</f>
        <v>6580.0000000000009</v>
      </c>
      <c r="L12" s="560">
        <f>C31-N12</f>
        <v>43</v>
      </c>
      <c r="M12" s="394" t="s">
        <v>561</v>
      </c>
      <c r="N12" s="374">
        <f>C12+21*7</f>
        <v>45729</v>
      </c>
      <c r="O12" s="367">
        <f t="shared" si="9"/>
        <v>45750</v>
      </c>
      <c r="P12" s="368" t="s">
        <v>578</v>
      </c>
      <c r="Q12" s="368">
        <v>72</v>
      </c>
      <c r="R12" s="383" t="s">
        <v>579</v>
      </c>
      <c r="S12" s="370">
        <f t="shared" si="4"/>
        <v>45214</v>
      </c>
      <c r="T12" s="371">
        <f t="shared" si="5"/>
        <v>46048.2</v>
      </c>
      <c r="U12" s="372">
        <v>66.599999999999994</v>
      </c>
      <c r="V12" s="373">
        <f>N54-T12</f>
        <v>70.80000000000291</v>
      </c>
      <c r="W12" s="374">
        <f t="shared" si="6"/>
        <v>46119</v>
      </c>
    </row>
    <row r="13" spans="1:23" ht="21">
      <c r="A13" s="1131"/>
      <c r="B13" s="399">
        <f t="shared" si="0"/>
        <v>2024</v>
      </c>
      <c r="C13" s="400">
        <v>45584</v>
      </c>
      <c r="D13" s="401">
        <f>C13-2</f>
        <v>45582</v>
      </c>
      <c r="E13" s="402" t="s">
        <v>575</v>
      </c>
      <c r="F13" s="403">
        <f t="shared" ca="1" si="1"/>
        <v>101.42857142857143</v>
      </c>
      <c r="G13" s="403">
        <v>70</v>
      </c>
      <c r="H13" s="399" t="s">
        <v>576</v>
      </c>
      <c r="I13" s="399" t="s">
        <v>577</v>
      </c>
      <c r="J13" s="403">
        <v>22000</v>
      </c>
      <c r="K13" s="403">
        <f>J13*14%</f>
        <v>3080.0000000000005</v>
      </c>
      <c r="L13" s="560">
        <f>C31-N13</f>
        <v>41</v>
      </c>
      <c r="M13" s="394" t="s">
        <v>561</v>
      </c>
      <c r="N13" s="374">
        <f t="shared" si="10"/>
        <v>45731</v>
      </c>
      <c r="O13" s="367">
        <f t="shared" si="9"/>
        <v>45750</v>
      </c>
      <c r="P13" s="368" t="s">
        <v>580</v>
      </c>
      <c r="Q13" s="368">
        <v>94</v>
      </c>
      <c r="R13" s="384" t="s">
        <v>581</v>
      </c>
      <c r="S13" s="370">
        <f t="shared" si="4"/>
        <v>21164</v>
      </c>
      <c r="T13" s="371">
        <f t="shared" si="5"/>
        <v>46056.6</v>
      </c>
      <c r="U13" s="372">
        <v>67.8</v>
      </c>
      <c r="V13" s="373">
        <f>N56-T13</f>
        <v>69.400000000001455</v>
      </c>
      <c r="W13" s="374">
        <f t="shared" si="6"/>
        <v>46126</v>
      </c>
    </row>
    <row r="14" spans="1:23" ht="21">
      <c r="A14" s="1131"/>
      <c r="B14" s="399">
        <f t="shared" si="0"/>
        <v>2024</v>
      </c>
      <c r="C14" s="400">
        <v>45584</v>
      </c>
      <c r="D14" s="401">
        <f>C14-2</f>
        <v>45582</v>
      </c>
      <c r="E14" s="402" t="s">
        <v>575</v>
      </c>
      <c r="F14" s="403">
        <f t="shared" ca="1" si="1"/>
        <v>101.42857142857143</v>
      </c>
      <c r="G14" s="403">
        <v>70</v>
      </c>
      <c r="H14" s="559" t="s">
        <v>576</v>
      </c>
      <c r="I14" s="399" t="s">
        <v>577</v>
      </c>
      <c r="J14" s="403">
        <v>47000</v>
      </c>
      <c r="K14" s="403">
        <f>J14*14%</f>
        <v>6580.0000000000009</v>
      </c>
      <c r="L14" s="560">
        <f>C31-N14</f>
        <v>41</v>
      </c>
      <c r="M14" s="394" t="s">
        <v>561</v>
      </c>
      <c r="N14" s="374">
        <f>C14+21*7</f>
        <v>45731</v>
      </c>
      <c r="O14" s="367">
        <f t="shared" si="9"/>
        <v>45750</v>
      </c>
      <c r="P14" s="368" t="s">
        <v>582</v>
      </c>
      <c r="Q14" s="368">
        <v>70</v>
      </c>
      <c r="R14" s="383" t="s">
        <v>583</v>
      </c>
      <c r="S14" s="370">
        <f t="shared" si="4"/>
        <v>45214</v>
      </c>
      <c r="T14" s="371">
        <f t="shared" si="5"/>
        <v>46058</v>
      </c>
      <c r="U14" s="372">
        <v>68</v>
      </c>
      <c r="V14" s="373">
        <f>N55-T14</f>
        <v>56</v>
      </c>
      <c r="W14" s="374">
        <f t="shared" si="6"/>
        <v>46114</v>
      </c>
    </row>
    <row r="15" spans="1:23" ht="21">
      <c r="A15" s="1131"/>
      <c r="B15" s="390">
        <f t="shared" si="0"/>
        <v>2024</v>
      </c>
      <c r="C15" s="404">
        <v>45610</v>
      </c>
      <c r="D15" s="405">
        <f>C15</f>
        <v>45610</v>
      </c>
      <c r="E15" s="406" t="s">
        <v>584</v>
      </c>
      <c r="F15" s="393">
        <f t="shared" ca="1" si="1"/>
        <v>97.714285714285708</v>
      </c>
      <c r="G15" s="393">
        <v>70</v>
      </c>
      <c r="H15" s="392" t="s">
        <v>585</v>
      </c>
      <c r="I15" s="392">
        <v>1</v>
      </c>
      <c r="J15" s="393">
        <v>46500</v>
      </c>
      <c r="K15" s="393">
        <f>J15*13%</f>
        <v>6045</v>
      </c>
      <c r="L15" s="391">
        <f>C34-N15</f>
        <v>40</v>
      </c>
      <c r="M15" s="396" t="s">
        <v>285</v>
      </c>
      <c r="N15" s="374">
        <f>C15+21*7</f>
        <v>45757</v>
      </c>
      <c r="O15" s="367">
        <f t="shared" si="9"/>
        <v>45778</v>
      </c>
      <c r="P15" s="368" t="s">
        <v>586</v>
      </c>
      <c r="Q15" s="368">
        <v>72</v>
      </c>
      <c r="R15" s="562" t="s">
        <v>587</v>
      </c>
      <c r="S15" s="370">
        <f t="shared" si="4"/>
        <v>44733</v>
      </c>
      <c r="T15" s="371">
        <f t="shared" si="5"/>
        <v>46076.2</v>
      </c>
      <c r="U15" s="372">
        <v>66.599999999999994</v>
      </c>
      <c r="V15" s="373">
        <f>N58-T15</f>
        <v>71.80000000000291</v>
      </c>
      <c r="W15" s="374">
        <f t="shared" si="6"/>
        <v>46148</v>
      </c>
    </row>
    <row r="16" spans="1:23" ht="21">
      <c r="A16" s="1131"/>
      <c r="B16" s="390">
        <f t="shared" si="0"/>
        <v>2024</v>
      </c>
      <c r="C16" s="404">
        <v>45612</v>
      </c>
      <c r="D16" s="405">
        <f>C16-2</f>
        <v>45610</v>
      </c>
      <c r="E16" s="406" t="s">
        <v>584</v>
      </c>
      <c r="F16" s="393">
        <f t="shared" ca="1" si="1"/>
        <v>97.428571428571431</v>
      </c>
      <c r="G16" s="393">
        <v>70</v>
      </c>
      <c r="H16" s="392" t="s">
        <v>585</v>
      </c>
      <c r="I16" s="390" t="s">
        <v>555</v>
      </c>
      <c r="J16" s="393">
        <v>16000</v>
      </c>
      <c r="K16" s="393">
        <f t="shared" ref="K16:K21" si="11">J16*13%</f>
        <v>2080</v>
      </c>
      <c r="L16" s="391">
        <f>C34-N16</f>
        <v>38</v>
      </c>
      <c r="M16" s="396" t="s">
        <v>285</v>
      </c>
      <c r="N16" s="374">
        <f>C16+21*7</f>
        <v>45759</v>
      </c>
      <c r="O16" s="367">
        <f t="shared" si="9"/>
        <v>45778</v>
      </c>
      <c r="P16" s="368" t="s">
        <v>588</v>
      </c>
      <c r="Q16" s="368">
        <v>70</v>
      </c>
      <c r="R16" s="383" t="s">
        <v>589</v>
      </c>
      <c r="S16" s="370">
        <f t="shared" si="4"/>
        <v>15392.000000000002</v>
      </c>
      <c r="T16" s="371">
        <f t="shared" si="5"/>
        <v>46086</v>
      </c>
      <c r="U16" s="372">
        <v>68</v>
      </c>
      <c r="V16" s="373">
        <f>N59-T16</f>
        <v>63</v>
      </c>
      <c r="W16" s="374">
        <f t="shared" si="6"/>
        <v>46149</v>
      </c>
    </row>
    <row r="17" spans="1:23" ht="21">
      <c r="A17" s="1131"/>
      <c r="B17" s="390">
        <f t="shared" si="0"/>
        <v>2024</v>
      </c>
      <c r="C17" s="404">
        <v>45622</v>
      </c>
      <c r="D17" s="405">
        <f>C17+2</f>
        <v>45624</v>
      </c>
      <c r="E17" s="406" t="s">
        <v>590</v>
      </c>
      <c r="F17" s="393">
        <f t="shared" ca="1" si="1"/>
        <v>96</v>
      </c>
      <c r="G17" s="393">
        <v>70</v>
      </c>
      <c r="H17" s="390" t="s">
        <v>591</v>
      </c>
      <c r="I17" s="390" t="s">
        <v>555</v>
      </c>
      <c r="J17" s="393">
        <v>34000</v>
      </c>
      <c r="K17" s="393">
        <f t="shared" si="11"/>
        <v>4420</v>
      </c>
      <c r="L17" s="391">
        <f>C36-N17</f>
        <v>45</v>
      </c>
      <c r="M17" s="396" t="s">
        <v>285</v>
      </c>
      <c r="N17" s="374">
        <f t="shared" ref="N17:N57" si="12">C17+21*7</f>
        <v>45769</v>
      </c>
      <c r="O17" s="367">
        <f t="shared" si="9"/>
        <v>45792</v>
      </c>
      <c r="P17" s="368" t="s">
        <v>588</v>
      </c>
      <c r="Q17" s="368">
        <v>70</v>
      </c>
      <c r="R17" s="383" t="s">
        <v>589</v>
      </c>
      <c r="S17" s="370">
        <f t="shared" si="4"/>
        <v>32708.000000000004</v>
      </c>
      <c r="T17" s="371">
        <f t="shared" si="5"/>
        <v>46086</v>
      </c>
      <c r="U17" s="372">
        <v>66</v>
      </c>
      <c r="V17" s="373">
        <f>N59-T17</f>
        <v>63</v>
      </c>
      <c r="W17" s="374">
        <f t="shared" si="6"/>
        <v>46149</v>
      </c>
    </row>
    <row r="18" spans="1:23" ht="21">
      <c r="A18" s="1131"/>
      <c r="B18" s="390">
        <f t="shared" si="0"/>
        <v>2024</v>
      </c>
      <c r="C18" s="404">
        <v>45629</v>
      </c>
      <c r="D18" s="405">
        <f>C18+2</f>
        <v>45631</v>
      </c>
      <c r="E18" s="406" t="s">
        <v>590</v>
      </c>
      <c r="F18" s="393">
        <f t="shared" ca="1" si="1"/>
        <v>95</v>
      </c>
      <c r="G18" s="393">
        <v>70</v>
      </c>
      <c r="H18" s="390" t="s">
        <v>591</v>
      </c>
      <c r="I18" s="390" t="s">
        <v>555</v>
      </c>
      <c r="J18" s="393">
        <v>29000</v>
      </c>
      <c r="K18" s="393">
        <f t="shared" si="11"/>
        <v>3770</v>
      </c>
      <c r="L18" s="391">
        <f>C36-N18</f>
        <v>38</v>
      </c>
      <c r="M18" s="396" t="s">
        <v>285</v>
      </c>
      <c r="N18" s="374">
        <f t="shared" si="12"/>
        <v>45776</v>
      </c>
      <c r="O18" s="367">
        <f t="shared" si="9"/>
        <v>45799</v>
      </c>
      <c r="P18" s="368" t="s">
        <v>592</v>
      </c>
      <c r="Q18" s="368">
        <v>72</v>
      </c>
      <c r="R18" s="383" t="s">
        <v>593</v>
      </c>
      <c r="S18" s="370">
        <f t="shared" si="4"/>
        <v>27898.000000000004</v>
      </c>
      <c r="T18" s="376">
        <f t="shared" si="5"/>
        <v>46066.400000000001</v>
      </c>
      <c r="U18" s="377">
        <v>62.2</v>
      </c>
      <c r="V18" s="373">
        <f>N57-T18</f>
        <v>60.599999999998545</v>
      </c>
      <c r="W18" s="374">
        <f t="shared" si="6"/>
        <v>46127</v>
      </c>
    </row>
    <row r="19" spans="1:23" ht="21">
      <c r="A19" s="1131"/>
      <c r="B19" s="390">
        <f t="shared" si="0"/>
        <v>2024</v>
      </c>
      <c r="C19" s="404">
        <v>45632</v>
      </c>
      <c r="D19" s="405">
        <f>C19-1</f>
        <v>45631</v>
      </c>
      <c r="E19" s="406" t="s">
        <v>594</v>
      </c>
      <c r="F19" s="393">
        <f t="shared" ca="1" si="1"/>
        <v>94.571428571428569</v>
      </c>
      <c r="G19" s="393">
        <v>70</v>
      </c>
      <c r="H19" s="390" t="s">
        <v>595</v>
      </c>
      <c r="I19" s="390" t="s">
        <v>555</v>
      </c>
      <c r="J19" s="393">
        <v>17500</v>
      </c>
      <c r="K19" s="393">
        <f t="shared" si="11"/>
        <v>2275</v>
      </c>
      <c r="L19" s="391">
        <f>C38-N19</f>
        <v>49</v>
      </c>
      <c r="M19" s="396" t="s">
        <v>285</v>
      </c>
      <c r="N19" s="374">
        <f t="shared" si="12"/>
        <v>45779</v>
      </c>
      <c r="O19" s="367">
        <f t="shared" si="9"/>
        <v>45799</v>
      </c>
      <c r="P19" s="368" t="s">
        <v>592</v>
      </c>
      <c r="Q19" s="368">
        <v>72</v>
      </c>
      <c r="R19" s="383" t="s">
        <v>593</v>
      </c>
      <c r="S19" s="370">
        <f t="shared" si="4"/>
        <v>16835</v>
      </c>
      <c r="T19" s="376">
        <f t="shared" si="5"/>
        <v>46066.400000000001</v>
      </c>
      <c r="U19" s="377">
        <v>62.2</v>
      </c>
      <c r="V19" s="373">
        <f>N57-T19</f>
        <v>60.599999999998545</v>
      </c>
      <c r="W19" s="374">
        <f t="shared" si="6"/>
        <v>46127</v>
      </c>
    </row>
    <row r="20" spans="1:23" ht="21">
      <c r="A20" s="1131"/>
      <c r="B20" s="390">
        <f t="shared" si="0"/>
        <v>2024</v>
      </c>
      <c r="C20" s="404">
        <v>45636</v>
      </c>
      <c r="D20" s="405">
        <f>C20+2</f>
        <v>45638</v>
      </c>
      <c r="E20" s="406" t="s">
        <v>594</v>
      </c>
      <c r="F20" s="393">
        <f t="shared" ca="1" si="1"/>
        <v>94</v>
      </c>
      <c r="G20" s="393">
        <v>70</v>
      </c>
      <c r="H20" s="390" t="s">
        <v>595</v>
      </c>
      <c r="I20" s="390" t="s">
        <v>555</v>
      </c>
      <c r="J20" s="393">
        <v>46500</v>
      </c>
      <c r="K20" s="393">
        <f t="shared" si="11"/>
        <v>6045</v>
      </c>
      <c r="L20" s="391">
        <f>C38-N20</f>
        <v>45</v>
      </c>
      <c r="M20" s="396" t="s">
        <v>285</v>
      </c>
      <c r="N20" s="374">
        <f t="shared" si="12"/>
        <v>45783</v>
      </c>
      <c r="O20" s="367">
        <f t="shared" si="9"/>
        <v>45806</v>
      </c>
      <c r="P20" s="368" t="s">
        <v>596</v>
      </c>
      <c r="Q20" s="368">
        <v>106</v>
      </c>
      <c r="R20" s="383" t="s">
        <v>597</v>
      </c>
      <c r="S20" s="370">
        <f t="shared" si="4"/>
        <v>44733</v>
      </c>
      <c r="T20" s="371">
        <f t="shared" si="5"/>
        <v>46101.4</v>
      </c>
      <c r="U20" s="377">
        <v>66.2</v>
      </c>
      <c r="V20" s="378">
        <f>N61-T20</f>
        <v>70.599999999998545</v>
      </c>
      <c r="W20" s="374">
        <f t="shared" si="6"/>
        <v>46172</v>
      </c>
    </row>
    <row r="21" spans="1:23" ht="21">
      <c r="A21" s="1131"/>
      <c r="B21" s="399">
        <f t="shared" si="0"/>
        <v>2025</v>
      </c>
      <c r="C21" s="400">
        <v>45671</v>
      </c>
      <c r="D21" s="401">
        <f>C21+2</f>
        <v>45673</v>
      </c>
      <c r="E21" s="402" t="s">
        <v>598</v>
      </c>
      <c r="F21" s="403">
        <f t="shared" ca="1" si="1"/>
        <v>89</v>
      </c>
      <c r="G21" s="403">
        <v>70</v>
      </c>
      <c r="H21" s="563" t="s">
        <v>599</v>
      </c>
      <c r="I21" s="399" t="s">
        <v>566</v>
      </c>
      <c r="J21" s="403">
        <v>50000</v>
      </c>
      <c r="K21" s="403">
        <f t="shared" si="11"/>
        <v>6500</v>
      </c>
      <c r="L21" s="560">
        <f>C40-N21</f>
        <v>29</v>
      </c>
      <c r="M21" s="564" t="s">
        <v>522</v>
      </c>
      <c r="N21" s="374">
        <f t="shared" si="12"/>
        <v>45818</v>
      </c>
      <c r="O21" s="367">
        <f t="shared" si="9"/>
        <v>45841</v>
      </c>
      <c r="P21" s="368" t="s">
        <v>600</v>
      </c>
      <c r="Q21" s="368">
        <v>70</v>
      </c>
      <c r="R21" s="383" t="s">
        <v>601</v>
      </c>
      <c r="S21" s="370">
        <f t="shared" si="4"/>
        <v>48100.000000000007</v>
      </c>
      <c r="T21" s="371">
        <f t="shared" si="5"/>
        <v>46110.5</v>
      </c>
      <c r="U21" s="372">
        <v>62.5</v>
      </c>
      <c r="V21" s="373">
        <f>N63-T21</f>
        <v>67.5</v>
      </c>
      <c r="W21" s="374">
        <f>+T21+V21</f>
        <v>46178</v>
      </c>
    </row>
    <row r="22" spans="1:23" ht="21">
      <c r="A22" s="1131"/>
      <c r="B22" s="399">
        <f t="shared" si="0"/>
        <v>2025</v>
      </c>
      <c r="C22" s="400">
        <v>45674</v>
      </c>
      <c r="D22" s="401">
        <f>C22-1</f>
        <v>45673</v>
      </c>
      <c r="E22" s="402" t="s">
        <v>602</v>
      </c>
      <c r="F22" s="403">
        <f t="shared" ca="1" si="1"/>
        <v>88.571428571428569</v>
      </c>
      <c r="G22" s="403">
        <v>70</v>
      </c>
      <c r="H22" s="563" t="s">
        <v>599</v>
      </c>
      <c r="I22" s="399" t="s">
        <v>566</v>
      </c>
      <c r="J22" s="403">
        <v>16000</v>
      </c>
      <c r="K22" s="403">
        <f>J22*14%</f>
        <v>2240</v>
      </c>
      <c r="L22" s="560">
        <f>C40-N22</f>
        <v>26</v>
      </c>
      <c r="M22" s="394" t="s">
        <v>561</v>
      </c>
      <c r="N22" s="374">
        <f t="shared" si="12"/>
        <v>45821</v>
      </c>
      <c r="O22" s="367">
        <f t="shared" si="9"/>
        <v>45841</v>
      </c>
      <c r="P22" s="368" t="s">
        <v>603</v>
      </c>
      <c r="Q22" s="368">
        <v>70</v>
      </c>
      <c r="R22" s="562" t="s">
        <v>604</v>
      </c>
      <c r="S22" s="370">
        <f t="shared" si="4"/>
        <v>15392.000000000002</v>
      </c>
      <c r="T22" s="371">
        <f t="shared" si="5"/>
        <v>46121</v>
      </c>
      <c r="U22" s="372">
        <v>64</v>
      </c>
      <c r="V22" s="565" t="s">
        <v>605</v>
      </c>
      <c r="W22" s="565" t="s">
        <v>605</v>
      </c>
    </row>
    <row r="23" spans="1:23" ht="21">
      <c r="A23" s="1131"/>
      <c r="B23" s="399">
        <f t="shared" si="0"/>
        <v>2025</v>
      </c>
      <c r="C23" s="400">
        <v>45682</v>
      </c>
      <c r="D23" s="401">
        <f>C23-2</f>
        <v>45680</v>
      </c>
      <c r="E23" s="402" t="s">
        <v>606</v>
      </c>
      <c r="F23" s="403">
        <f t="shared" ca="1" si="1"/>
        <v>87.428571428571431</v>
      </c>
      <c r="G23" s="403">
        <v>70</v>
      </c>
      <c r="H23" s="559" t="s">
        <v>554</v>
      </c>
      <c r="I23" s="399" t="s">
        <v>566</v>
      </c>
      <c r="J23" s="403">
        <v>31000</v>
      </c>
      <c r="K23" s="403">
        <f t="shared" ref="K23:K25" si="13">J23*14%</f>
        <v>4340</v>
      </c>
      <c r="L23" s="560">
        <f>C44-N23</f>
        <v>66</v>
      </c>
      <c r="M23" s="394" t="s">
        <v>561</v>
      </c>
      <c r="N23" s="374">
        <f t="shared" si="12"/>
        <v>45829</v>
      </c>
      <c r="O23" s="367">
        <f>D23+24*7</f>
        <v>45848</v>
      </c>
      <c r="P23" s="368" t="s">
        <v>603</v>
      </c>
      <c r="Q23" s="368">
        <v>70</v>
      </c>
      <c r="R23" s="562" t="s">
        <v>604</v>
      </c>
      <c r="S23" s="370">
        <f t="shared" si="4"/>
        <v>29822.000000000004</v>
      </c>
      <c r="T23" s="371">
        <f t="shared" si="5"/>
        <v>46121</v>
      </c>
      <c r="U23" s="372">
        <v>63</v>
      </c>
      <c r="V23" s="565" t="s">
        <v>605</v>
      </c>
      <c r="W23" s="565" t="s">
        <v>605</v>
      </c>
    </row>
    <row r="24" spans="1:23" ht="21">
      <c r="A24" s="1131"/>
      <c r="B24" s="399">
        <f t="shared" si="0"/>
        <v>2025</v>
      </c>
      <c r="C24" s="400">
        <v>45686</v>
      </c>
      <c r="D24" s="401">
        <f>C24+1</f>
        <v>45687</v>
      </c>
      <c r="E24" s="402" t="s">
        <v>606</v>
      </c>
      <c r="F24" s="403">
        <f t="shared" ca="1" si="1"/>
        <v>86.857142857142861</v>
      </c>
      <c r="G24" s="403">
        <v>70</v>
      </c>
      <c r="H24" s="559" t="s">
        <v>554</v>
      </c>
      <c r="I24" s="399" t="s">
        <v>566</v>
      </c>
      <c r="J24" s="403">
        <v>29500</v>
      </c>
      <c r="K24" s="403">
        <f t="shared" si="13"/>
        <v>4130</v>
      </c>
      <c r="L24" s="560">
        <f>C44-N24</f>
        <v>62</v>
      </c>
      <c r="M24" s="394" t="s">
        <v>561</v>
      </c>
      <c r="N24" s="374">
        <f t="shared" si="12"/>
        <v>45833</v>
      </c>
      <c r="O24" s="367">
        <f t="shared" ref="O24:O25" si="14">D24+24*7</f>
        <v>45855</v>
      </c>
      <c r="P24" s="368" t="s">
        <v>607</v>
      </c>
      <c r="Q24" s="368">
        <v>72</v>
      </c>
      <c r="R24" s="369" t="s">
        <v>608</v>
      </c>
      <c r="S24" s="370">
        <f t="shared" si="4"/>
        <v>28379.000000000004</v>
      </c>
      <c r="T24" s="371">
        <f t="shared" si="5"/>
        <v>46153.9</v>
      </c>
      <c r="U24" s="372">
        <v>66.7</v>
      </c>
      <c r="V24" s="373">
        <f>N66-T24</f>
        <v>70.099999999998545</v>
      </c>
      <c r="W24" s="374">
        <f t="shared" si="6"/>
        <v>46224</v>
      </c>
    </row>
    <row r="25" spans="1:23" ht="21">
      <c r="A25" s="1131"/>
      <c r="B25" s="399">
        <f t="shared" si="0"/>
        <v>2025</v>
      </c>
      <c r="C25" s="400">
        <v>45689</v>
      </c>
      <c r="D25" s="401">
        <f>C25-2</f>
        <v>45687</v>
      </c>
      <c r="E25" s="402" t="s">
        <v>609</v>
      </c>
      <c r="F25" s="403">
        <f t="shared" ca="1" si="1"/>
        <v>86.428571428571431</v>
      </c>
      <c r="G25" s="403">
        <v>70</v>
      </c>
      <c r="H25" s="559" t="s">
        <v>547</v>
      </c>
      <c r="I25" s="399" t="s">
        <v>555</v>
      </c>
      <c r="J25" s="403">
        <v>17500</v>
      </c>
      <c r="K25" s="403">
        <f t="shared" si="13"/>
        <v>2450.0000000000005</v>
      </c>
      <c r="L25" s="560">
        <f>C42-N25</f>
        <v>27</v>
      </c>
      <c r="M25" s="394" t="s">
        <v>561</v>
      </c>
      <c r="N25" s="374">
        <f t="shared" si="12"/>
        <v>45836</v>
      </c>
      <c r="O25" s="367">
        <f t="shared" si="14"/>
        <v>45855</v>
      </c>
      <c r="P25" s="368" t="s">
        <v>607</v>
      </c>
      <c r="Q25" s="368">
        <v>72</v>
      </c>
      <c r="R25" s="369" t="s">
        <v>608</v>
      </c>
      <c r="S25" s="370">
        <f t="shared" si="4"/>
        <v>16835</v>
      </c>
      <c r="T25" s="371">
        <f t="shared" si="5"/>
        <v>46153.9</v>
      </c>
      <c r="U25" s="372">
        <v>66.7</v>
      </c>
      <c r="V25" s="373">
        <f>N66-T25</f>
        <v>70.099999999998545</v>
      </c>
      <c r="W25" s="374">
        <f t="shared" si="6"/>
        <v>46224</v>
      </c>
    </row>
    <row r="26" spans="1:23" ht="21">
      <c r="A26" s="1131"/>
      <c r="B26" s="399">
        <f t="shared" si="0"/>
        <v>2025</v>
      </c>
      <c r="C26" s="400">
        <v>45693</v>
      </c>
      <c r="D26" s="401">
        <f>C26+1</f>
        <v>45694</v>
      </c>
      <c r="E26" s="402" t="s">
        <v>610</v>
      </c>
      <c r="F26" s="403">
        <f t="shared" ca="1" si="1"/>
        <v>85.857142857142861</v>
      </c>
      <c r="G26" s="403">
        <v>70</v>
      </c>
      <c r="H26" s="559" t="s">
        <v>547</v>
      </c>
      <c r="I26" s="399" t="s">
        <v>555</v>
      </c>
      <c r="J26" s="403">
        <v>46500</v>
      </c>
      <c r="K26" s="403">
        <f t="shared" ref="K26:K39" si="15">J26*13%</f>
        <v>6045</v>
      </c>
      <c r="L26" s="560">
        <f>C42-N26</f>
        <v>23</v>
      </c>
      <c r="M26" s="396" t="s">
        <v>285</v>
      </c>
      <c r="N26" s="374">
        <f t="shared" si="12"/>
        <v>45840</v>
      </c>
      <c r="O26" s="367">
        <f>D26+24*7</f>
        <v>45862</v>
      </c>
      <c r="P26" s="368" t="s">
        <v>611</v>
      </c>
      <c r="Q26" s="368">
        <v>72</v>
      </c>
      <c r="R26" s="369" t="s">
        <v>612</v>
      </c>
      <c r="S26" s="370">
        <f t="shared" si="4"/>
        <v>44733</v>
      </c>
      <c r="T26" s="376">
        <f t="shared" si="5"/>
        <v>46138.5</v>
      </c>
      <c r="U26" s="377">
        <v>63.5</v>
      </c>
      <c r="V26" s="378">
        <f>N64-T26</f>
        <v>73.5</v>
      </c>
      <c r="W26" s="374">
        <f t="shared" si="6"/>
        <v>46212</v>
      </c>
    </row>
    <row r="27" spans="1:23" ht="21">
      <c r="A27" s="1131"/>
      <c r="B27" s="390">
        <f t="shared" si="0"/>
        <v>2025</v>
      </c>
      <c r="C27" s="404">
        <v>45710</v>
      </c>
      <c r="D27" s="405">
        <f>C27-2</f>
        <v>45708</v>
      </c>
      <c r="E27" s="406" t="s">
        <v>613</v>
      </c>
      <c r="F27" s="393">
        <f t="shared" ca="1" si="1"/>
        <v>83.428571428571431</v>
      </c>
      <c r="G27" s="393">
        <v>70</v>
      </c>
      <c r="H27" s="392" t="s">
        <v>565</v>
      </c>
      <c r="I27" s="392" t="s">
        <v>555</v>
      </c>
      <c r="J27" s="393">
        <v>20000</v>
      </c>
      <c r="K27" s="393">
        <f t="shared" si="15"/>
        <v>2600</v>
      </c>
      <c r="L27" s="391">
        <f>C46-N27</f>
        <v>49</v>
      </c>
      <c r="M27" s="396" t="s">
        <v>285</v>
      </c>
      <c r="N27" s="374">
        <f t="shared" si="12"/>
        <v>45857</v>
      </c>
      <c r="O27" s="367">
        <f t="shared" ref="O27" si="16">D27+24*7</f>
        <v>45876</v>
      </c>
      <c r="P27" s="368" t="s">
        <v>614</v>
      </c>
      <c r="Q27" s="368">
        <v>94</v>
      </c>
      <c r="R27" s="395" t="s">
        <v>615</v>
      </c>
      <c r="S27" s="370">
        <f t="shared" si="4"/>
        <v>19240</v>
      </c>
      <c r="T27" s="1276">
        <f t="shared" si="5"/>
        <v>46161.599999999999</v>
      </c>
      <c r="U27" s="1277">
        <v>64.8</v>
      </c>
      <c r="V27" s="1278">
        <f>N65-T27</f>
        <v>51.400000000001455</v>
      </c>
      <c r="W27" s="374">
        <f t="shared" si="6"/>
        <v>46213</v>
      </c>
    </row>
    <row r="28" spans="1:23" ht="21">
      <c r="A28" s="1131"/>
      <c r="B28" s="390">
        <f t="shared" si="0"/>
        <v>2025</v>
      </c>
      <c r="C28" s="404">
        <v>45716</v>
      </c>
      <c r="D28" s="405">
        <f>C28-1</f>
        <v>45715</v>
      </c>
      <c r="E28" s="406" t="s">
        <v>613</v>
      </c>
      <c r="F28" s="393">
        <f t="shared" ca="1" si="1"/>
        <v>82.571428571428569</v>
      </c>
      <c r="G28" s="393">
        <v>70</v>
      </c>
      <c r="H28" s="392" t="s">
        <v>565</v>
      </c>
      <c r="I28" s="392" t="s">
        <v>555</v>
      </c>
      <c r="J28" s="393">
        <v>46500</v>
      </c>
      <c r="K28" s="393">
        <f t="shared" si="15"/>
        <v>6045</v>
      </c>
      <c r="L28" s="391">
        <f>C46-N28</f>
        <v>43</v>
      </c>
      <c r="M28" s="396" t="s">
        <v>285</v>
      </c>
      <c r="N28" s="374">
        <f t="shared" si="12"/>
        <v>45863</v>
      </c>
      <c r="O28" s="367">
        <f>D28+24*7</f>
        <v>45883</v>
      </c>
      <c r="P28" s="368" t="s">
        <v>616</v>
      </c>
      <c r="Q28" s="368">
        <v>72</v>
      </c>
      <c r="R28" s="369" t="s">
        <v>617</v>
      </c>
      <c r="S28" s="370">
        <f t="shared" si="4"/>
        <v>44733</v>
      </c>
      <c r="T28" s="371">
        <f t="shared" si="5"/>
        <v>46182.6</v>
      </c>
      <c r="U28" s="372">
        <v>66.8</v>
      </c>
      <c r="V28" s="378">
        <f>N68-T28</f>
        <v>90.400000000001455</v>
      </c>
      <c r="W28" s="374">
        <f t="shared" si="6"/>
        <v>46273</v>
      </c>
    </row>
    <row r="29" spans="1:23" ht="21">
      <c r="A29" s="1131"/>
      <c r="B29" s="390">
        <f t="shared" si="0"/>
        <v>2025</v>
      </c>
      <c r="C29" s="404">
        <v>45736</v>
      </c>
      <c r="D29" s="405">
        <f>C29</f>
        <v>45736</v>
      </c>
      <c r="E29" s="406" t="s">
        <v>618</v>
      </c>
      <c r="F29" s="393">
        <f t="shared" ca="1" si="1"/>
        <v>79.714285714285708</v>
      </c>
      <c r="G29" s="393">
        <v>70</v>
      </c>
      <c r="H29" s="392" t="s">
        <v>572</v>
      </c>
      <c r="I29" s="392" t="s">
        <v>566</v>
      </c>
      <c r="J29" s="393">
        <v>46500</v>
      </c>
      <c r="K29" s="393">
        <f t="shared" si="15"/>
        <v>6045</v>
      </c>
      <c r="L29" s="391">
        <f>C48-N29</f>
        <v>34</v>
      </c>
      <c r="M29" s="396" t="s">
        <v>285</v>
      </c>
      <c r="N29" s="374">
        <f t="shared" si="12"/>
        <v>45883</v>
      </c>
      <c r="O29" s="367">
        <f t="shared" ref="O29:O39" si="17">D29+24*7</f>
        <v>45904</v>
      </c>
      <c r="P29" s="368" t="s">
        <v>619</v>
      </c>
      <c r="Q29" s="368">
        <v>70</v>
      </c>
      <c r="R29" s="369" t="s">
        <v>620</v>
      </c>
      <c r="S29" s="370">
        <f>J29*96%</f>
        <v>44640</v>
      </c>
      <c r="T29" s="371">
        <f t="shared" si="5"/>
        <v>46199.4</v>
      </c>
      <c r="U29" s="372">
        <v>66.2</v>
      </c>
      <c r="V29" s="373">
        <f>N69-T29</f>
        <v>75.599999999998545</v>
      </c>
      <c r="W29" s="374">
        <f t="shared" si="6"/>
        <v>46275</v>
      </c>
    </row>
    <row r="30" spans="1:23" ht="21">
      <c r="A30" s="1131"/>
      <c r="B30" s="390">
        <f t="shared" si="0"/>
        <v>2025</v>
      </c>
      <c r="C30" s="404">
        <v>45737</v>
      </c>
      <c r="D30" s="405">
        <f>C30-1</f>
        <v>45736</v>
      </c>
      <c r="E30" s="406" t="s">
        <v>618</v>
      </c>
      <c r="F30" s="393">
        <f t="shared" ca="1" si="1"/>
        <v>79.571428571428569</v>
      </c>
      <c r="G30" s="393">
        <v>70</v>
      </c>
      <c r="H30" s="392" t="s">
        <v>572</v>
      </c>
      <c r="I30" s="392" t="s">
        <v>566</v>
      </c>
      <c r="J30" s="393">
        <v>20000</v>
      </c>
      <c r="K30" s="393">
        <f t="shared" si="15"/>
        <v>2600</v>
      </c>
      <c r="L30" s="391">
        <f>C48-N30</f>
        <v>33</v>
      </c>
      <c r="M30" s="396" t="s">
        <v>285</v>
      </c>
      <c r="N30" s="374">
        <f t="shared" si="12"/>
        <v>45884</v>
      </c>
      <c r="O30" s="367">
        <f t="shared" si="17"/>
        <v>45904</v>
      </c>
      <c r="P30" s="368" t="s">
        <v>621</v>
      </c>
      <c r="Q30" s="368">
        <v>94</v>
      </c>
      <c r="R30" s="395" t="s">
        <v>622</v>
      </c>
      <c r="S30" s="370">
        <f t="shared" ref="S30:S34" si="18">J30*96%</f>
        <v>19200</v>
      </c>
      <c r="T30" s="376">
        <f t="shared" si="5"/>
        <v>46176.3</v>
      </c>
      <c r="U30" s="377">
        <v>62.9</v>
      </c>
      <c r="V30" s="378">
        <f>N67-T30</f>
        <v>48.69999999999709</v>
      </c>
      <c r="W30" s="374">
        <f t="shared" si="6"/>
        <v>46225</v>
      </c>
    </row>
    <row r="31" spans="1:23" ht="21">
      <c r="A31" s="1131"/>
      <c r="B31" s="399">
        <f t="shared" si="0"/>
        <v>2025</v>
      </c>
      <c r="C31" s="400">
        <v>45772</v>
      </c>
      <c r="D31" s="401">
        <f>C31-1</f>
        <v>45771</v>
      </c>
      <c r="E31" s="402" t="s">
        <v>623</v>
      </c>
      <c r="F31" s="403">
        <f t="shared" ca="1" si="1"/>
        <v>74.571428571428569</v>
      </c>
      <c r="G31" s="403">
        <v>70</v>
      </c>
      <c r="H31" s="399" t="s">
        <v>576</v>
      </c>
      <c r="I31" s="399" t="s">
        <v>555</v>
      </c>
      <c r="J31" s="403">
        <v>48000</v>
      </c>
      <c r="K31" s="403">
        <f t="shared" si="15"/>
        <v>6240</v>
      </c>
      <c r="L31" s="560">
        <f>C50-N31</f>
        <v>33</v>
      </c>
      <c r="M31" s="396" t="s">
        <v>285</v>
      </c>
      <c r="N31" s="374">
        <f t="shared" si="12"/>
        <v>45919</v>
      </c>
      <c r="O31" s="367">
        <f t="shared" si="17"/>
        <v>45939</v>
      </c>
      <c r="P31" s="368" t="s">
        <v>624</v>
      </c>
      <c r="Q31" s="368">
        <v>104</v>
      </c>
      <c r="R31" s="369" t="s">
        <v>625</v>
      </c>
      <c r="S31" s="370">
        <f t="shared" si="18"/>
        <v>46080</v>
      </c>
      <c r="T31" s="371">
        <f t="shared" si="5"/>
        <v>46224.6</v>
      </c>
      <c r="U31" s="372">
        <v>64.8</v>
      </c>
      <c r="V31" s="373">
        <f>N71-T31</f>
        <v>64.400000000001455</v>
      </c>
      <c r="W31" s="374">
        <f t="shared" si="6"/>
        <v>46289</v>
      </c>
    </row>
    <row r="32" spans="1:23" ht="21">
      <c r="A32" s="1131"/>
      <c r="B32" s="399">
        <f t="shared" si="0"/>
        <v>2025</v>
      </c>
      <c r="C32" s="400">
        <v>45773</v>
      </c>
      <c r="D32" s="401">
        <f>C32-2</f>
        <v>45771</v>
      </c>
      <c r="E32" s="402" t="s">
        <v>623</v>
      </c>
      <c r="F32" s="403">
        <f t="shared" ca="1" si="1"/>
        <v>74.428571428571431</v>
      </c>
      <c r="G32" s="403">
        <v>70</v>
      </c>
      <c r="H32" s="399" t="s">
        <v>576</v>
      </c>
      <c r="I32" s="399" t="s">
        <v>555</v>
      </c>
      <c r="J32" s="403">
        <v>46500</v>
      </c>
      <c r="K32" s="403">
        <f t="shared" si="15"/>
        <v>6045</v>
      </c>
      <c r="L32" s="560">
        <f>C50-N32</f>
        <v>32</v>
      </c>
      <c r="M32" s="396" t="s">
        <v>285</v>
      </c>
      <c r="N32" s="374">
        <f t="shared" si="12"/>
        <v>45920</v>
      </c>
      <c r="O32" s="367">
        <f t="shared" si="17"/>
        <v>45939</v>
      </c>
      <c r="P32" s="368" t="s">
        <v>626</v>
      </c>
      <c r="Q32" s="368">
        <v>70</v>
      </c>
      <c r="R32" s="1209" t="s">
        <v>627</v>
      </c>
      <c r="S32" s="375">
        <f t="shared" si="18"/>
        <v>44640</v>
      </c>
      <c r="T32" s="376">
        <f t="shared" si="5"/>
        <v>46237.2</v>
      </c>
      <c r="U32" s="377">
        <v>66.599999999999994</v>
      </c>
      <c r="V32" s="378">
        <f>N72-T32</f>
        <v>53.80000000000291</v>
      </c>
      <c r="W32" s="379">
        <f t="shared" si="6"/>
        <v>46291</v>
      </c>
    </row>
    <row r="33" spans="1:23" ht="21">
      <c r="A33" s="1131"/>
      <c r="B33" s="399">
        <f t="shared" si="0"/>
        <v>2025</v>
      </c>
      <c r="C33" s="400">
        <v>45776</v>
      </c>
      <c r="D33" s="401">
        <f>C33+2</f>
        <v>45778</v>
      </c>
      <c r="E33" s="402" t="s">
        <v>623</v>
      </c>
      <c r="F33" s="403">
        <f t="shared" ca="1" si="1"/>
        <v>74</v>
      </c>
      <c r="G33" s="403">
        <v>70</v>
      </c>
      <c r="H33" s="399" t="s">
        <v>576</v>
      </c>
      <c r="I33" s="399" t="s">
        <v>555</v>
      </c>
      <c r="J33" s="403">
        <v>29500</v>
      </c>
      <c r="K33" s="403">
        <f t="shared" si="15"/>
        <v>3835</v>
      </c>
      <c r="L33" s="560">
        <f>C50-N33</f>
        <v>29</v>
      </c>
      <c r="M33" s="396" t="s">
        <v>285</v>
      </c>
      <c r="N33" s="374">
        <f t="shared" si="12"/>
        <v>45923</v>
      </c>
      <c r="O33" s="367">
        <f t="shared" si="17"/>
        <v>45946</v>
      </c>
      <c r="P33" s="368" t="s">
        <v>628</v>
      </c>
      <c r="Q33" s="368">
        <v>94</v>
      </c>
      <c r="R33" s="388" t="s">
        <v>629</v>
      </c>
      <c r="S33" s="375">
        <f t="shared" si="18"/>
        <v>28320</v>
      </c>
      <c r="T33" s="376">
        <f>D33+(U33*7)</f>
        <v>46245.599999999999</v>
      </c>
      <c r="U33" s="377">
        <v>66.8</v>
      </c>
      <c r="V33" s="378">
        <f>N76-T33</f>
        <v>62.400000000001455</v>
      </c>
      <c r="W33" s="379">
        <f t="shared" si="6"/>
        <v>46308</v>
      </c>
    </row>
    <row r="34" spans="1:23" ht="21">
      <c r="A34" s="1131"/>
      <c r="B34" s="390">
        <f t="shared" si="0"/>
        <v>2025</v>
      </c>
      <c r="C34" s="404">
        <v>45797</v>
      </c>
      <c r="D34" s="405">
        <f>C34+2</f>
        <v>45799</v>
      </c>
      <c r="E34" s="406" t="s">
        <v>630</v>
      </c>
      <c r="F34" s="393">
        <f t="shared" ca="1" si="1"/>
        <v>71</v>
      </c>
      <c r="G34" s="393">
        <v>70</v>
      </c>
      <c r="H34" s="392" t="s">
        <v>585</v>
      </c>
      <c r="I34" s="390" t="s">
        <v>566</v>
      </c>
      <c r="J34" s="393">
        <v>61500</v>
      </c>
      <c r="K34" s="393">
        <f>J34*14%</f>
        <v>8610</v>
      </c>
      <c r="L34" s="391">
        <f>C53-N34</f>
        <v>22</v>
      </c>
      <c r="M34" s="394" t="s">
        <v>561</v>
      </c>
      <c r="N34" s="374">
        <f t="shared" si="12"/>
        <v>45944</v>
      </c>
      <c r="O34" s="367">
        <f t="shared" si="17"/>
        <v>45967</v>
      </c>
      <c r="P34" s="368" t="s">
        <v>631</v>
      </c>
      <c r="Q34" s="368">
        <v>72</v>
      </c>
      <c r="R34" s="1318" t="s">
        <v>632</v>
      </c>
      <c r="S34" s="375">
        <f t="shared" si="18"/>
        <v>59040</v>
      </c>
      <c r="T34" s="376">
        <f t="shared" si="5"/>
        <v>46210.6</v>
      </c>
      <c r="U34" s="377">
        <v>58.8</v>
      </c>
      <c r="V34" s="378">
        <f>N73-T34</f>
        <v>94.400000000001455</v>
      </c>
      <c r="W34" s="379">
        <f t="shared" si="6"/>
        <v>46305</v>
      </c>
    </row>
    <row r="35" spans="1:23" ht="21">
      <c r="A35" s="1131"/>
      <c r="B35" s="390">
        <f t="shared" si="0"/>
        <v>2025</v>
      </c>
      <c r="C35" s="404">
        <v>45801</v>
      </c>
      <c r="D35" s="405">
        <f>C35-2</f>
        <v>45799</v>
      </c>
      <c r="E35" s="406" t="s">
        <v>633</v>
      </c>
      <c r="F35" s="393">
        <f t="shared" ca="1" si="1"/>
        <v>70.428571428571431</v>
      </c>
      <c r="G35" s="393">
        <v>70</v>
      </c>
      <c r="H35" s="392" t="s">
        <v>585</v>
      </c>
      <c r="I35" s="390" t="s">
        <v>566</v>
      </c>
      <c r="J35" s="393">
        <v>5000</v>
      </c>
      <c r="K35" s="393">
        <f t="shared" si="15"/>
        <v>650</v>
      </c>
      <c r="L35" s="391">
        <f>C53-N35</f>
        <v>18</v>
      </c>
      <c r="M35" s="396" t="s">
        <v>285</v>
      </c>
      <c r="N35" s="374">
        <f t="shared" si="12"/>
        <v>45948</v>
      </c>
      <c r="O35" s="367">
        <f t="shared" si="17"/>
        <v>45967</v>
      </c>
      <c r="P35" s="368" t="s">
        <v>634</v>
      </c>
      <c r="Q35" s="368">
        <v>70</v>
      </c>
      <c r="R35" s="1209" t="s">
        <v>635</v>
      </c>
      <c r="S35" s="375">
        <f>J35*96%</f>
        <v>4800</v>
      </c>
      <c r="T35" s="376">
        <f t="shared" si="5"/>
        <v>46248.4</v>
      </c>
      <c r="U35" s="377">
        <v>64.2</v>
      </c>
      <c r="V35" s="378">
        <f>N77-T35</f>
        <v>61.599999999998545</v>
      </c>
      <c r="W35" s="379">
        <f t="shared" si="6"/>
        <v>46310</v>
      </c>
    </row>
    <row r="36" spans="1:23" ht="18" customHeight="1">
      <c r="A36" s="1131"/>
      <c r="B36" s="390">
        <f t="shared" si="0"/>
        <v>2025</v>
      </c>
      <c r="C36" s="404">
        <v>45814</v>
      </c>
      <c r="D36" s="405">
        <f>C36-1</f>
        <v>45813</v>
      </c>
      <c r="E36" s="406" t="s">
        <v>636</v>
      </c>
      <c r="F36" s="393">
        <f t="shared" ca="1" si="1"/>
        <v>68.571428571428569</v>
      </c>
      <c r="G36" s="393">
        <v>70</v>
      </c>
      <c r="H36" s="390" t="s">
        <v>591</v>
      </c>
      <c r="I36" s="390" t="s">
        <v>566</v>
      </c>
      <c r="J36" s="393">
        <v>41000</v>
      </c>
      <c r="K36" s="393">
        <f t="shared" si="15"/>
        <v>5330</v>
      </c>
      <c r="L36" s="391">
        <f>C56-N36</f>
        <v>18</v>
      </c>
      <c r="M36" s="396" t="s">
        <v>285</v>
      </c>
      <c r="N36" s="374">
        <f t="shared" si="12"/>
        <v>45961</v>
      </c>
      <c r="O36" s="367">
        <f t="shared" si="17"/>
        <v>45981</v>
      </c>
      <c r="P36" s="368" t="s">
        <v>634</v>
      </c>
      <c r="Q36" s="368">
        <v>70</v>
      </c>
      <c r="R36" s="1209" t="s">
        <v>635</v>
      </c>
      <c r="S36" s="375">
        <f t="shared" ref="S36:S39" si="19">J36*96%</f>
        <v>39360</v>
      </c>
      <c r="T36" s="376">
        <f t="shared" si="5"/>
        <v>46248.4</v>
      </c>
      <c r="U36" s="377">
        <v>62.2</v>
      </c>
      <c r="V36" s="378">
        <f>N77-T36</f>
        <v>61.599999999998545</v>
      </c>
      <c r="W36" s="379">
        <f t="shared" si="6"/>
        <v>46310</v>
      </c>
    </row>
    <row r="37" spans="1:23" ht="19.5" customHeight="1">
      <c r="A37" s="1131"/>
      <c r="B37" s="390">
        <f t="shared" si="0"/>
        <v>2025</v>
      </c>
      <c r="C37" s="404">
        <v>45818</v>
      </c>
      <c r="D37" s="405">
        <f>C37+2</f>
        <v>45820</v>
      </c>
      <c r="E37" s="406" t="s">
        <v>636</v>
      </c>
      <c r="F37" s="393">
        <f t="shared" ca="1" si="1"/>
        <v>68</v>
      </c>
      <c r="G37" s="393">
        <v>70</v>
      </c>
      <c r="H37" s="390" t="s">
        <v>591</v>
      </c>
      <c r="I37" s="390" t="s">
        <v>566</v>
      </c>
      <c r="J37" s="393">
        <v>25500</v>
      </c>
      <c r="K37" s="393">
        <f t="shared" si="15"/>
        <v>3315</v>
      </c>
      <c r="L37" s="391">
        <f>C56-N37</f>
        <v>14</v>
      </c>
      <c r="M37" s="396" t="s">
        <v>285</v>
      </c>
      <c r="N37" s="374">
        <f t="shared" si="12"/>
        <v>45965</v>
      </c>
      <c r="O37" s="367">
        <f t="shared" si="17"/>
        <v>45988</v>
      </c>
      <c r="P37" s="368" t="s">
        <v>637</v>
      </c>
      <c r="Q37" s="368">
        <v>72</v>
      </c>
      <c r="R37" s="1209" t="s">
        <v>638</v>
      </c>
      <c r="S37" s="375">
        <f t="shared" si="19"/>
        <v>24480</v>
      </c>
      <c r="T37" s="376">
        <f t="shared" si="5"/>
        <v>46254</v>
      </c>
      <c r="U37" s="377">
        <v>62</v>
      </c>
      <c r="V37" s="378">
        <f>N78-T37</f>
        <v>93</v>
      </c>
      <c r="W37" s="379">
        <f t="shared" si="6"/>
        <v>46347</v>
      </c>
    </row>
    <row r="38" spans="1:23" ht="18" customHeight="1">
      <c r="A38" s="1131"/>
      <c r="B38" s="390">
        <f t="shared" si="0"/>
        <v>2025</v>
      </c>
      <c r="C38" s="404">
        <v>45828</v>
      </c>
      <c r="D38" s="405">
        <f>C38-1</f>
        <v>45827</v>
      </c>
      <c r="E38" s="406" t="s">
        <v>639</v>
      </c>
      <c r="F38" s="393">
        <f t="shared" ca="1" si="1"/>
        <v>66.571428571428569</v>
      </c>
      <c r="G38" s="393">
        <v>70</v>
      </c>
      <c r="H38" s="390" t="s">
        <v>595</v>
      </c>
      <c r="I38" s="392" t="s">
        <v>566</v>
      </c>
      <c r="J38" s="393">
        <v>20500</v>
      </c>
      <c r="K38" s="393">
        <f t="shared" si="15"/>
        <v>2665</v>
      </c>
      <c r="L38" s="391">
        <f>C58-N38</f>
        <v>26</v>
      </c>
      <c r="M38" s="396" t="s">
        <v>285</v>
      </c>
      <c r="N38" s="374">
        <f t="shared" si="12"/>
        <v>45975</v>
      </c>
      <c r="O38" s="367">
        <f t="shared" si="17"/>
        <v>45995</v>
      </c>
      <c r="P38" s="368" t="s">
        <v>637</v>
      </c>
      <c r="Q38" s="368">
        <v>72</v>
      </c>
      <c r="R38" s="1209" t="s">
        <v>638</v>
      </c>
      <c r="S38" s="375">
        <f t="shared" si="19"/>
        <v>19680</v>
      </c>
      <c r="T38" s="376">
        <f t="shared" si="5"/>
        <v>46254</v>
      </c>
      <c r="U38" s="377">
        <v>61</v>
      </c>
      <c r="V38" s="378">
        <f>N78-T38</f>
        <v>93</v>
      </c>
      <c r="W38" s="379">
        <f t="shared" si="6"/>
        <v>46347</v>
      </c>
    </row>
    <row r="39" spans="1:23" ht="18" customHeight="1">
      <c r="A39" s="1131"/>
      <c r="B39" s="390">
        <f t="shared" si="0"/>
        <v>2025</v>
      </c>
      <c r="C39" s="404">
        <v>45829</v>
      </c>
      <c r="D39" s="405">
        <f>C39-2</f>
        <v>45827</v>
      </c>
      <c r="E39" s="406" t="s">
        <v>639</v>
      </c>
      <c r="F39" s="393">
        <f t="shared" ca="1" si="1"/>
        <v>66.428571428571431</v>
      </c>
      <c r="G39" s="393">
        <v>70</v>
      </c>
      <c r="H39" s="390" t="s">
        <v>595</v>
      </c>
      <c r="I39" s="392" t="s">
        <v>566</v>
      </c>
      <c r="J39" s="393">
        <v>46000</v>
      </c>
      <c r="K39" s="393">
        <f t="shared" si="15"/>
        <v>5980</v>
      </c>
      <c r="L39" s="391">
        <f>C58-N39</f>
        <v>25</v>
      </c>
      <c r="M39" s="396" t="s">
        <v>285</v>
      </c>
      <c r="N39" s="374">
        <f t="shared" si="12"/>
        <v>45976</v>
      </c>
      <c r="O39" s="367">
        <f t="shared" si="17"/>
        <v>45995</v>
      </c>
      <c r="P39" s="368" t="s">
        <v>640</v>
      </c>
      <c r="Q39" s="368">
        <v>72</v>
      </c>
      <c r="R39" s="397" t="s">
        <v>641</v>
      </c>
      <c r="S39" s="375">
        <f t="shared" si="19"/>
        <v>44160</v>
      </c>
      <c r="T39" s="376">
        <f t="shared" si="5"/>
        <v>46259.6</v>
      </c>
      <c r="U39" s="377">
        <v>61.8</v>
      </c>
      <c r="V39" s="378">
        <f>N79-T39</f>
        <v>87.400000000001455</v>
      </c>
      <c r="W39" s="379">
        <f t="shared" si="6"/>
        <v>46347</v>
      </c>
    </row>
    <row r="40" spans="1:23" ht="18" customHeight="1">
      <c r="A40" s="1131"/>
      <c r="B40" s="399">
        <f t="shared" si="0"/>
        <v>2025</v>
      </c>
      <c r="C40" s="400">
        <v>45847</v>
      </c>
      <c r="D40" s="401">
        <f>C40+1</f>
        <v>45848</v>
      </c>
      <c r="E40" s="402" t="s">
        <v>642</v>
      </c>
      <c r="F40" s="403">
        <f t="shared" ca="1" si="1"/>
        <v>63.857142857142854</v>
      </c>
      <c r="G40" s="403">
        <v>70</v>
      </c>
      <c r="H40" s="566" t="s">
        <v>599</v>
      </c>
      <c r="I40" s="567" t="s">
        <v>555</v>
      </c>
      <c r="J40" s="403">
        <v>46500</v>
      </c>
      <c r="K40" s="403">
        <f>J40*14%</f>
        <v>6510.0000000000009</v>
      </c>
      <c r="L40" s="560">
        <f>C60-N40</f>
        <v>24</v>
      </c>
      <c r="M40" s="394" t="s">
        <v>561</v>
      </c>
      <c r="N40" s="374">
        <f t="shared" si="12"/>
        <v>45994</v>
      </c>
      <c r="O40" s="367">
        <f>D40+24*7</f>
        <v>46016</v>
      </c>
      <c r="P40" s="368" t="s">
        <v>643</v>
      </c>
      <c r="Q40" s="368">
        <v>70</v>
      </c>
      <c r="R40" s="397" t="s">
        <v>644</v>
      </c>
      <c r="S40" s="375">
        <f t="shared" ref="S40:S42" si="20">J40*95.5%</f>
        <v>44407.5</v>
      </c>
      <c r="T40" s="376">
        <f t="shared" si="5"/>
        <v>46296</v>
      </c>
      <c r="U40" s="377">
        <v>64</v>
      </c>
      <c r="V40" s="378">
        <f>N81-T40</f>
        <v>56</v>
      </c>
      <c r="W40" s="379">
        <f t="shared" si="6"/>
        <v>46352</v>
      </c>
    </row>
    <row r="41" spans="1:23" ht="18" customHeight="1">
      <c r="A41" s="1131"/>
      <c r="B41" s="399">
        <f t="shared" si="0"/>
        <v>2025</v>
      </c>
      <c r="C41" s="400">
        <v>45854</v>
      </c>
      <c r="D41" s="401">
        <f>C41+1</f>
        <v>45855</v>
      </c>
      <c r="E41" s="402" t="s">
        <v>642</v>
      </c>
      <c r="F41" s="403">
        <f t="shared" ca="1" si="1"/>
        <v>62.857142857142854</v>
      </c>
      <c r="G41" s="403">
        <v>70</v>
      </c>
      <c r="H41" s="566" t="s">
        <v>599</v>
      </c>
      <c r="I41" s="567" t="s">
        <v>555</v>
      </c>
      <c r="J41" s="403">
        <v>15500</v>
      </c>
      <c r="K41" s="403">
        <f>J41*14%</f>
        <v>2170</v>
      </c>
      <c r="L41" s="560">
        <f>C60-N41</f>
        <v>17</v>
      </c>
      <c r="M41" s="394" t="s">
        <v>561</v>
      </c>
      <c r="N41" s="374">
        <f t="shared" si="12"/>
        <v>46001</v>
      </c>
      <c r="O41" s="367">
        <f>D41+24*7</f>
        <v>46023</v>
      </c>
      <c r="P41" s="368" t="s">
        <v>645</v>
      </c>
      <c r="Q41" s="368">
        <v>72</v>
      </c>
      <c r="R41" s="388" t="s">
        <v>550</v>
      </c>
      <c r="S41" s="375">
        <f t="shared" si="20"/>
        <v>14802.5</v>
      </c>
      <c r="T41" s="376">
        <f t="shared" si="5"/>
        <v>46331</v>
      </c>
      <c r="U41" s="377">
        <v>68</v>
      </c>
      <c r="V41" s="378">
        <f>N84-T41</f>
        <v>75</v>
      </c>
      <c r="W41" s="379">
        <f t="shared" si="6"/>
        <v>46406</v>
      </c>
    </row>
    <row r="42" spans="1:23" ht="18" customHeight="1">
      <c r="A42" s="1131"/>
      <c r="B42" s="399">
        <f t="shared" si="0"/>
        <v>2025</v>
      </c>
      <c r="C42" s="400">
        <v>45863</v>
      </c>
      <c r="D42" s="401">
        <f>C42-1</f>
        <v>45862</v>
      </c>
      <c r="E42" s="402" t="s">
        <v>646</v>
      </c>
      <c r="F42" s="403">
        <f t="shared" ca="1" si="1"/>
        <v>61.571428571428569</v>
      </c>
      <c r="G42" s="403">
        <v>70</v>
      </c>
      <c r="H42" s="559" t="s">
        <v>547</v>
      </c>
      <c r="I42" s="567" t="s">
        <v>566</v>
      </c>
      <c r="J42" s="568">
        <v>15500</v>
      </c>
      <c r="K42" s="403">
        <f>J42*14%</f>
        <v>2170</v>
      </c>
      <c r="L42" s="560">
        <f>C62-N42</f>
        <v>18</v>
      </c>
      <c r="M42" s="394" t="s">
        <v>561</v>
      </c>
      <c r="N42" s="374">
        <f t="shared" si="12"/>
        <v>46010</v>
      </c>
      <c r="O42" s="367">
        <f t="shared" ref="O42:O65" si="21">D42+24*7</f>
        <v>46030</v>
      </c>
      <c r="P42" s="368" t="s">
        <v>645</v>
      </c>
      <c r="Q42" s="368">
        <v>72</v>
      </c>
      <c r="R42" s="388" t="s">
        <v>550</v>
      </c>
      <c r="S42" s="375">
        <f t="shared" si="20"/>
        <v>14802.5</v>
      </c>
      <c r="T42" s="376">
        <f t="shared" si="5"/>
        <v>46331</v>
      </c>
      <c r="U42" s="377">
        <v>67</v>
      </c>
      <c r="V42" s="378">
        <f>N84-T42</f>
        <v>75</v>
      </c>
      <c r="W42" s="379">
        <f t="shared" si="6"/>
        <v>46406</v>
      </c>
    </row>
    <row r="43" spans="1:23" ht="18" customHeight="1">
      <c r="A43" s="1131"/>
      <c r="B43" s="399">
        <f t="shared" si="0"/>
        <v>2025</v>
      </c>
      <c r="C43" s="400">
        <v>45864</v>
      </c>
      <c r="D43" s="401">
        <f>C43-2</f>
        <v>45862</v>
      </c>
      <c r="E43" s="402" t="s">
        <v>646</v>
      </c>
      <c r="F43" s="403">
        <f t="shared" ca="1" si="1"/>
        <v>61.428571428571431</v>
      </c>
      <c r="G43" s="403">
        <v>70</v>
      </c>
      <c r="H43" s="559" t="s">
        <v>547</v>
      </c>
      <c r="I43" s="567">
        <v>2</v>
      </c>
      <c r="J43" s="403">
        <v>46500</v>
      </c>
      <c r="K43" s="403">
        <f>J43*14%</f>
        <v>6510.0000000000009</v>
      </c>
      <c r="L43" s="560">
        <f>C62-N43</f>
        <v>17</v>
      </c>
      <c r="M43" s="394" t="s">
        <v>561</v>
      </c>
      <c r="N43" s="374">
        <f t="shared" si="12"/>
        <v>46011</v>
      </c>
      <c r="O43" s="367">
        <f t="shared" si="21"/>
        <v>46030</v>
      </c>
      <c r="P43" s="368" t="s">
        <v>647</v>
      </c>
      <c r="Q43" s="368">
        <v>94</v>
      </c>
      <c r="R43" s="1318" t="s">
        <v>648</v>
      </c>
      <c r="S43" s="375">
        <f>J43*95.5%</f>
        <v>44407.5</v>
      </c>
      <c r="T43" s="376">
        <f t="shared" si="5"/>
        <v>46306.5</v>
      </c>
      <c r="U43" s="377">
        <v>63.5</v>
      </c>
      <c r="V43" s="378">
        <f>N83-T43</f>
        <v>57.5</v>
      </c>
      <c r="W43" s="379">
        <f t="shared" si="6"/>
        <v>46364</v>
      </c>
    </row>
    <row r="44" spans="1:23" ht="18" customHeight="1">
      <c r="A44" s="1131"/>
      <c r="B44" s="390">
        <f t="shared" si="0"/>
        <v>2025</v>
      </c>
      <c r="C44" s="404">
        <v>45895</v>
      </c>
      <c r="D44" s="405">
        <f>C44+2</f>
        <v>45897</v>
      </c>
      <c r="E44" s="406" t="s">
        <v>649</v>
      </c>
      <c r="F44" s="393">
        <f t="shared" ca="1" si="1"/>
        <v>57</v>
      </c>
      <c r="G44" s="393">
        <v>70</v>
      </c>
      <c r="H44" s="392" t="s">
        <v>554</v>
      </c>
      <c r="I44" s="569">
        <v>1</v>
      </c>
      <c r="J44" s="393">
        <v>46500</v>
      </c>
      <c r="K44" s="393">
        <f t="shared" ref="K44:K49" si="22">J44*13%</f>
        <v>6045</v>
      </c>
      <c r="L44" s="393">
        <f>C64-N44</f>
        <v>23</v>
      </c>
      <c r="M44" s="394" t="s">
        <v>561</v>
      </c>
      <c r="N44" s="374">
        <f t="shared" si="12"/>
        <v>46042</v>
      </c>
      <c r="O44" s="367">
        <f t="shared" si="21"/>
        <v>46065</v>
      </c>
      <c r="P44" s="368" t="s">
        <v>650</v>
      </c>
      <c r="Q44" s="368">
        <v>70</v>
      </c>
      <c r="R44" s="397" t="s">
        <v>651</v>
      </c>
      <c r="S44" s="375">
        <f>J44*95.5%</f>
        <v>44407.5</v>
      </c>
      <c r="T44" s="376">
        <f t="shared" si="5"/>
        <v>46350.6</v>
      </c>
      <c r="U44" s="377">
        <v>64.8</v>
      </c>
      <c r="V44" s="378">
        <f>N85-T44</f>
        <v>57.400000000001455</v>
      </c>
      <c r="W44" s="379">
        <f t="shared" si="6"/>
        <v>46408</v>
      </c>
    </row>
    <row r="45" spans="1:23" ht="18" customHeight="1">
      <c r="A45" s="1131"/>
      <c r="B45" s="390">
        <f t="shared" si="0"/>
        <v>2025</v>
      </c>
      <c r="C45" s="404">
        <v>45896</v>
      </c>
      <c r="D45" s="405">
        <f>C45+1</f>
        <v>45897</v>
      </c>
      <c r="E45" s="406" t="s">
        <v>649</v>
      </c>
      <c r="F45" s="393">
        <f t="shared" ca="1" si="1"/>
        <v>56.857142857142854</v>
      </c>
      <c r="G45" s="393">
        <v>70</v>
      </c>
      <c r="H45" s="392" t="s">
        <v>554</v>
      </c>
      <c r="I45" s="569">
        <v>1</v>
      </c>
      <c r="J45" s="393">
        <v>20000</v>
      </c>
      <c r="K45" s="393">
        <f t="shared" si="22"/>
        <v>2600</v>
      </c>
      <c r="L45" s="393">
        <f>C64-N45</f>
        <v>17</v>
      </c>
      <c r="M45" s="394" t="s">
        <v>561</v>
      </c>
      <c r="N45" s="374">
        <v>46048</v>
      </c>
      <c r="O45" s="367">
        <f t="shared" si="21"/>
        <v>46065</v>
      </c>
      <c r="P45" s="368" t="s">
        <v>652</v>
      </c>
      <c r="Q45" s="368">
        <v>94</v>
      </c>
      <c r="R45" s="395" t="s">
        <v>559</v>
      </c>
      <c r="S45" s="375">
        <f>J45*95.5%</f>
        <v>19100</v>
      </c>
      <c r="T45" s="376">
        <f t="shared" si="5"/>
        <v>46373</v>
      </c>
      <c r="U45" s="377">
        <v>68</v>
      </c>
      <c r="V45" s="378">
        <f>N88-T45</f>
        <v>68</v>
      </c>
      <c r="W45" s="379">
        <f t="shared" si="6"/>
        <v>46441</v>
      </c>
    </row>
    <row r="46" spans="1:23" ht="18" customHeight="1">
      <c r="A46" s="1131"/>
      <c r="B46" s="399">
        <f t="shared" si="0"/>
        <v>2025</v>
      </c>
      <c r="C46" s="400">
        <v>45906</v>
      </c>
      <c r="D46" s="401">
        <f>C46-2</f>
        <v>45904</v>
      </c>
      <c r="E46" s="402" t="s">
        <v>653</v>
      </c>
      <c r="F46" s="403">
        <f t="shared" ca="1" si="1"/>
        <v>55.428571428571431</v>
      </c>
      <c r="G46" s="403">
        <v>70</v>
      </c>
      <c r="H46" s="559" t="s">
        <v>565</v>
      </c>
      <c r="I46" s="567" t="s">
        <v>566</v>
      </c>
      <c r="J46" s="403">
        <v>46500</v>
      </c>
      <c r="K46" s="403">
        <f t="shared" si="22"/>
        <v>6045</v>
      </c>
      <c r="L46" s="403">
        <f>C66-N46</f>
        <v>24</v>
      </c>
      <c r="M46" s="396" t="s">
        <v>285</v>
      </c>
      <c r="N46" s="374">
        <f t="shared" si="12"/>
        <v>46053</v>
      </c>
      <c r="O46" s="367">
        <f t="shared" si="21"/>
        <v>46072</v>
      </c>
      <c r="P46" s="368" t="s">
        <v>654</v>
      </c>
      <c r="Q46" s="368">
        <v>110</v>
      </c>
      <c r="R46" s="388" t="s">
        <v>552</v>
      </c>
      <c r="S46" s="370">
        <f t="shared" ref="S46:S54" si="23">J46*96%</f>
        <v>44640</v>
      </c>
      <c r="T46" s="371">
        <f t="shared" si="5"/>
        <v>46359</v>
      </c>
      <c r="U46" s="372">
        <v>65</v>
      </c>
      <c r="V46" s="373">
        <f>N87-T46</f>
        <v>56</v>
      </c>
      <c r="W46" s="374">
        <f t="shared" si="6"/>
        <v>46415</v>
      </c>
    </row>
    <row r="47" spans="1:23" ht="18" customHeight="1">
      <c r="A47" s="1131"/>
      <c r="B47" s="399">
        <f t="shared" si="0"/>
        <v>2025</v>
      </c>
      <c r="C47" s="400">
        <v>45910</v>
      </c>
      <c r="D47" s="401">
        <f>C47+1</f>
        <v>45911</v>
      </c>
      <c r="E47" s="402" t="s">
        <v>653</v>
      </c>
      <c r="F47" s="403">
        <f t="shared" ca="1" si="1"/>
        <v>54.857142857142854</v>
      </c>
      <c r="G47" s="403">
        <v>70</v>
      </c>
      <c r="H47" s="559" t="s">
        <v>565</v>
      </c>
      <c r="I47" s="567" t="s">
        <v>566</v>
      </c>
      <c r="J47" s="403">
        <v>15000</v>
      </c>
      <c r="K47" s="403">
        <f t="shared" si="22"/>
        <v>1950</v>
      </c>
      <c r="L47" s="403">
        <f>C66-N47</f>
        <v>20</v>
      </c>
      <c r="M47" s="396" t="s">
        <v>285</v>
      </c>
      <c r="N47" s="374">
        <f t="shared" si="12"/>
        <v>46057</v>
      </c>
      <c r="O47" s="367">
        <f t="shared" si="21"/>
        <v>46079</v>
      </c>
      <c r="P47" s="368" t="s">
        <v>655</v>
      </c>
      <c r="Q47" s="368">
        <v>70</v>
      </c>
      <c r="R47" s="385" t="s">
        <v>656</v>
      </c>
      <c r="S47" s="370">
        <f t="shared" si="23"/>
        <v>14400</v>
      </c>
      <c r="T47" s="371">
        <f t="shared" si="5"/>
        <v>46376.5</v>
      </c>
      <c r="U47" s="372">
        <v>66.5</v>
      </c>
      <c r="V47" s="373">
        <f>N89-T47</f>
        <v>66.5</v>
      </c>
      <c r="W47" s="374">
        <f t="shared" si="6"/>
        <v>46443</v>
      </c>
    </row>
    <row r="48" spans="1:23" ht="17.25" customHeight="1">
      <c r="A48" s="1131"/>
      <c r="B48" s="399">
        <f t="shared" si="0"/>
        <v>2025</v>
      </c>
      <c r="C48" s="400">
        <v>45917</v>
      </c>
      <c r="D48" s="401">
        <f>C48+1</f>
        <v>45918</v>
      </c>
      <c r="E48" s="402" t="s">
        <v>657</v>
      </c>
      <c r="F48" s="403">
        <f t="shared" ca="1" si="1"/>
        <v>53.857142857142854</v>
      </c>
      <c r="G48" s="403">
        <v>70</v>
      </c>
      <c r="H48" s="559" t="s">
        <v>572</v>
      </c>
      <c r="I48" s="567">
        <v>1</v>
      </c>
      <c r="J48" s="403">
        <v>31500</v>
      </c>
      <c r="K48" s="403">
        <f t="shared" si="22"/>
        <v>4095</v>
      </c>
      <c r="L48" s="403">
        <f>C68-N48</f>
        <v>62</v>
      </c>
      <c r="M48" s="396" t="s">
        <v>285</v>
      </c>
      <c r="N48" s="374">
        <f t="shared" si="12"/>
        <v>46064</v>
      </c>
      <c r="O48" s="367">
        <f t="shared" si="21"/>
        <v>46086</v>
      </c>
      <c r="P48" s="368" t="s">
        <v>655</v>
      </c>
      <c r="Q48" s="368">
        <v>70</v>
      </c>
      <c r="R48" s="385" t="s">
        <v>656</v>
      </c>
      <c r="S48" s="370">
        <f t="shared" si="23"/>
        <v>30240</v>
      </c>
      <c r="T48" s="371">
        <f t="shared" si="5"/>
        <v>46376.5</v>
      </c>
      <c r="U48" s="372">
        <v>65.5</v>
      </c>
      <c r="V48" s="373">
        <f>N89-T48</f>
        <v>66.5</v>
      </c>
      <c r="W48" s="374">
        <f t="shared" si="6"/>
        <v>46443</v>
      </c>
    </row>
    <row r="49" spans="1:23" ht="18" customHeight="1">
      <c r="A49" s="1131"/>
      <c r="B49" s="399">
        <f t="shared" si="0"/>
        <v>2025</v>
      </c>
      <c r="C49" s="400">
        <v>45919</v>
      </c>
      <c r="D49" s="401">
        <f>C49-1</f>
        <v>45918</v>
      </c>
      <c r="E49" s="402" t="s">
        <v>657</v>
      </c>
      <c r="F49" s="403">
        <f t="shared" ca="1" si="1"/>
        <v>53.571428571428569</v>
      </c>
      <c r="G49" s="403">
        <v>70</v>
      </c>
      <c r="H49" s="559" t="s">
        <v>572</v>
      </c>
      <c r="I49" s="567">
        <v>1</v>
      </c>
      <c r="J49" s="403">
        <v>30000</v>
      </c>
      <c r="K49" s="403">
        <f t="shared" si="22"/>
        <v>3900</v>
      </c>
      <c r="L49" s="403">
        <f>C68-N49</f>
        <v>60</v>
      </c>
      <c r="M49" s="396" t="s">
        <v>285</v>
      </c>
      <c r="N49" s="374">
        <f t="shared" si="12"/>
        <v>46066</v>
      </c>
      <c r="O49" s="367">
        <f t="shared" si="21"/>
        <v>46086</v>
      </c>
      <c r="P49" s="368" t="s">
        <v>658</v>
      </c>
      <c r="Q49" s="368">
        <v>94</v>
      </c>
      <c r="R49" s="395" t="s">
        <v>563</v>
      </c>
      <c r="S49" s="370">
        <f t="shared" si="23"/>
        <v>28800</v>
      </c>
      <c r="T49" s="371">
        <f t="shared" si="5"/>
        <v>46397.5</v>
      </c>
      <c r="U49" s="372">
        <v>68.5</v>
      </c>
      <c r="V49" s="373">
        <f>N90-T49</f>
        <v>64.5</v>
      </c>
      <c r="W49" s="374">
        <f t="shared" si="6"/>
        <v>46462</v>
      </c>
    </row>
    <row r="50" spans="1:23" ht="18" customHeight="1">
      <c r="A50" s="1131"/>
      <c r="B50" s="390">
        <f t="shared" si="0"/>
        <v>2025</v>
      </c>
      <c r="C50" s="379">
        <v>45952</v>
      </c>
      <c r="D50" s="405">
        <f>C50+1</f>
        <v>45953</v>
      </c>
      <c r="E50" s="406" t="s">
        <v>659</v>
      </c>
      <c r="F50" s="393">
        <f t="shared" ca="1" si="1"/>
        <v>48.857142857142854</v>
      </c>
      <c r="G50" s="393">
        <v>70</v>
      </c>
      <c r="H50" s="392" t="s">
        <v>576</v>
      </c>
      <c r="I50" s="569">
        <v>2</v>
      </c>
      <c r="J50" s="393">
        <v>37500</v>
      </c>
      <c r="K50" s="393">
        <f>J50*14%</f>
        <v>5250.0000000000009</v>
      </c>
      <c r="L50" s="393">
        <f>C70-N50</f>
        <v>38</v>
      </c>
      <c r="M50" s="570" t="s">
        <v>561</v>
      </c>
      <c r="N50" s="374">
        <f t="shared" si="12"/>
        <v>46099</v>
      </c>
      <c r="O50" s="367">
        <f t="shared" si="21"/>
        <v>46121</v>
      </c>
      <c r="P50" s="368" t="s">
        <v>660</v>
      </c>
      <c r="Q50" s="368">
        <v>72</v>
      </c>
      <c r="R50" s="383" t="s">
        <v>570</v>
      </c>
      <c r="S50" s="370">
        <f>J50*95.5%</f>
        <v>35812.5</v>
      </c>
      <c r="T50" s="371">
        <f t="shared" si="5"/>
        <v>46425.5</v>
      </c>
      <c r="U50" s="372">
        <v>67.5</v>
      </c>
      <c r="V50" s="373">
        <f>N93-T50</f>
        <v>57.5</v>
      </c>
      <c r="W50" s="374">
        <f t="shared" si="6"/>
        <v>46483</v>
      </c>
    </row>
    <row r="51" spans="1:23" ht="18.75" customHeight="1">
      <c r="A51" s="1131"/>
      <c r="B51" s="390">
        <f t="shared" si="0"/>
        <v>2025</v>
      </c>
      <c r="C51" s="404">
        <v>45953</v>
      </c>
      <c r="D51" s="405">
        <f>C51</f>
        <v>45953</v>
      </c>
      <c r="E51" s="406" t="s">
        <v>661</v>
      </c>
      <c r="F51" s="393">
        <f t="shared" ca="1" si="1"/>
        <v>48.714285714285715</v>
      </c>
      <c r="G51" s="393">
        <v>70</v>
      </c>
      <c r="H51" s="392" t="s">
        <v>576</v>
      </c>
      <c r="I51" s="569">
        <v>2</v>
      </c>
      <c r="J51" s="393">
        <v>47000</v>
      </c>
      <c r="K51" s="393">
        <f>J51*13%</f>
        <v>6110</v>
      </c>
      <c r="L51" s="393">
        <f>C70-N51</f>
        <v>37</v>
      </c>
      <c r="M51" s="396" t="s">
        <v>285</v>
      </c>
      <c r="N51" s="374">
        <f t="shared" si="12"/>
        <v>46100</v>
      </c>
      <c r="O51" s="367">
        <f t="shared" si="21"/>
        <v>46121</v>
      </c>
      <c r="P51" s="368" t="s">
        <v>662</v>
      </c>
      <c r="Q51" s="368">
        <v>70</v>
      </c>
      <c r="R51" s="383" t="s">
        <v>568</v>
      </c>
      <c r="S51" s="370">
        <f t="shared" si="23"/>
        <v>45120</v>
      </c>
      <c r="T51" s="376">
        <f t="shared" si="5"/>
        <v>46411.5</v>
      </c>
      <c r="U51" s="377">
        <v>65.5</v>
      </c>
      <c r="V51" s="378">
        <f>N91-T51</f>
        <v>52.5</v>
      </c>
      <c r="W51" s="374">
        <f t="shared" si="6"/>
        <v>46464</v>
      </c>
    </row>
    <row r="52" spans="1:23" ht="19.5" customHeight="1">
      <c r="A52" s="1131"/>
      <c r="B52" s="390">
        <f t="shared" si="0"/>
        <v>2025</v>
      </c>
      <c r="C52" s="404">
        <v>45955</v>
      </c>
      <c r="D52" s="405">
        <f>C52-2</f>
        <v>45953</v>
      </c>
      <c r="E52" s="406" t="s">
        <v>661</v>
      </c>
      <c r="F52" s="393">
        <f t="shared" ca="1" si="1"/>
        <v>48.428571428571431</v>
      </c>
      <c r="G52" s="393">
        <v>70</v>
      </c>
      <c r="H52" s="392" t="s">
        <v>576</v>
      </c>
      <c r="I52" s="569">
        <v>2</v>
      </c>
      <c r="J52" s="393">
        <v>33000</v>
      </c>
      <c r="K52" s="393">
        <f>J52*13%</f>
        <v>4290</v>
      </c>
      <c r="L52" s="393">
        <f>C70-N52</f>
        <v>35</v>
      </c>
      <c r="M52" s="396" t="s">
        <v>285</v>
      </c>
      <c r="N52" s="374">
        <f t="shared" si="12"/>
        <v>46102</v>
      </c>
      <c r="O52" s="367">
        <f t="shared" si="21"/>
        <v>46121</v>
      </c>
      <c r="P52" s="368" t="s">
        <v>663</v>
      </c>
      <c r="Q52" s="368">
        <v>72</v>
      </c>
      <c r="R52" s="383" t="s">
        <v>574</v>
      </c>
      <c r="S52" s="370">
        <f t="shared" si="23"/>
        <v>31680</v>
      </c>
      <c r="T52" s="371">
        <f t="shared" si="5"/>
        <v>46415</v>
      </c>
      <c r="U52" s="372">
        <v>66</v>
      </c>
      <c r="V52" s="373">
        <f>N92-T52</f>
        <v>54</v>
      </c>
      <c r="W52" s="374">
        <f t="shared" si="6"/>
        <v>46469</v>
      </c>
    </row>
    <row r="53" spans="1:23" ht="18" customHeight="1">
      <c r="A53" s="1131"/>
      <c r="B53" s="390">
        <f t="shared" si="0"/>
        <v>2025</v>
      </c>
      <c r="C53" s="379">
        <v>45966</v>
      </c>
      <c r="D53" s="405">
        <f>C53+1</f>
        <v>45967</v>
      </c>
      <c r="E53" s="406" t="s">
        <v>664</v>
      </c>
      <c r="F53" s="393">
        <f t="shared" ca="1" si="1"/>
        <v>46.857142857142854</v>
      </c>
      <c r="G53" s="393">
        <v>70</v>
      </c>
      <c r="H53" s="392" t="s">
        <v>585</v>
      </c>
      <c r="I53" s="569">
        <v>3</v>
      </c>
      <c r="J53" s="393">
        <v>14000</v>
      </c>
      <c r="K53" s="393">
        <f t="shared" ref="K53:K77" si="24">J53*13%</f>
        <v>1820</v>
      </c>
      <c r="L53" s="393">
        <f>C76-N53</f>
        <v>48</v>
      </c>
      <c r="M53" s="396" t="s">
        <v>285</v>
      </c>
      <c r="N53" s="374">
        <f t="shared" si="12"/>
        <v>46113</v>
      </c>
      <c r="O53" s="367">
        <f t="shared" si="21"/>
        <v>46135</v>
      </c>
      <c r="P53" s="368" t="s">
        <v>663</v>
      </c>
      <c r="Q53" s="368">
        <v>72</v>
      </c>
      <c r="R53" s="383" t="s">
        <v>574</v>
      </c>
      <c r="S53" s="370">
        <f t="shared" si="23"/>
        <v>13440</v>
      </c>
      <c r="T53" s="371">
        <f t="shared" si="5"/>
        <v>46415</v>
      </c>
      <c r="U53" s="372">
        <v>64</v>
      </c>
      <c r="V53" s="373">
        <f>N92-T53</f>
        <v>54</v>
      </c>
      <c r="W53" s="374">
        <f t="shared" si="6"/>
        <v>46469</v>
      </c>
    </row>
    <row r="54" spans="1:23" ht="18" customHeight="1">
      <c r="A54" s="1131"/>
      <c r="B54" s="390">
        <f t="shared" si="0"/>
        <v>2025</v>
      </c>
      <c r="C54" s="379">
        <v>45972</v>
      </c>
      <c r="D54" s="405">
        <f>C54+2</f>
        <v>45974</v>
      </c>
      <c r="E54" s="406" t="s">
        <v>664</v>
      </c>
      <c r="F54" s="393">
        <f t="shared" ca="1" si="1"/>
        <v>46</v>
      </c>
      <c r="G54" s="393">
        <v>70</v>
      </c>
      <c r="H54" s="392" t="s">
        <v>585</v>
      </c>
      <c r="I54" s="569">
        <v>3</v>
      </c>
      <c r="J54" s="393">
        <v>47000</v>
      </c>
      <c r="K54" s="393">
        <f t="shared" si="24"/>
        <v>6110</v>
      </c>
      <c r="L54" s="393">
        <f>C76-N54</f>
        <v>42</v>
      </c>
      <c r="M54" s="396" t="s">
        <v>285</v>
      </c>
      <c r="N54" s="374">
        <f t="shared" si="12"/>
        <v>46119</v>
      </c>
      <c r="O54" s="367">
        <f t="shared" si="21"/>
        <v>46142</v>
      </c>
      <c r="P54" s="368" t="s">
        <v>665</v>
      </c>
      <c r="Q54" s="368">
        <v>72</v>
      </c>
      <c r="R54" s="383" t="s">
        <v>666</v>
      </c>
      <c r="S54" s="370">
        <f t="shared" si="23"/>
        <v>45120</v>
      </c>
      <c r="T54" s="371">
        <f t="shared" si="5"/>
        <v>46439.5</v>
      </c>
      <c r="U54" s="372">
        <v>66.5</v>
      </c>
      <c r="V54" s="373">
        <f>N94-T54</f>
        <v>47.5</v>
      </c>
      <c r="W54" s="374">
        <f t="shared" si="6"/>
        <v>46487</v>
      </c>
    </row>
    <row r="55" spans="1:23" ht="21">
      <c r="A55" s="1131"/>
      <c r="B55" s="399">
        <f t="shared" si="0"/>
        <v>2025</v>
      </c>
      <c r="C55" s="400">
        <v>45967</v>
      </c>
      <c r="D55" s="401">
        <f>C55</f>
        <v>45967</v>
      </c>
      <c r="E55" s="402"/>
      <c r="F55" s="403">
        <f t="shared" ca="1" si="1"/>
        <v>46.714285714285715</v>
      </c>
      <c r="G55" s="403">
        <v>70</v>
      </c>
      <c r="H55" s="387" t="s">
        <v>667</v>
      </c>
      <c r="I55" s="567">
        <v>1</v>
      </c>
      <c r="J55" s="403">
        <v>46500</v>
      </c>
      <c r="K55" s="403">
        <f>J55*14%</f>
        <v>6510.0000000000009</v>
      </c>
      <c r="L55" s="403"/>
      <c r="M55" s="564" t="s">
        <v>561</v>
      </c>
      <c r="N55" s="1197">
        <f t="shared" si="12"/>
        <v>46114</v>
      </c>
      <c r="O55" s="1198">
        <f t="shared" si="21"/>
        <v>46135</v>
      </c>
      <c r="P55" s="1201" t="s">
        <v>668</v>
      </c>
      <c r="Q55" s="1201">
        <v>94</v>
      </c>
      <c r="R55" s="1207" t="s">
        <v>583</v>
      </c>
      <c r="S55" s="1200">
        <f t="shared" ref="S55:S57" si="25">J55*95.5%</f>
        <v>44407.5</v>
      </c>
      <c r="T55" s="1205">
        <f t="shared" si="5"/>
        <v>46439.5</v>
      </c>
      <c r="U55" s="1206">
        <v>67.5</v>
      </c>
      <c r="V55" s="1199">
        <f>N96-T55</f>
        <v>52.5</v>
      </c>
      <c r="W55" s="1197">
        <f t="shared" si="6"/>
        <v>46492</v>
      </c>
    </row>
    <row r="56" spans="1:23" ht="21">
      <c r="A56" s="1131"/>
      <c r="B56" s="399">
        <f t="shared" si="0"/>
        <v>2025</v>
      </c>
      <c r="C56" s="400">
        <v>45979</v>
      </c>
      <c r="D56" s="401">
        <f>C56+2</f>
        <v>45981</v>
      </c>
      <c r="E56" s="402" t="s">
        <v>669</v>
      </c>
      <c r="F56" s="403">
        <f t="shared" ca="1" si="1"/>
        <v>45</v>
      </c>
      <c r="G56" s="403">
        <v>70</v>
      </c>
      <c r="H56" s="399" t="s">
        <v>591</v>
      </c>
      <c r="I56" s="567">
        <v>1</v>
      </c>
      <c r="J56" s="403">
        <v>20000</v>
      </c>
      <c r="K56" s="403">
        <f>J56*14%</f>
        <v>2800.0000000000005</v>
      </c>
      <c r="L56" s="403">
        <f>C73-N56</f>
        <v>32</v>
      </c>
      <c r="M56" s="564" t="s">
        <v>561</v>
      </c>
      <c r="N56" s="374">
        <f t="shared" si="12"/>
        <v>46126</v>
      </c>
      <c r="O56" s="367">
        <f t="shared" si="21"/>
        <v>46149</v>
      </c>
      <c r="P56" s="368" t="s">
        <v>670</v>
      </c>
      <c r="Q56" s="368">
        <v>94</v>
      </c>
      <c r="R56" s="395" t="s">
        <v>581</v>
      </c>
      <c r="S56" s="370">
        <f t="shared" si="25"/>
        <v>19100</v>
      </c>
      <c r="T56" s="371">
        <f t="shared" si="5"/>
        <v>46453.5</v>
      </c>
      <c r="U56" s="372">
        <v>67.5</v>
      </c>
      <c r="V56" s="373">
        <f>N97-T56</f>
        <v>64.5</v>
      </c>
      <c r="W56" s="374">
        <f t="shared" si="6"/>
        <v>46518</v>
      </c>
    </row>
    <row r="57" spans="1:23" ht="21">
      <c r="A57" s="1131"/>
      <c r="B57" s="399">
        <f t="shared" si="0"/>
        <v>2025</v>
      </c>
      <c r="C57" s="400">
        <v>45980</v>
      </c>
      <c r="D57" s="401">
        <f>C57+1</f>
        <v>45981</v>
      </c>
      <c r="E57" s="402" t="s">
        <v>669</v>
      </c>
      <c r="F57" s="403">
        <f t="shared" ca="1" si="1"/>
        <v>44.857142857142854</v>
      </c>
      <c r="G57" s="403">
        <v>70</v>
      </c>
      <c r="H57" s="399" t="s">
        <v>591</v>
      </c>
      <c r="I57" s="567">
        <v>1</v>
      </c>
      <c r="J57" s="403">
        <v>46500</v>
      </c>
      <c r="K57" s="403">
        <f>J57*14%</f>
        <v>6510.0000000000009</v>
      </c>
      <c r="L57" s="403">
        <f>C73-N57</f>
        <v>31</v>
      </c>
      <c r="M57" s="564" t="s">
        <v>561</v>
      </c>
      <c r="N57" s="374">
        <f t="shared" si="12"/>
        <v>46127</v>
      </c>
      <c r="O57" s="367">
        <f t="shared" si="21"/>
        <v>46149</v>
      </c>
      <c r="P57" s="368" t="s">
        <v>671</v>
      </c>
      <c r="Q57" s="368">
        <v>70</v>
      </c>
      <c r="R57" s="383" t="s">
        <v>593</v>
      </c>
      <c r="S57" s="370">
        <f t="shared" si="25"/>
        <v>44407.5</v>
      </c>
      <c r="T57" s="371">
        <f t="shared" si="5"/>
        <v>46460.5</v>
      </c>
      <c r="U57" s="372">
        <v>68.5</v>
      </c>
      <c r="V57" s="373">
        <f>N98-T57</f>
        <v>59.5</v>
      </c>
      <c r="W57" s="374">
        <f t="shared" si="6"/>
        <v>46520</v>
      </c>
    </row>
    <row r="58" spans="1:23" ht="21">
      <c r="A58" s="1131"/>
      <c r="B58" s="390">
        <f t="shared" si="0"/>
        <v>2025</v>
      </c>
      <c r="C58" s="379">
        <v>46001</v>
      </c>
      <c r="D58" s="405">
        <f>C58+1</f>
        <v>46002</v>
      </c>
      <c r="E58" s="406" t="s">
        <v>672</v>
      </c>
      <c r="F58" s="393">
        <f t="shared" ca="1" si="1"/>
        <v>41.857142857142854</v>
      </c>
      <c r="G58" s="393">
        <v>70</v>
      </c>
      <c r="H58" s="390" t="s">
        <v>595</v>
      </c>
      <c r="I58" s="569">
        <v>1</v>
      </c>
      <c r="J58" s="393">
        <v>46500</v>
      </c>
      <c r="K58" s="393">
        <f t="shared" si="24"/>
        <v>6045</v>
      </c>
      <c r="L58" s="393">
        <f>C78-N58</f>
        <v>52</v>
      </c>
      <c r="M58" s="396" t="s">
        <v>285</v>
      </c>
      <c r="N58" s="374">
        <f>C58+21*7</f>
        <v>46148</v>
      </c>
      <c r="O58" s="367">
        <f t="shared" si="21"/>
        <v>46170</v>
      </c>
      <c r="P58" s="368" t="s">
        <v>673</v>
      </c>
      <c r="Q58" s="368">
        <v>72</v>
      </c>
      <c r="R58" s="383" t="s">
        <v>587</v>
      </c>
      <c r="S58" s="370">
        <f t="shared" ref="S58:S63" si="26">J58*96%</f>
        <v>44640</v>
      </c>
      <c r="T58" s="371">
        <f t="shared" si="5"/>
        <v>46467.5</v>
      </c>
      <c r="U58" s="372">
        <v>66.5</v>
      </c>
      <c r="V58" s="373">
        <f>N99-T58</f>
        <v>72.5</v>
      </c>
      <c r="W58" s="374">
        <f t="shared" si="6"/>
        <v>46540</v>
      </c>
    </row>
    <row r="59" spans="1:23" ht="21">
      <c r="A59" s="1131"/>
      <c r="B59" s="390">
        <f t="shared" si="0"/>
        <v>2025</v>
      </c>
      <c r="C59" s="404">
        <v>46002</v>
      </c>
      <c r="D59" s="405">
        <f>C59</f>
        <v>46002</v>
      </c>
      <c r="E59" s="406" t="s">
        <v>672</v>
      </c>
      <c r="F59" s="393">
        <f t="shared" ca="1" si="1"/>
        <v>41.714285714285715</v>
      </c>
      <c r="G59" s="393">
        <v>70</v>
      </c>
      <c r="H59" s="390" t="s">
        <v>595</v>
      </c>
      <c r="I59" s="569">
        <v>1</v>
      </c>
      <c r="J59" s="393">
        <v>18000</v>
      </c>
      <c r="K59" s="393">
        <f t="shared" si="24"/>
        <v>2340</v>
      </c>
      <c r="L59" s="393">
        <f>C78-N59</f>
        <v>51</v>
      </c>
      <c r="M59" s="396" t="s">
        <v>285</v>
      </c>
      <c r="N59" s="374">
        <f t="shared" ref="N59:N100" si="27">C59+21*7</f>
        <v>46149</v>
      </c>
      <c r="O59" s="367">
        <f t="shared" si="21"/>
        <v>46170</v>
      </c>
      <c r="P59" s="368" t="s">
        <v>674</v>
      </c>
      <c r="Q59" s="368">
        <v>70</v>
      </c>
      <c r="R59" s="383" t="s">
        <v>589</v>
      </c>
      <c r="S59" s="370">
        <f t="shared" si="26"/>
        <v>17280</v>
      </c>
      <c r="T59" s="371">
        <f t="shared" si="5"/>
        <v>46474.5</v>
      </c>
      <c r="U59" s="372">
        <v>67.5</v>
      </c>
      <c r="V59" s="373">
        <f>N100-T59</f>
        <v>72.5</v>
      </c>
      <c r="W59" s="374">
        <f t="shared" si="6"/>
        <v>46547</v>
      </c>
    </row>
    <row r="60" spans="1:23" ht="21">
      <c r="A60" s="1131"/>
      <c r="B60" s="390">
        <f t="shared" si="0"/>
        <v>2025</v>
      </c>
      <c r="C60" s="404">
        <v>46018</v>
      </c>
      <c r="D60" s="405">
        <f>C60-2</f>
        <v>46016</v>
      </c>
      <c r="E60" s="406" t="s">
        <v>675</v>
      </c>
      <c r="F60" s="393">
        <f t="shared" ca="1" si="1"/>
        <v>39.428571428571431</v>
      </c>
      <c r="G60" s="393">
        <v>70</v>
      </c>
      <c r="H60" s="571" t="s">
        <v>599</v>
      </c>
      <c r="I60" s="569">
        <v>2</v>
      </c>
      <c r="J60" s="393">
        <v>32500</v>
      </c>
      <c r="K60" s="393">
        <f t="shared" si="24"/>
        <v>4225</v>
      </c>
      <c r="L60" s="393">
        <f>C80-N60</f>
        <v>42</v>
      </c>
      <c r="M60" s="396" t="s">
        <v>285</v>
      </c>
      <c r="N60" s="374">
        <f t="shared" si="27"/>
        <v>46165</v>
      </c>
      <c r="O60" s="367">
        <f t="shared" si="21"/>
        <v>46184</v>
      </c>
      <c r="P60" s="368" t="s">
        <v>674</v>
      </c>
      <c r="Q60" s="368">
        <v>70</v>
      </c>
      <c r="R60" s="383" t="s">
        <v>589</v>
      </c>
      <c r="S60" s="370">
        <f t="shared" si="26"/>
        <v>31200</v>
      </c>
      <c r="T60" s="371">
        <f t="shared" si="5"/>
        <v>46474.5</v>
      </c>
      <c r="U60" s="372">
        <v>65.5</v>
      </c>
      <c r="V60" s="373">
        <f>N100-T60</f>
        <v>72.5</v>
      </c>
      <c r="W60" s="374">
        <f t="shared" si="6"/>
        <v>46547</v>
      </c>
    </row>
    <row r="61" spans="1:23" ht="21">
      <c r="A61" s="1131"/>
      <c r="B61" s="390">
        <f t="shared" si="0"/>
        <v>2026</v>
      </c>
      <c r="C61" s="404">
        <v>46025</v>
      </c>
      <c r="D61" s="405">
        <f>C61-2</f>
        <v>46023</v>
      </c>
      <c r="E61" s="406" t="s">
        <v>675</v>
      </c>
      <c r="F61" s="393">
        <f t="shared" ca="1" si="1"/>
        <v>38.428571428571431</v>
      </c>
      <c r="G61" s="393">
        <v>70</v>
      </c>
      <c r="H61" s="571" t="s">
        <v>599</v>
      </c>
      <c r="I61" s="569">
        <v>2</v>
      </c>
      <c r="J61" s="393">
        <v>32000</v>
      </c>
      <c r="K61" s="393">
        <f t="shared" si="24"/>
        <v>4160</v>
      </c>
      <c r="L61" s="393">
        <f>C80-N61</f>
        <v>35</v>
      </c>
      <c r="M61" s="396" t="s">
        <v>285</v>
      </c>
      <c r="N61" s="374">
        <f t="shared" si="27"/>
        <v>46172</v>
      </c>
      <c r="O61" s="367">
        <f t="shared" si="21"/>
        <v>46191</v>
      </c>
      <c r="P61" s="368" t="s">
        <v>676</v>
      </c>
      <c r="Q61" s="368">
        <v>72</v>
      </c>
      <c r="R61" s="383" t="s">
        <v>597</v>
      </c>
      <c r="S61" s="370">
        <f t="shared" si="26"/>
        <v>30720</v>
      </c>
      <c r="T61" s="371">
        <f t="shared" si="5"/>
        <v>46488.5</v>
      </c>
      <c r="U61" s="372">
        <v>66.5</v>
      </c>
      <c r="V61" s="373">
        <f>N102-T61</f>
        <v>64.5</v>
      </c>
      <c r="W61" s="374">
        <f t="shared" si="6"/>
        <v>46553</v>
      </c>
    </row>
    <row r="62" spans="1:23" ht="21">
      <c r="A62" s="1131"/>
      <c r="B62" s="390">
        <f t="shared" si="0"/>
        <v>2026</v>
      </c>
      <c r="C62" s="404">
        <v>46028</v>
      </c>
      <c r="D62" s="405">
        <f>C62+2</f>
        <v>46030</v>
      </c>
      <c r="E62" s="406" t="s">
        <v>677</v>
      </c>
      <c r="F62" s="393">
        <f t="shared" ca="1" si="1"/>
        <v>38</v>
      </c>
      <c r="G62" s="393">
        <v>70</v>
      </c>
      <c r="H62" s="390" t="s">
        <v>547</v>
      </c>
      <c r="I62" s="569">
        <v>1</v>
      </c>
      <c r="J62" s="393">
        <v>15000</v>
      </c>
      <c r="K62" s="393">
        <f t="shared" si="24"/>
        <v>1950</v>
      </c>
      <c r="L62" s="393">
        <f>C82-N62</f>
        <v>39</v>
      </c>
      <c r="M62" s="396" t="s">
        <v>285</v>
      </c>
      <c r="N62" s="374">
        <f t="shared" si="27"/>
        <v>46175</v>
      </c>
      <c r="O62" s="367">
        <f t="shared" si="21"/>
        <v>46198</v>
      </c>
      <c r="P62" s="368" t="s">
        <v>676</v>
      </c>
      <c r="Q62" s="368">
        <v>72</v>
      </c>
      <c r="R62" s="383" t="s">
        <v>597</v>
      </c>
      <c r="S62" s="370">
        <f t="shared" si="26"/>
        <v>14400</v>
      </c>
      <c r="T62" s="371">
        <f t="shared" si="5"/>
        <v>46488.5</v>
      </c>
      <c r="U62" s="372">
        <v>65.5</v>
      </c>
      <c r="V62" s="373">
        <f>N102-T62</f>
        <v>64.5</v>
      </c>
      <c r="W62" s="374">
        <f t="shared" si="6"/>
        <v>46553</v>
      </c>
    </row>
    <row r="63" spans="1:23" ht="21">
      <c r="A63" s="1131"/>
      <c r="B63" s="390">
        <f t="shared" si="0"/>
        <v>2026</v>
      </c>
      <c r="C63" s="379">
        <v>46031</v>
      </c>
      <c r="D63" s="405">
        <f>C63-1</f>
        <v>46030</v>
      </c>
      <c r="E63" s="406" t="s">
        <v>678</v>
      </c>
      <c r="F63" s="393">
        <f t="shared" ca="1" si="1"/>
        <v>37.571428571428569</v>
      </c>
      <c r="G63" s="393">
        <v>70</v>
      </c>
      <c r="H63" s="390" t="s">
        <v>547</v>
      </c>
      <c r="I63" s="569">
        <v>1</v>
      </c>
      <c r="J63" s="393">
        <v>50500</v>
      </c>
      <c r="K63" s="393">
        <f>J63*13%</f>
        <v>6565</v>
      </c>
      <c r="L63" s="393">
        <f>C82-N63</f>
        <v>36</v>
      </c>
      <c r="M63" s="564" t="s">
        <v>561</v>
      </c>
      <c r="N63" s="374">
        <f t="shared" si="27"/>
        <v>46178</v>
      </c>
      <c r="O63" s="367">
        <f t="shared" si="21"/>
        <v>46198</v>
      </c>
      <c r="P63" s="368" t="s">
        <v>679</v>
      </c>
      <c r="Q63" s="368">
        <v>106</v>
      </c>
      <c r="R63" s="383" t="s">
        <v>601</v>
      </c>
      <c r="S63" s="370">
        <f t="shared" si="26"/>
        <v>48480</v>
      </c>
      <c r="T63" s="371">
        <f t="shared" si="5"/>
        <v>46502.5</v>
      </c>
      <c r="U63" s="372">
        <v>67.5</v>
      </c>
      <c r="V63" s="373">
        <f t="shared" ref="V63:V69" si="28">N104-T63</f>
        <v>67.5</v>
      </c>
      <c r="W63" s="374">
        <f t="shared" si="6"/>
        <v>46570</v>
      </c>
    </row>
    <row r="64" spans="1:23" ht="21">
      <c r="A64" s="1131"/>
      <c r="B64" s="399">
        <f t="shared" si="0"/>
        <v>2026</v>
      </c>
      <c r="C64" s="400">
        <v>46065</v>
      </c>
      <c r="D64" s="401">
        <f>C64</f>
        <v>46065</v>
      </c>
      <c r="E64" s="402" t="s">
        <v>680</v>
      </c>
      <c r="F64" s="403">
        <f t="shared" ca="1" si="1"/>
        <v>32.714285714285715</v>
      </c>
      <c r="G64" s="403">
        <v>70</v>
      </c>
      <c r="H64" s="559" t="s">
        <v>554</v>
      </c>
      <c r="I64" s="567">
        <v>2</v>
      </c>
      <c r="J64" s="403">
        <v>46500</v>
      </c>
      <c r="K64" s="403">
        <f>J64*14%</f>
        <v>6510.0000000000009</v>
      </c>
      <c r="L64" s="403">
        <f>C84-N64</f>
        <v>47</v>
      </c>
      <c r="M64" s="396" t="s">
        <v>285</v>
      </c>
      <c r="N64" s="374">
        <f t="shared" si="27"/>
        <v>46212</v>
      </c>
      <c r="O64" s="367">
        <f t="shared" si="21"/>
        <v>46233</v>
      </c>
      <c r="P64" s="368" t="s">
        <v>681</v>
      </c>
      <c r="Q64" s="368">
        <v>70</v>
      </c>
      <c r="R64" s="369" t="s">
        <v>612</v>
      </c>
      <c r="S64" s="370">
        <f t="shared" ref="S64:S65" si="29">J64*95.5%</f>
        <v>44407.5</v>
      </c>
      <c r="T64" s="371">
        <f t="shared" si="5"/>
        <v>46523.5</v>
      </c>
      <c r="U64" s="372">
        <v>65.5</v>
      </c>
      <c r="V64" s="373">
        <f t="shared" si="28"/>
        <v>57.5</v>
      </c>
      <c r="W64" s="374">
        <f>+T64+V64</f>
        <v>46581</v>
      </c>
    </row>
    <row r="65" spans="1:23" ht="20.25" customHeight="1">
      <c r="A65" s="1131"/>
      <c r="B65" s="399">
        <f t="shared" si="0"/>
        <v>2026</v>
      </c>
      <c r="C65" s="400">
        <v>46066</v>
      </c>
      <c r="D65" s="401">
        <f>C65-1</f>
        <v>46065</v>
      </c>
      <c r="E65" s="402" t="s">
        <v>680</v>
      </c>
      <c r="F65" s="403">
        <f t="shared" ca="1" si="1"/>
        <v>32.571428571428569</v>
      </c>
      <c r="G65" s="403">
        <v>70</v>
      </c>
      <c r="H65" s="559" t="s">
        <v>554</v>
      </c>
      <c r="I65" s="567">
        <v>2</v>
      </c>
      <c r="J65" s="403">
        <v>20500</v>
      </c>
      <c r="K65" s="403">
        <f>J65*14%</f>
        <v>2870.0000000000005</v>
      </c>
      <c r="L65" s="403">
        <f>C84-N65</f>
        <v>46</v>
      </c>
      <c r="M65" s="396" t="s">
        <v>285</v>
      </c>
      <c r="N65" s="374">
        <f t="shared" si="27"/>
        <v>46213</v>
      </c>
      <c r="O65" s="367">
        <f t="shared" si="21"/>
        <v>46233</v>
      </c>
      <c r="P65" s="368" t="s">
        <v>682</v>
      </c>
      <c r="Q65" s="368">
        <v>72</v>
      </c>
      <c r="R65" s="395" t="s">
        <v>622</v>
      </c>
      <c r="S65" s="370">
        <f t="shared" si="29"/>
        <v>19577.5</v>
      </c>
      <c r="T65" s="371">
        <f t="shared" si="5"/>
        <v>46527</v>
      </c>
      <c r="U65" s="372">
        <v>66</v>
      </c>
      <c r="V65" s="373">
        <f>N106-T65</f>
        <v>56</v>
      </c>
      <c r="W65" s="374">
        <f>+T65+V65</f>
        <v>46583</v>
      </c>
    </row>
    <row r="66" spans="1:23" ht="21">
      <c r="A66" s="1131"/>
      <c r="B66" s="390">
        <f t="shared" si="0"/>
        <v>2026</v>
      </c>
      <c r="C66" s="404">
        <v>46077</v>
      </c>
      <c r="D66" s="405">
        <f>C66+2</f>
        <v>46079</v>
      </c>
      <c r="E66" s="406" t="s">
        <v>683</v>
      </c>
      <c r="F66" s="393">
        <f t="shared" ca="1" si="1"/>
        <v>31</v>
      </c>
      <c r="G66" s="393">
        <v>70</v>
      </c>
      <c r="H66" s="392" t="s">
        <v>565</v>
      </c>
      <c r="I66" s="569">
        <v>1</v>
      </c>
      <c r="J66" s="393">
        <v>46500</v>
      </c>
      <c r="K66" s="393">
        <f t="shared" si="24"/>
        <v>6045</v>
      </c>
      <c r="L66" s="393">
        <f>C86-N66</f>
        <v>42</v>
      </c>
      <c r="M66" s="564" t="s">
        <v>561</v>
      </c>
      <c r="N66" s="374">
        <f t="shared" si="27"/>
        <v>46224</v>
      </c>
      <c r="O66" s="367">
        <f>D66+24*7</f>
        <v>46247</v>
      </c>
      <c r="P66" s="368" t="s">
        <v>684</v>
      </c>
      <c r="Q66" s="368">
        <v>72</v>
      </c>
      <c r="R66" s="369" t="s">
        <v>608</v>
      </c>
      <c r="S66" s="370">
        <f t="shared" ref="S66:S77" si="30">J66*96%</f>
        <v>44640</v>
      </c>
      <c r="T66" s="371">
        <f t="shared" si="5"/>
        <v>46541</v>
      </c>
      <c r="U66" s="372">
        <v>66</v>
      </c>
      <c r="V66" s="373">
        <f t="shared" si="28"/>
        <v>61</v>
      </c>
      <c r="W66" s="374">
        <f t="shared" ref="W66:W104" si="31">+T66+V66</f>
        <v>46602</v>
      </c>
    </row>
    <row r="67" spans="1:23" ht="17.25" customHeight="1">
      <c r="A67" s="1131"/>
      <c r="B67" s="390">
        <f t="shared" si="0"/>
        <v>2026</v>
      </c>
      <c r="C67" s="404">
        <v>46078</v>
      </c>
      <c r="D67" s="405">
        <f>C67+1</f>
        <v>46079</v>
      </c>
      <c r="E67" s="406" t="s">
        <v>683</v>
      </c>
      <c r="F67" s="393">
        <f t="shared" ca="1" si="1"/>
        <v>30.857142857142858</v>
      </c>
      <c r="G67" s="393">
        <v>70</v>
      </c>
      <c r="H67" s="392" t="s">
        <v>565</v>
      </c>
      <c r="I67" s="569">
        <v>1</v>
      </c>
      <c r="J67" s="393">
        <v>20500</v>
      </c>
      <c r="K67" s="393">
        <f t="shared" si="24"/>
        <v>2665</v>
      </c>
      <c r="L67" s="393">
        <f>C86-N67</f>
        <v>41</v>
      </c>
      <c r="M67" s="564" t="s">
        <v>561</v>
      </c>
      <c r="N67" s="374">
        <f t="shared" si="27"/>
        <v>46225</v>
      </c>
      <c r="O67" s="367">
        <f t="shared" ref="O67:O68" si="32">D67+24*7</f>
        <v>46247</v>
      </c>
      <c r="P67" s="368" t="s">
        <v>685</v>
      </c>
      <c r="Q67" s="368">
        <v>72</v>
      </c>
      <c r="R67" s="395" t="s">
        <v>615</v>
      </c>
      <c r="S67" s="370">
        <f t="shared" si="30"/>
        <v>19680</v>
      </c>
      <c r="T67" s="371">
        <f t="shared" si="5"/>
        <v>46544.5</v>
      </c>
      <c r="U67" s="372">
        <v>66.5</v>
      </c>
      <c r="V67" s="373">
        <f t="shared" si="28"/>
        <v>59.5</v>
      </c>
      <c r="W67" s="374">
        <f t="shared" si="31"/>
        <v>46604</v>
      </c>
    </row>
    <row r="68" spans="1:23" ht="21">
      <c r="A68" s="1131"/>
      <c r="B68" s="1196">
        <f t="shared" ref="B68:B134" si="33">+YEAR(C68)</f>
        <v>2026</v>
      </c>
      <c r="C68" s="1197">
        <v>46126</v>
      </c>
      <c r="D68" s="1198">
        <f>C68+2</f>
        <v>46128</v>
      </c>
      <c r="E68" s="1199" t="s">
        <v>686</v>
      </c>
      <c r="F68" s="1200">
        <f t="shared" ca="1" si="1"/>
        <v>24</v>
      </c>
      <c r="G68" s="1200">
        <v>70</v>
      </c>
      <c r="H68" s="1201" t="s">
        <v>572</v>
      </c>
      <c r="I68" s="1202">
        <v>1</v>
      </c>
      <c r="J68" s="1200">
        <v>46500</v>
      </c>
      <c r="K68" s="1200">
        <f t="shared" si="24"/>
        <v>6045</v>
      </c>
      <c r="L68" s="1200">
        <f>C88-N68</f>
        <v>21</v>
      </c>
      <c r="M68" s="1203" t="s">
        <v>285</v>
      </c>
      <c r="N68" s="1197">
        <f t="shared" si="27"/>
        <v>46273</v>
      </c>
      <c r="O68" s="1198">
        <f t="shared" si="32"/>
        <v>46296</v>
      </c>
      <c r="P68" s="1201" t="s">
        <v>687</v>
      </c>
      <c r="Q68" s="1201">
        <v>72</v>
      </c>
      <c r="R68" s="1204" t="s">
        <v>617</v>
      </c>
      <c r="S68" s="1200">
        <f t="shared" si="30"/>
        <v>44640</v>
      </c>
      <c r="T68" s="1205">
        <f t="shared" si="5"/>
        <v>46590</v>
      </c>
      <c r="U68" s="1206">
        <v>66</v>
      </c>
      <c r="V68" s="1199">
        <f t="shared" si="28"/>
        <v>47</v>
      </c>
      <c r="W68" s="1197">
        <f t="shared" si="31"/>
        <v>46637</v>
      </c>
    </row>
    <row r="69" spans="1:23" ht="16.5" customHeight="1">
      <c r="A69" s="1131"/>
      <c r="B69" s="399">
        <f t="shared" si="33"/>
        <v>2026</v>
      </c>
      <c r="C69" s="400">
        <v>46128</v>
      </c>
      <c r="D69" s="401">
        <f>C69</f>
        <v>46128</v>
      </c>
      <c r="E69" s="402" t="s">
        <v>686</v>
      </c>
      <c r="F69" s="403">
        <f t="shared" ref="F69:F136" ca="1" si="34">(TODAY()-C69)/7</f>
        <v>23.714285714285715</v>
      </c>
      <c r="G69" s="403">
        <v>70</v>
      </c>
      <c r="H69" s="559" t="s">
        <v>572</v>
      </c>
      <c r="I69" s="567">
        <v>1</v>
      </c>
      <c r="J69" s="403">
        <v>20000</v>
      </c>
      <c r="K69" s="403">
        <f>J69*13%</f>
        <v>2600</v>
      </c>
      <c r="L69" s="403">
        <f>C88-N69</f>
        <v>19</v>
      </c>
      <c r="M69" s="396" t="s">
        <v>285</v>
      </c>
      <c r="N69" s="374">
        <f t="shared" si="27"/>
        <v>46275</v>
      </c>
      <c r="O69" s="367">
        <f>D69+24*7</f>
        <v>46296</v>
      </c>
      <c r="P69" s="368" t="s">
        <v>688</v>
      </c>
      <c r="Q69" s="368">
        <v>72</v>
      </c>
      <c r="R69" s="369" t="s">
        <v>620</v>
      </c>
      <c r="S69" s="370">
        <f t="shared" si="30"/>
        <v>19200</v>
      </c>
      <c r="T69" s="371">
        <f t="shared" si="5"/>
        <v>46590</v>
      </c>
      <c r="U69" s="372">
        <v>66</v>
      </c>
      <c r="V69" s="373">
        <f t="shared" si="28"/>
        <v>49</v>
      </c>
      <c r="W69" s="374">
        <f t="shared" si="31"/>
        <v>46639</v>
      </c>
    </row>
    <row r="70" spans="1:23" ht="21">
      <c r="A70" s="1131"/>
      <c r="B70" s="399">
        <f t="shared" si="33"/>
        <v>2026</v>
      </c>
      <c r="C70" s="400">
        <v>46137</v>
      </c>
      <c r="D70" s="401">
        <f>C70-2</f>
        <v>46135</v>
      </c>
      <c r="E70" s="402" t="s">
        <v>689</v>
      </c>
      <c r="F70" s="403">
        <f t="shared" ca="1" si="34"/>
        <v>22.428571428571427</v>
      </c>
      <c r="G70" s="403">
        <v>70</v>
      </c>
      <c r="H70" s="559" t="s">
        <v>576</v>
      </c>
      <c r="I70" s="567">
        <v>1</v>
      </c>
      <c r="J70" s="403">
        <v>26500</v>
      </c>
      <c r="K70" s="403">
        <f t="shared" ref="K70:K72" si="35">J70*13%</f>
        <v>3445</v>
      </c>
      <c r="L70" s="403">
        <f>C90-N70</f>
        <v>31</v>
      </c>
      <c r="M70" s="396" t="s">
        <v>285</v>
      </c>
      <c r="N70" s="374">
        <f t="shared" si="27"/>
        <v>46284</v>
      </c>
      <c r="O70" s="367">
        <f>D70+24*7</f>
        <v>46303</v>
      </c>
      <c r="P70" s="368" t="s">
        <v>688</v>
      </c>
      <c r="Q70" s="368">
        <v>72</v>
      </c>
      <c r="R70" s="369" t="s">
        <v>620</v>
      </c>
      <c r="S70" s="370">
        <f t="shared" si="30"/>
        <v>25440</v>
      </c>
      <c r="T70" s="371">
        <f t="shared" si="5"/>
        <v>46591.4</v>
      </c>
      <c r="U70" s="372">
        <v>65.2</v>
      </c>
      <c r="V70" s="373">
        <f>N110-T70</f>
        <v>47.599999999998545</v>
      </c>
      <c r="W70" s="374">
        <f t="shared" si="31"/>
        <v>46639</v>
      </c>
    </row>
    <row r="71" spans="1:23" ht="21">
      <c r="A71" s="1131"/>
      <c r="B71" s="399">
        <f t="shared" si="33"/>
        <v>2026</v>
      </c>
      <c r="C71" s="400">
        <v>46142</v>
      </c>
      <c r="D71" s="401">
        <f>C71</f>
        <v>46142</v>
      </c>
      <c r="E71" s="402" t="s">
        <v>689</v>
      </c>
      <c r="F71" s="403">
        <f t="shared" ca="1" si="34"/>
        <v>21.714285714285715</v>
      </c>
      <c r="G71" s="403">
        <v>70</v>
      </c>
      <c r="H71" s="559" t="s">
        <v>576</v>
      </c>
      <c r="I71" s="567">
        <v>1</v>
      </c>
      <c r="J71" s="403">
        <v>50000</v>
      </c>
      <c r="K71" s="403">
        <f t="shared" si="35"/>
        <v>6500</v>
      </c>
      <c r="L71" s="403">
        <f>C90-N71</f>
        <v>26</v>
      </c>
      <c r="M71" s="396" t="s">
        <v>285</v>
      </c>
      <c r="N71" s="374">
        <f t="shared" si="27"/>
        <v>46289</v>
      </c>
      <c r="O71" s="367">
        <f>D71+24*7</f>
        <v>46310</v>
      </c>
      <c r="P71" s="368" t="s">
        <v>690</v>
      </c>
      <c r="Q71" s="368">
        <v>94</v>
      </c>
      <c r="R71" s="369" t="s">
        <v>625</v>
      </c>
      <c r="S71" s="370">
        <f t="shared" si="30"/>
        <v>48000</v>
      </c>
      <c r="T71" s="371">
        <f t="shared" ref="T71:T135" si="36">D71+(U71*7)</f>
        <v>46604</v>
      </c>
      <c r="U71" s="372">
        <v>66</v>
      </c>
      <c r="V71" s="373">
        <f>N112-T71</f>
        <v>44</v>
      </c>
      <c r="W71" s="374">
        <f t="shared" si="31"/>
        <v>46648</v>
      </c>
    </row>
    <row r="72" spans="1:23" ht="21">
      <c r="A72" s="1131"/>
      <c r="B72" s="399">
        <f t="shared" si="33"/>
        <v>2026</v>
      </c>
      <c r="C72" s="400">
        <v>46144</v>
      </c>
      <c r="D72" s="401">
        <f>C72-2</f>
        <v>46142</v>
      </c>
      <c r="E72" s="402" t="s">
        <v>689</v>
      </c>
      <c r="F72" s="403">
        <f t="shared" ca="1" si="34"/>
        <v>21.428571428571427</v>
      </c>
      <c r="G72" s="403">
        <v>70</v>
      </c>
      <c r="H72" s="559" t="s">
        <v>576</v>
      </c>
      <c r="I72" s="567">
        <v>1</v>
      </c>
      <c r="J72" s="403">
        <v>46500</v>
      </c>
      <c r="K72" s="403">
        <f t="shared" si="35"/>
        <v>6045</v>
      </c>
      <c r="L72" s="403">
        <f>C90-N72</f>
        <v>24</v>
      </c>
      <c r="M72" s="396" t="s">
        <v>285</v>
      </c>
      <c r="N72" s="379">
        <f t="shared" si="27"/>
        <v>46291</v>
      </c>
      <c r="O72" s="367">
        <f t="shared" ref="O72:O81" si="37">D72+24*7</f>
        <v>46310</v>
      </c>
      <c r="P72" s="368" t="s">
        <v>691</v>
      </c>
      <c r="Q72" s="368">
        <v>104</v>
      </c>
      <c r="R72" s="380" t="s">
        <v>627</v>
      </c>
      <c r="S72" s="370">
        <f t="shared" si="30"/>
        <v>44640</v>
      </c>
      <c r="T72" s="371">
        <f t="shared" si="36"/>
        <v>46604</v>
      </c>
      <c r="U72" s="372">
        <v>66</v>
      </c>
      <c r="V72" s="373">
        <f>N113-T72</f>
        <v>47</v>
      </c>
      <c r="W72" s="374">
        <f t="shared" si="31"/>
        <v>46651</v>
      </c>
    </row>
    <row r="73" spans="1:23" ht="16.5" customHeight="1">
      <c r="A73" s="1131"/>
      <c r="B73" s="390">
        <f t="shared" si="33"/>
        <v>2026</v>
      </c>
      <c r="C73" s="404">
        <v>46158</v>
      </c>
      <c r="D73" s="405">
        <f>C73-2</f>
        <v>46156</v>
      </c>
      <c r="E73" s="406" t="s">
        <v>692</v>
      </c>
      <c r="F73" s="393">
        <f t="shared" ca="1" si="34"/>
        <v>19.428571428571427</v>
      </c>
      <c r="G73" s="393">
        <v>70</v>
      </c>
      <c r="H73" s="390" t="s">
        <v>591</v>
      </c>
      <c r="I73" s="569">
        <v>1</v>
      </c>
      <c r="J73" s="393">
        <v>19800</v>
      </c>
      <c r="K73" s="393">
        <f>J73*13%</f>
        <v>2574</v>
      </c>
      <c r="L73" s="393">
        <f>C95-N73</f>
        <v>38</v>
      </c>
      <c r="M73" s="572" t="s">
        <v>522</v>
      </c>
      <c r="N73" s="374">
        <f t="shared" si="27"/>
        <v>46305</v>
      </c>
      <c r="O73" s="367">
        <f t="shared" si="37"/>
        <v>46324</v>
      </c>
      <c r="P73" s="368" t="s">
        <v>693</v>
      </c>
      <c r="Q73" s="368">
        <v>72</v>
      </c>
      <c r="R73" s="389" t="s">
        <v>632</v>
      </c>
      <c r="S73" s="370">
        <f t="shared" si="30"/>
        <v>19008</v>
      </c>
      <c r="T73" s="371">
        <f t="shared" si="36"/>
        <v>46625</v>
      </c>
      <c r="U73" s="372">
        <v>67</v>
      </c>
      <c r="V73" s="373">
        <f>N111-T73</f>
        <v>21</v>
      </c>
      <c r="W73" s="374">
        <f t="shared" si="31"/>
        <v>46646</v>
      </c>
    </row>
    <row r="74" spans="1:23" ht="17.25" customHeight="1">
      <c r="A74" s="1131"/>
      <c r="B74" s="390">
        <f t="shared" si="33"/>
        <v>2026</v>
      </c>
      <c r="C74" s="404">
        <v>46161</v>
      </c>
      <c r="D74" s="405">
        <f>C74+2</f>
        <v>46163</v>
      </c>
      <c r="E74" s="406" t="s">
        <v>692</v>
      </c>
      <c r="F74" s="393">
        <f t="shared" ca="1" si="34"/>
        <v>19</v>
      </c>
      <c r="G74" s="393">
        <v>70</v>
      </c>
      <c r="H74" s="390" t="s">
        <v>591</v>
      </c>
      <c r="I74" s="569">
        <v>1</v>
      </c>
      <c r="J74" s="393">
        <v>41200</v>
      </c>
      <c r="K74" s="393">
        <f>J74*13%</f>
        <v>5356</v>
      </c>
      <c r="L74" s="393">
        <f>C95-N74</f>
        <v>35</v>
      </c>
      <c r="M74" s="572" t="s">
        <v>522</v>
      </c>
      <c r="N74" s="374">
        <f t="shared" si="27"/>
        <v>46308</v>
      </c>
      <c r="O74" s="367">
        <f t="shared" si="37"/>
        <v>46331</v>
      </c>
      <c r="P74" s="368" t="s">
        <v>693</v>
      </c>
      <c r="Q74" s="368">
        <v>72</v>
      </c>
      <c r="R74" s="389" t="s">
        <v>632</v>
      </c>
      <c r="S74" s="370">
        <f t="shared" si="30"/>
        <v>39552</v>
      </c>
      <c r="T74" s="371">
        <f t="shared" si="36"/>
        <v>46625</v>
      </c>
      <c r="U74" s="372">
        <v>66</v>
      </c>
      <c r="V74" s="373">
        <f>N111-T74</f>
        <v>21</v>
      </c>
      <c r="W74" s="374">
        <f t="shared" si="31"/>
        <v>46646</v>
      </c>
    </row>
    <row r="75" spans="1:23" ht="21">
      <c r="A75" s="1131"/>
      <c r="B75" s="390">
        <f t="shared" si="33"/>
        <v>2026</v>
      </c>
      <c r="C75" s="404">
        <v>46164</v>
      </c>
      <c r="D75" s="405">
        <f>C75-1</f>
        <v>46163</v>
      </c>
      <c r="E75" s="406" t="s">
        <v>694</v>
      </c>
      <c r="F75" s="393">
        <f t="shared" ca="1" si="34"/>
        <v>18.571428571428573</v>
      </c>
      <c r="G75" s="393">
        <v>70</v>
      </c>
      <c r="H75" s="390" t="s">
        <v>591</v>
      </c>
      <c r="I75" s="569">
        <v>1</v>
      </c>
      <c r="J75" s="393">
        <v>7500</v>
      </c>
      <c r="K75" s="393">
        <f t="shared" ref="K75" si="38">J75*13%</f>
        <v>975</v>
      </c>
      <c r="L75" s="393">
        <f>C95-N75</f>
        <v>32</v>
      </c>
      <c r="M75" s="396" t="s">
        <v>285</v>
      </c>
      <c r="N75" s="374">
        <f t="shared" si="27"/>
        <v>46311</v>
      </c>
      <c r="O75" s="367">
        <f t="shared" si="37"/>
        <v>46331</v>
      </c>
      <c r="P75" s="368" t="s">
        <v>695</v>
      </c>
      <c r="Q75" s="368">
        <v>94</v>
      </c>
      <c r="R75" s="388" t="s">
        <v>629</v>
      </c>
      <c r="S75" s="370">
        <f t="shared" si="30"/>
        <v>7200</v>
      </c>
      <c r="T75" s="371">
        <f t="shared" si="36"/>
        <v>46621.5</v>
      </c>
      <c r="U75" s="372">
        <v>65.5</v>
      </c>
      <c r="V75" s="373">
        <f>N111-T75</f>
        <v>24.5</v>
      </c>
      <c r="W75" s="374">
        <f t="shared" si="31"/>
        <v>46646</v>
      </c>
    </row>
    <row r="76" spans="1:23" ht="18.75" customHeight="1">
      <c r="A76" s="1131"/>
      <c r="B76" s="390">
        <f t="shared" si="33"/>
        <v>2026</v>
      </c>
      <c r="C76" s="404">
        <v>46161</v>
      </c>
      <c r="D76" s="405">
        <f>C76+2</f>
        <v>46163</v>
      </c>
      <c r="E76" s="406" t="s">
        <v>696</v>
      </c>
      <c r="F76" s="393">
        <f t="shared" ca="1" si="34"/>
        <v>19</v>
      </c>
      <c r="G76" s="393">
        <v>70</v>
      </c>
      <c r="H76" s="392" t="s">
        <v>585</v>
      </c>
      <c r="I76" s="569">
        <v>1</v>
      </c>
      <c r="J76" s="393">
        <f>29000-7500</f>
        <v>21500</v>
      </c>
      <c r="K76" s="393">
        <f t="shared" si="24"/>
        <v>2795</v>
      </c>
      <c r="L76" s="393">
        <f>C93-N76</f>
        <v>28</v>
      </c>
      <c r="M76" s="396" t="s">
        <v>285</v>
      </c>
      <c r="N76" s="374">
        <f t="shared" si="27"/>
        <v>46308</v>
      </c>
      <c r="O76" s="367">
        <f t="shared" si="37"/>
        <v>46331</v>
      </c>
      <c r="P76" s="368" t="s">
        <v>695</v>
      </c>
      <c r="Q76" s="368">
        <v>70</v>
      </c>
      <c r="R76" s="388" t="s">
        <v>629</v>
      </c>
      <c r="S76" s="370">
        <f t="shared" si="30"/>
        <v>20640</v>
      </c>
      <c r="T76" s="371">
        <f t="shared" si="36"/>
        <v>46625</v>
      </c>
      <c r="U76" s="372">
        <v>66</v>
      </c>
      <c r="V76" s="373">
        <f>N115-T76</f>
        <v>49</v>
      </c>
      <c r="W76" s="374">
        <f t="shared" si="31"/>
        <v>46674</v>
      </c>
    </row>
    <row r="77" spans="1:23" ht="18.75" customHeight="1">
      <c r="A77" s="1131"/>
      <c r="B77" s="390">
        <f t="shared" si="33"/>
        <v>2026</v>
      </c>
      <c r="C77" s="404">
        <v>46163</v>
      </c>
      <c r="D77" s="405">
        <f>C77</f>
        <v>46163</v>
      </c>
      <c r="E77" s="406" t="s">
        <v>696</v>
      </c>
      <c r="F77" s="393">
        <f t="shared" ca="1" si="34"/>
        <v>18.714285714285715</v>
      </c>
      <c r="G77" s="393">
        <v>70</v>
      </c>
      <c r="H77" s="392" t="s">
        <v>585</v>
      </c>
      <c r="I77" s="569">
        <v>1</v>
      </c>
      <c r="J77" s="393">
        <f>38500+7500</f>
        <v>46000</v>
      </c>
      <c r="K77" s="393">
        <f t="shared" si="24"/>
        <v>5980</v>
      </c>
      <c r="L77" s="393">
        <f>C93-N77</f>
        <v>26</v>
      </c>
      <c r="M77" s="396" t="s">
        <v>285</v>
      </c>
      <c r="N77" s="374">
        <f t="shared" si="27"/>
        <v>46310</v>
      </c>
      <c r="O77" s="367">
        <f t="shared" si="37"/>
        <v>46331</v>
      </c>
      <c r="P77" s="368"/>
      <c r="Q77" s="368">
        <v>94</v>
      </c>
      <c r="R77" s="380" t="s">
        <v>635</v>
      </c>
      <c r="S77" s="370">
        <f t="shared" si="30"/>
        <v>44160</v>
      </c>
      <c r="T77" s="371">
        <f t="shared" si="36"/>
        <v>46628.5</v>
      </c>
      <c r="U77" s="372">
        <v>66.5</v>
      </c>
      <c r="V77" s="373">
        <f>N114-T77</f>
        <v>43.5</v>
      </c>
      <c r="W77" s="374">
        <f t="shared" si="31"/>
        <v>46672</v>
      </c>
    </row>
    <row r="78" spans="1:23" ht="17.25" customHeight="1">
      <c r="A78" s="1131"/>
      <c r="B78" s="399">
        <f t="shared" si="33"/>
        <v>2026</v>
      </c>
      <c r="C78" s="400">
        <v>46200</v>
      </c>
      <c r="D78" s="401">
        <f>C78-2</f>
        <v>46198</v>
      </c>
      <c r="E78" s="402" t="s">
        <v>697</v>
      </c>
      <c r="F78" s="403">
        <f t="shared" ca="1" si="34"/>
        <v>13.428571428571429</v>
      </c>
      <c r="G78" s="403">
        <v>70</v>
      </c>
      <c r="H78" s="399" t="s">
        <v>595</v>
      </c>
      <c r="I78" s="567">
        <v>1</v>
      </c>
      <c r="J78" s="403">
        <v>46500</v>
      </c>
      <c r="K78" s="403">
        <f t="shared" ref="K78:K80" si="39">J78*14%</f>
        <v>6510.0000000000009</v>
      </c>
      <c r="L78" s="403">
        <f>C97-N78</f>
        <v>24</v>
      </c>
      <c r="M78" s="564" t="s">
        <v>561</v>
      </c>
      <c r="N78" s="374">
        <f t="shared" si="27"/>
        <v>46347</v>
      </c>
      <c r="O78" s="367">
        <f t="shared" si="37"/>
        <v>46366</v>
      </c>
      <c r="P78" s="368"/>
      <c r="Q78" s="368">
        <v>70</v>
      </c>
      <c r="R78" s="380" t="s">
        <v>638</v>
      </c>
      <c r="S78" s="370">
        <f t="shared" ref="S78:S106" si="40">J78*95.5%</f>
        <v>44407.5</v>
      </c>
      <c r="T78" s="371">
        <f t="shared" si="36"/>
        <v>46660</v>
      </c>
      <c r="U78" s="372">
        <v>66</v>
      </c>
      <c r="V78" s="373">
        <f t="shared" ref="V78:V79" si="41">N118-T78</f>
        <v>54</v>
      </c>
      <c r="W78" s="374">
        <f t="shared" si="31"/>
        <v>46714</v>
      </c>
    </row>
    <row r="79" spans="1:23" ht="21">
      <c r="A79" s="1131"/>
      <c r="B79" s="399">
        <f t="shared" si="33"/>
        <v>2026</v>
      </c>
      <c r="C79" s="400">
        <v>46200</v>
      </c>
      <c r="D79" s="401">
        <f>C79-2</f>
        <v>46198</v>
      </c>
      <c r="E79" s="402" t="s">
        <v>697</v>
      </c>
      <c r="F79" s="403">
        <f t="shared" ca="1" si="34"/>
        <v>13.428571428571429</v>
      </c>
      <c r="G79" s="403">
        <v>70</v>
      </c>
      <c r="H79" s="399" t="s">
        <v>595</v>
      </c>
      <c r="I79" s="567">
        <v>1</v>
      </c>
      <c r="J79" s="403">
        <v>15500</v>
      </c>
      <c r="K79" s="403">
        <f t="shared" si="39"/>
        <v>2170</v>
      </c>
      <c r="L79" s="403">
        <f>C97-N79</f>
        <v>24</v>
      </c>
      <c r="M79" s="564" t="s">
        <v>561</v>
      </c>
      <c r="N79" s="374">
        <f t="shared" si="27"/>
        <v>46347</v>
      </c>
      <c r="O79" s="367">
        <f t="shared" si="37"/>
        <v>46366</v>
      </c>
      <c r="P79" s="368"/>
      <c r="Q79" s="368">
        <v>70</v>
      </c>
      <c r="R79" s="385" t="s">
        <v>641</v>
      </c>
      <c r="S79" s="370">
        <f t="shared" si="40"/>
        <v>14802.5</v>
      </c>
      <c r="T79" s="371">
        <f t="shared" si="36"/>
        <v>46663.5</v>
      </c>
      <c r="U79" s="372">
        <v>66.5</v>
      </c>
      <c r="V79" s="373">
        <f t="shared" si="41"/>
        <v>53.5</v>
      </c>
      <c r="W79" s="374">
        <f t="shared" si="31"/>
        <v>46717</v>
      </c>
    </row>
    <row r="80" spans="1:23" ht="21">
      <c r="A80" s="1131"/>
      <c r="B80" s="399">
        <f t="shared" si="33"/>
        <v>2026</v>
      </c>
      <c r="C80" s="400">
        <v>46207</v>
      </c>
      <c r="D80" s="401">
        <f>C80-2</f>
        <v>46205</v>
      </c>
      <c r="E80" s="402" t="s">
        <v>698</v>
      </c>
      <c r="F80" s="403">
        <f t="shared" ca="1" si="34"/>
        <v>12.428571428571429</v>
      </c>
      <c r="G80" s="403">
        <v>70</v>
      </c>
      <c r="H80" s="566" t="s">
        <v>599</v>
      </c>
      <c r="I80" s="567">
        <v>1</v>
      </c>
      <c r="J80" s="403">
        <v>31000</v>
      </c>
      <c r="K80" s="403">
        <f t="shared" si="39"/>
        <v>4340</v>
      </c>
      <c r="L80" s="403">
        <f>C99-N80</f>
        <v>39</v>
      </c>
      <c r="M80" s="564" t="s">
        <v>561</v>
      </c>
      <c r="N80" s="374">
        <f t="shared" si="27"/>
        <v>46354</v>
      </c>
      <c r="O80" s="367">
        <f t="shared" si="37"/>
        <v>46373</v>
      </c>
      <c r="P80" s="368"/>
      <c r="Q80" s="368">
        <v>72</v>
      </c>
      <c r="R80" s="385" t="s">
        <v>641</v>
      </c>
      <c r="S80" s="370">
        <f t="shared" si="40"/>
        <v>29605</v>
      </c>
      <c r="T80" s="371">
        <f t="shared" si="36"/>
        <v>46667</v>
      </c>
      <c r="U80" s="372">
        <v>66</v>
      </c>
      <c r="V80" s="373">
        <f>N119-T80</f>
        <v>50</v>
      </c>
      <c r="W80" s="374">
        <f t="shared" si="31"/>
        <v>46717</v>
      </c>
    </row>
    <row r="81" spans="1:23" ht="21">
      <c r="A81" s="1131"/>
      <c r="B81" s="399">
        <f t="shared" si="33"/>
        <v>2026</v>
      </c>
      <c r="C81" s="379">
        <v>46205</v>
      </c>
      <c r="D81" s="401">
        <f>C81</f>
        <v>46205</v>
      </c>
      <c r="E81" s="402" t="s">
        <v>699</v>
      </c>
      <c r="F81" s="403">
        <f t="shared" ca="1" si="34"/>
        <v>12.714285714285714</v>
      </c>
      <c r="G81" s="403">
        <v>70</v>
      </c>
      <c r="H81" s="566" t="s">
        <v>599</v>
      </c>
      <c r="I81" s="567">
        <v>1</v>
      </c>
      <c r="J81" s="403">
        <v>31000</v>
      </c>
      <c r="K81" s="403">
        <f t="shared" ref="K81:K87" si="42">J81*13%</f>
        <v>4030</v>
      </c>
      <c r="L81" s="403">
        <f>C99-N81</f>
        <v>41</v>
      </c>
      <c r="M81" s="396" t="s">
        <v>285</v>
      </c>
      <c r="N81" s="374">
        <f t="shared" si="27"/>
        <v>46352</v>
      </c>
      <c r="O81" s="367">
        <f t="shared" si="37"/>
        <v>46373</v>
      </c>
      <c r="P81" s="368"/>
      <c r="Q81" s="368">
        <v>72</v>
      </c>
      <c r="R81" s="385" t="s">
        <v>644</v>
      </c>
      <c r="S81" s="370">
        <f t="shared" si="40"/>
        <v>29605</v>
      </c>
      <c r="T81" s="371">
        <f t="shared" si="36"/>
        <v>46674</v>
      </c>
      <c r="U81" s="372">
        <v>67</v>
      </c>
      <c r="V81" s="373">
        <f>N121-T81</f>
        <v>50</v>
      </c>
      <c r="W81" s="374">
        <f t="shared" si="31"/>
        <v>46724</v>
      </c>
    </row>
    <row r="82" spans="1:23" ht="21">
      <c r="A82" s="1131"/>
      <c r="B82" s="399">
        <f t="shared" si="33"/>
        <v>2026</v>
      </c>
      <c r="C82" s="400">
        <v>46214</v>
      </c>
      <c r="D82" s="401">
        <f>C82-2</f>
        <v>46212</v>
      </c>
      <c r="E82" s="402" t="s">
        <v>700</v>
      </c>
      <c r="F82" s="403">
        <f t="shared" ca="1" si="34"/>
        <v>11.428571428571429</v>
      </c>
      <c r="G82" s="403">
        <v>70</v>
      </c>
      <c r="H82" s="399" t="s">
        <v>547</v>
      </c>
      <c r="I82" s="567">
        <v>1</v>
      </c>
      <c r="J82" s="403">
        <v>16000</v>
      </c>
      <c r="K82" s="403">
        <f t="shared" si="42"/>
        <v>2080</v>
      </c>
      <c r="L82" s="403">
        <f>C101-N82</f>
        <v>41</v>
      </c>
      <c r="M82" s="396" t="s">
        <v>285</v>
      </c>
      <c r="N82" s="374">
        <f t="shared" si="27"/>
        <v>46361</v>
      </c>
      <c r="O82" s="367">
        <f>D82+24*7</f>
        <v>46380</v>
      </c>
      <c r="P82" s="368"/>
      <c r="Q82" s="368">
        <v>70</v>
      </c>
      <c r="R82" s="385" t="s">
        <v>644</v>
      </c>
      <c r="S82" s="370">
        <f t="shared" si="40"/>
        <v>15280</v>
      </c>
      <c r="T82" s="371">
        <f t="shared" si="36"/>
        <v>46674</v>
      </c>
      <c r="U82" s="372">
        <v>66</v>
      </c>
      <c r="V82" s="373">
        <f>N121-T82</f>
        <v>50</v>
      </c>
      <c r="W82" s="374">
        <f t="shared" si="31"/>
        <v>46724</v>
      </c>
    </row>
    <row r="83" spans="1:23" ht="20.25" customHeight="1">
      <c r="A83" s="1131"/>
      <c r="B83" s="399">
        <f t="shared" si="33"/>
        <v>2026</v>
      </c>
      <c r="C83" s="400">
        <v>46217</v>
      </c>
      <c r="D83" s="401">
        <f>C83+2</f>
        <v>46219</v>
      </c>
      <c r="E83" s="402" t="s">
        <v>700</v>
      </c>
      <c r="F83" s="403">
        <f t="shared" ca="1" si="34"/>
        <v>11</v>
      </c>
      <c r="G83" s="403">
        <v>70</v>
      </c>
      <c r="H83" s="399" t="s">
        <v>547</v>
      </c>
      <c r="I83" s="567">
        <v>1</v>
      </c>
      <c r="J83" s="403">
        <v>46500</v>
      </c>
      <c r="K83" s="403">
        <f t="shared" si="42"/>
        <v>6045</v>
      </c>
      <c r="L83" s="403">
        <f>C101-N83</f>
        <v>38</v>
      </c>
      <c r="M83" s="396" t="s">
        <v>285</v>
      </c>
      <c r="N83" s="374">
        <f t="shared" si="27"/>
        <v>46364</v>
      </c>
      <c r="O83" s="367">
        <f>D83+24*7</f>
        <v>46387</v>
      </c>
      <c r="P83" s="368"/>
      <c r="Q83" s="368">
        <v>70</v>
      </c>
      <c r="R83" s="385" t="s">
        <v>648</v>
      </c>
      <c r="S83" s="370">
        <f t="shared" si="40"/>
        <v>44407.5</v>
      </c>
      <c r="T83" s="371">
        <f t="shared" si="36"/>
        <v>46684.5</v>
      </c>
      <c r="U83" s="372">
        <v>66.5</v>
      </c>
      <c r="V83" s="373">
        <f>N123-T83</f>
        <v>46.5</v>
      </c>
      <c r="W83" s="374">
        <f t="shared" si="31"/>
        <v>46731</v>
      </c>
    </row>
    <row r="84" spans="1:23" ht="20.25" customHeight="1">
      <c r="A84" s="1131"/>
      <c r="B84" s="390">
        <f t="shared" si="33"/>
        <v>2026</v>
      </c>
      <c r="C84" s="404">
        <v>46259</v>
      </c>
      <c r="D84" s="405">
        <f>C84+2</f>
        <v>46261</v>
      </c>
      <c r="E84" s="406" t="s">
        <v>701</v>
      </c>
      <c r="F84" s="393">
        <f t="shared" ca="1" si="34"/>
        <v>5</v>
      </c>
      <c r="G84" s="393">
        <v>70</v>
      </c>
      <c r="H84" s="392" t="s">
        <v>554</v>
      </c>
      <c r="I84" s="569">
        <v>1</v>
      </c>
      <c r="J84" s="393">
        <v>31000</v>
      </c>
      <c r="K84" s="393">
        <f t="shared" si="42"/>
        <v>4030</v>
      </c>
      <c r="L84" s="393">
        <f>C105-N84</f>
        <v>28</v>
      </c>
      <c r="M84" s="396" t="s">
        <v>285</v>
      </c>
      <c r="N84" s="379">
        <f t="shared" si="27"/>
        <v>46406</v>
      </c>
      <c r="O84" s="367">
        <f t="shared" ref="O84:O106" si="43">D84+24*7</f>
        <v>46429</v>
      </c>
      <c r="P84" s="368"/>
      <c r="Q84" s="368">
        <v>72</v>
      </c>
      <c r="R84" s="395" t="s">
        <v>550</v>
      </c>
      <c r="S84" s="370">
        <f t="shared" si="40"/>
        <v>29605</v>
      </c>
      <c r="T84" s="371">
        <f t="shared" si="36"/>
        <v>46723</v>
      </c>
      <c r="U84" s="372">
        <v>66</v>
      </c>
      <c r="V84" s="373">
        <f t="shared" ref="V84:V89" si="44">N124-T84</f>
        <v>40</v>
      </c>
      <c r="W84" s="374">
        <f t="shared" si="31"/>
        <v>46763</v>
      </c>
    </row>
    <row r="85" spans="1:23" ht="21">
      <c r="A85" s="1131"/>
      <c r="B85" s="390">
        <f t="shared" si="33"/>
        <v>2026</v>
      </c>
      <c r="C85" s="404">
        <v>46261</v>
      </c>
      <c r="D85" s="405">
        <f>C85</f>
        <v>46261</v>
      </c>
      <c r="E85" s="406" t="s">
        <v>701</v>
      </c>
      <c r="F85" s="393">
        <f t="shared" ca="1" si="34"/>
        <v>4.7142857142857144</v>
      </c>
      <c r="G85" s="393">
        <v>70</v>
      </c>
      <c r="H85" s="392" t="s">
        <v>554</v>
      </c>
      <c r="I85" s="569">
        <v>1</v>
      </c>
      <c r="J85" s="393">
        <v>31000</v>
      </c>
      <c r="K85" s="393">
        <f t="shared" si="42"/>
        <v>4030</v>
      </c>
      <c r="L85" s="393">
        <f>C105-N85</f>
        <v>26</v>
      </c>
      <c r="M85" s="396" t="s">
        <v>285</v>
      </c>
      <c r="N85" s="374">
        <f t="shared" si="27"/>
        <v>46408</v>
      </c>
      <c r="O85" s="367">
        <f t="shared" si="43"/>
        <v>46429</v>
      </c>
      <c r="P85" s="368"/>
      <c r="Q85" s="368">
        <v>72</v>
      </c>
      <c r="R85" s="385" t="s">
        <v>651</v>
      </c>
      <c r="S85" s="370">
        <f t="shared" si="40"/>
        <v>29605</v>
      </c>
      <c r="T85" s="371">
        <f t="shared" si="36"/>
        <v>46723</v>
      </c>
      <c r="U85" s="372">
        <v>66</v>
      </c>
      <c r="V85" s="373">
        <f t="shared" si="44"/>
        <v>42</v>
      </c>
      <c r="W85" s="374">
        <f t="shared" si="31"/>
        <v>46765</v>
      </c>
    </row>
    <row r="86" spans="1:23" ht="21">
      <c r="A86" s="1131"/>
      <c r="B86" s="390">
        <f t="shared" si="33"/>
        <v>2026</v>
      </c>
      <c r="C86" s="404">
        <v>46266</v>
      </c>
      <c r="D86" s="405">
        <f>C86+2</f>
        <v>46268</v>
      </c>
      <c r="E86" s="406" t="s">
        <v>702</v>
      </c>
      <c r="F86" s="393">
        <f t="shared" ca="1" si="34"/>
        <v>4</v>
      </c>
      <c r="G86" s="393">
        <v>70</v>
      </c>
      <c r="H86" s="392" t="s">
        <v>565</v>
      </c>
      <c r="I86" s="569">
        <v>2</v>
      </c>
      <c r="J86" s="393">
        <v>15500</v>
      </c>
      <c r="K86" s="393">
        <f t="shared" si="42"/>
        <v>2015</v>
      </c>
      <c r="L86" s="393">
        <f>C107-N86</f>
        <v>42</v>
      </c>
      <c r="M86" s="396" t="s">
        <v>285</v>
      </c>
      <c r="N86" s="374">
        <f t="shared" si="27"/>
        <v>46413</v>
      </c>
      <c r="O86" s="367">
        <f t="shared" si="43"/>
        <v>46436</v>
      </c>
      <c r="P86" s="368"/>
      <c r="Q86" s="368">
        <v>70</v>
      </c>
      <c r="R86" s="385" t="s">
        <v>651</v>
      </c>
      <c r="S86" s="370">
        <f t="shared" si="40"/>
        <v>14802.5</v>
      </c>
      <c r="T86" s="371">
        <f t="shared" si="36"/>
        <v>46723</v>
      </c>
      <c r="U86" s="372">
        <v>65</v>
      </c>
      <c r="V86" s="373">
        <f>N125-T86</f>
        <v>42</v>
      </c>
      <c r="W86" s="374">
        <f t="shared" si="31"/>
        <v>46765</v>
      </c>
    </row>
    <row r="87" spans="1:23" ht="21">
      <c r="A87" s="1131"/>
      <c r="B87" s="390">
        <f t="shared" si="33"/>
        <v>2026</v>
      </c>
      <c r="C87" s="404">
        <v>46268</v>
      </c>
      <c r="D87" s="405">
        <f>C87</f>
        <v>46268</v>
      </c>
      <c r="E87" s="406" t="s">
        <v>702</v>
      </c>
      <c r="F87" s="393">
        <f t="shared" ca="1" si="34"/>
        <v>3.7142857142857144</v>
      </c>
      <c r="G87" s="393">
        <v>70</v>
      </c>
      <c r="H87" s="392" t="s">
        <v>565</v>
      </c>
      <c r="I87" s="569">
        <v>2</v>
      </c>
      <c r="J87" s="393">
        <v>46500</v>
      </c>
      <c r="K87" s="393">
        <f t="shared" si="42"/>
        <v>6045</v>
      </c>
      <c r="L87" s="393">
        <f t="shared" ref="L87" si="45">C107-N87</f>
        <v>40</v>
      </c>
      <c r="M87" s="396" t="s">
        <v>285</v>
      </c>
      <c r="N87" s="379">
        <f t="shared" si="27"/>
        <v>46415</v>
      </c>
      <c r="O87" s="367">
        <f t="shared" si="43"/>
        <v>46436</v>
      </c>
      <c r="P87" s="368"/>
      <c r="Q87" s="368">
        <v>70</v>
      </c>
      <c r="R87" s="388" t="s">
        <v>552</v>
      </c>
      <c r="S87" s="370">
        <f t="shared" si="40"/>
        <v>44407.5</v>
      </c>
      <c r="T87" s="371">
        <f t="shared" si="36"/>
        <v>46730</v>
      </c>
      <c r="U87" s="372">
        <v>66</v>
      </c>
      <c r="V87" s="373">
        <f>N127-T87</f>
        <v>43</v>
      </c>
      <c r="W87" s="374">
        <f t="shared" si="31"/>
        <v>46773</v>
      </c>
    </row>
    <row r="88" spans="1:23" ht="21">
      <c r="A88" s="1131"/>
      <c r="B88" s="399">
        <f t="shared" si="33"/>
        <v>2026</v>
      </c>
      <c r="C88" s="400">
        <v>46294</v>
      </c>
      <c r="D88" s="401">
        <f>C88+2</f>
        <v>46296</v>
      </c>
      <c r="E88" s="402" t="s">
        <v>703</v>
      </c>
      <c r="F88" s="403">
        <f t="shared" ca="1" si="34"/>
        <v>0</v>
      </c>
      <c r="G88" s="403">
        <v>70</v>
      </c>
      <c r="H88" s="559" t="s">
        <v>572</v>
      </c>
      <c r="I88" s="567">
        <v>2</v>
      </c>
      <c r="J88" s="403">
        <v>20000</v>
      </c>
      <c r="K88" s="403">
        <f>J88*14%</f>
        <v>2800.0000000000005</v>
      </c>
      <c r="L88" s="403">
        <f>C109-N88</f>
        <v>49</v>
      </c>
      <c r="M88" s="564" t="s">
        <v>561</v>
      </c>
      <c r="N88" s="374">
        <f t="shared" si="27"/>
        <v>46441</v>
      </c>
      <c r="O88" s="367">
        <f t="shared" si="43"/>
        <v>46464</v>
      </c>
      <c r="P88" s="368"/>
      <c r="Q88" s="368">
        <v>110</v>
      </c>
      <c r="R88" s="395" t="s">
        <v>559</v>
      </c>
      <c r="S88" s="370">
        <f t="shared" si="40"/>
        <v>19100</v>
      </c>
      <c r="T88" s="371">
        <f t="shared" si="36"/>
        <v>46758</v>
      </c>
      <c r="U88" s="372">
        <v>66</v>
      </c>
      <c r="V88" s="373">
        <f t="shared" si="44"/>
        <v>41</v>
      </c>
      <c r="W88" s="374">
        <f t="shared" si="31"/>
        <v>46799</v>
      </c>
    </row>
    <row r="89" spans="1:23" ht="15.75" customHeight="1">
      <c r="A89" s="1131"/>
      <c r="B89" s="399">
        <f t="shared" si="33"/>
        <v>2026</v>
      </c>
      <c r="C89" s="400">
        <v>46296</v>
      </c>
      <c r="D89" s="401">
        <f>C89</f>
        <v>46296</v>
      </c>
      <c r="E89" s="402" t="s">
        <v>703</v>
      </c>
      <c r="F89" s="403">
        <f t="shared" ca="1" si="34"/>
        <v>-0.2857142857142857</v>
      </c>
      <c r="G89" s="403">
        <v>70</v>
      </c>
      <c r="H89" s="559" t="s">
        <v>572</v>
      </c>
      <c r="I89" s="567">
        <v>2</v>
      </c>
      <c r="J89" s="403">
        <v>46500</v>
      </c>
      <c r="K89" s="403">
        <f>J89*14%</f>
        <v>6510.0000000000009</v>
      </c>
      <c r="L89" s="403">
        <f>C109-N89</f>
        <v>47</v>
      </c>
      <c r="M89" s="564" t="s">
        <v>561</v>
      </c>
      <c r="N89" s="374">
        <f t="shared" si="27"/>
        <v>46443</v>
      </c>
      <c r="O89" s="367">
        <f t="shared" si="43"/>
        <v>46464</v>
      </c>
      <c r="P89" s="368"/>
      <c r="Q89" s="368">
        <v>94</v>
      </c>
      <c r="R89" s="385" t="s">
        <v>656</v>
      </c>
      <c r="S89" s="370">
        <f t="shared" si="40"/>
        <v>44407.5</v>
      </c>
      <c r="T89" s="371">
        <f t="shared" si="36"/>
        <v>46758</v>
      </c>
      <c r="U89" s="372">
        <v>66</v>
      </c>
      <c r="V89" s="373">
        <f t="shared" si="44"/>
        <v>43</v>
      </c>
      <c r="W89" s="374">
        <f t="shared" si="31"/>
        <v>46801</v>
      </c>
    </row>
    <row r="90" spans="1:23" ht="21">
      <c r="A90" s="1131"/>
      <c r="B90" s="390">
        <f t="shared" si="33"/>
        <v>2026</v>
      </c>
      <c r="C90" s="404">
        <v>46315</v>
      </c>
      <c r="D90" s="405">
        <f>C90+2</f>
        <v>46317</v>
      </c>
      <c r="E90" s="406"/>
      <c r="F90" s="393">
        <f t="shared" ca="1" si="34"/>
        <v>-3</v>
      </c>
      <c r="G90" s="393">
        <v>70</v>
      </c>
      <c r="H90" s="392" t="s">
        <v>576</v>
      </c>
      <c r="I90" s="569">
        <v>2</v>
      </c>
      <c r="J90" s="393">
        <v>30000</v>
      </c>
      <c r="K90" s="393">
        <f>J90*13%</f>
        <v>3900</v>
      </c>
      <c r="L90" s="393">
        <f>C111-N90</f>
        <v>37</v>
      </c>
      <c r="M90" s="396" t="s">
        <v>285</v>
      </c>
      <c r="N90" s="379">
        <f t="shared" si="27"/>
        <v>46462</v>
      </c>
      <c r="O90" s="367">
        <f t="shared" si="43"/>
        <v>46485</v>
      </c>
      <c r="P90" s="368"/>
      <c r="Q90" s="368">
        <v>70</v>
      </c>
      <c r="R90" s="395" t="s">
        <v>563</v>
      </c>
      <c r="S90" s="370">
        <f t="shared" si="40"/>
        <v>28650</v>
      </c>
      <c r="T90" s="371">
        <f t="shared" si="36"/>
        <v>46779</v>
      </c>
      <c r="U90" s="372">
        <v>66</v>
      </c>
      <c r="V90" s="373">
        <f>N130-T90</f>
        <v>47</v>
      </c>
      <c r="W90" s="374">
        <f t="shared" si="31"/>
        <v>46826</v>
      </c>
    </row>
    <row r="91" spans="1:23" ht="17.25" customHeight="1">
      <c r="A91" s="1131"/>
      <c r="B91" s="390">
        <f t="shared" si="33"/>
        <v>2026</v>
      </c>
      <c r="C91" s="404">
        <v>46317</v>
      </c>
      <c r="D91" s="405">
        <f>C91</f>
        <v>46317</v>
      </c>
      <c r="E91" s="406"/>
      <c r="F91" s="393">
        <f t="shared" ca="1" si="34"/>
        <v>-3.2857142857142856</v>
      </c>
      <c r="G91" s="393">
        <v>70</v>
      </c>
      <c r="H91" s="392" t="s">
        <v>576</v>
      </c>
      <c r="I91" s="569">
        <v>2</v>
      </c>
      <c r="J91" s="393">
        <v>46500</v>
      </c>
      <c r="K91" s="393">
        <f>J91*13%</f>
        <v>6045</v>
      </c>
      <c r="L91" s="393">
        <f t="shared" ref="L91" si="46">C111-N91</f>
        <v>35</v>
      </c>
      <c r="M91" s="396" t="s">
        <v>285</v>
      </c>
      <c r="N91" s="374">
        <f t="shared" si="27"/>
        <v>46464</v>
      </c>
      <c r="O91" s="367">
        <f t="shared" si="43"/>
        <v>46485</v>
      </c>
      <c r="P91" s="368"/>
      <c r="Q91" s="368">
        <v>70</v>
      </c>
      <c r="R91" s="383" t="s">
        <v>568</v>
      </c>
      <c r="S91" s="370">
        <f t="shared" si="40"/>
        <v>44407.5</v>
      </c>
      <c r="T91" s="371">
        <f t="shared" si="36"/>
        <v>46779</v>
      </c>
      <c r="U91" s="372">
        <v>66</v>
      </c>
      <c r="V91" s="373">
        <f>N131-T91</f>
        <v>50</v>
      </c>
      <c r="W91" s="374">
        <f t="shared" si="31"/>
        <v>46829</v>
      </c>
    </row>
    <row r="92" spans="1:23" ht="17.25" customHeight="1">
      <c r="A92" s="1131"/>
      <c r="B92" s="390">
        <f t="shared" si="33"/>
        <v>2026</v>
      </c>
      <c r="C92" s="404">
        <v>46322</v>
      </c>
      <c r="D92" s="405">
        <f>C92+2</f>
        <v>46324</v>
      </c>
      <c r="E92" s="406"/>
      <c r="F92" s="393">
        <f t="shared" ca="1" si="34"/>
        <v>-4</v>
      </c>
      <c r="G92" s="393">
        <v>70</v>
      </c>
      <c r="H92" s="392" t="s">
        <v>576</v>
      </c>
      <c r="I92" s="569">
        <v>2</v>
      </c>
      <c r="J92" s="393">
        <v>46500</v>
      </c>
      <c r="K92" s="393">
        <f>J92*13%</f>
        <v>6045</v>
      </c>
      <c r="L92" s="393">
        <f>C111-N92</f>
        <v>30</v>
      </c>
      <c r="M92" s="396" t="s">
        <v>285</v>
      </c>
      <c r="N92" s="374">
        <f t="shared" si="27"/>
        <v>46469</v>
      </c>
      <c r="O92" s="367">
        <f t="shared" si="43"/>
        <v>46492</v>
      </c>
      <c r="P92" s="368"/>
      <c r="Q92" s="368">
        <v>70</v>
      </c>
      <c r="R92" s="383" t="s">
        <v>574</v>
      </c>
      <c r="S92" s="370">
        <f t="shared" si="40"/>
        <v>44407.5</v>
      </c>
      <c r="T92" s="371">
        <f t="shared" si="36"/>
        <v>46786</v>
      </c>
      <c r="U92" s="372">
        <v>66</v>
      </c>
      <c r="V92" s="373">
        <f>N132-T92</f>
        <v>47</v>
      </c>
      <c r="W92" s="374">
        <f t="shared" si="31"/>
        <v>46833</v>
      </c>
    </row>
    <row r="93" spans="1:23" ht="21">
      <c r="A93" s="1131"/>
      <c r="B93" s="399">
        <f t="shared" si="33"/>
        <v>2026</v>
      </c>
      <c r="C93" s="400">
        <v>46336</v>
      </c>
      <c r="D93" s="401">
        <f>C93+2</f>
        <v>46338</v>
      </c>
      <c r="E93" s="402"/>
      <c r="F93" s="403">
        <f t="shared" ca="1" si="34"/>
        <v>-6</v>
      </c>
      <c r="G93" s="403">
        <v>70</v>
      </c>
      <c r="H93" s="559" t="s">
        <v>585</v>
      </c>
      <c r="I93" s="567">
        <v>2</v>
      </c>
      <c r="J93" s="403">
        <v>37500</v>
      </c>
      <c r="K93" s="403">
        <f t="shared" ref="K93:K96" si="47">J93*14%</f>
        <v>5250.0000000000009</v>
      </c>
      <c r="L93" s="403">
        <f>C114-N93</f>
        <v>42</v>
      </c>
      <c r="M93" s="564" t="s">
        <v>561</v>
      </c>
      <c r="N93" s="374">
        <f t="shared" si="27"/>
        <v>46483</v>
      </c>
      <c r="O93" s="367">
        <f t="shared" si="43"/>
        <v>46506</v>
      </c>
      <c r="P93" s="368"/>
      <c r="Q93" s="368">
        <v>72</v>
      </c>
      <c r="R93" s="383" t="s">
        <v>570</v>
      </c>
      <c r="S93" s="370">
        <f t="shared" si="40"/>
        <v>35812.5</v>
      </c>
      <c r="T93" s="371">
        <f t="shared" si="36"/>
        <v>46800</v>
      </c>
      <c r="U93" s="372">
        <v>66</v>
      </c>
      <c r="V93" s="373">
        <f>N133-T93</f>
        <v>47</v>
      </c>
      <c r="W93" s="374">
        <f t="shared" si="31"/>
        <v>46847</v>
      </c>
    </row>
    <row r="94" spans="1:23" ht="21">
      <c r="A94" s="1131"/>
      <c r="B94" s="399">
        <f t="shared" si="33"/>
        <v>2026</v>
      </c>
      <c r="C94" s="400">
        <v>46340</v>
      </c>
      <c r="D94" s="401">
        <f>C94-2</f>
        <v>46338</v>
      </c>
      <c r="E94" s="402"/>
      <c r="F94" s="403">
        <f t="shared" ca="1" si="34"/>
        <v>-6.5714285714285712</v>
      </c>
      <c r="G94" s="403">
        <v>70</v>
      </c>
      <c r="H94" s="559" t="s">
        <v>585</v>
      </c>
      <c r="I94" s="567">
        <v>2</v>
      </c>
      <c r="J94" s="403">
        <v>27750</v>
      </c>
      <c r="K94" s="403">
        <f t="shared" si="47"/>
        <v>3885.0000000000005</v>
      </c>
      <c r="L94" s="403">
        <f>C114-N94</f>
        <v>38</v>
      </c>
      <c r="M94" s="564" t="s">
        <v>561</v>
      </c>
      <c r="N94" s="374">
        <f t="shared" si="27"/>
        <v>46487</v>
      </c>
      <c r="O94" s="367">
        <f t="shared" si="43"/>
        <v>46506</v>
      </c>
      <c r="P94" s="368"/>
      <c r="Q94" s="368">
        <v>72</v>
      </c>
      <c r="R94" s="383" t="s">
        <v>579</v>
      </c>
      <c r="S94" s="370">
        <f t="shared" si="40"/>
        <v>26501.25</v>
      </c>
      <c r="T94" s="371">
        <f t="shared" si="36"/>
        <v>46800</v>
      </c>
      <c r="U94" s="372">
        <v>66</v>
      </c>
      <c r="V94" s="373">
        <f t="shared" ref="V94" si="48">N134-T94</f>
        <v>49</v>
      </c>
      <c r="W94" s="374">
        <f t="shared" si="31"/>
        <v>46849</v>
      </c>
    </row>
    <row r="95" spans="1:23" ht="21">
      <c r="A95" s="1131"/>
      <c r="B95" s="399">
        <f t="shared" si="33"/>
        <v>2026</v>
      </c>
      <c r="C95" s="400">
        <v>46343</v>
      </c>
      <c r="D95" s="401">
        <f>C95+2</f>
        <v>46345</v>
      </c>
      <c r="E95" s="402"/>
      <c r="F95" s="403">
        <f t="shared" ca="1" si="34"/>
        <v>-7</v>
      </c>
      <c r="G95" s="403">
        <v>70</v>
      </c>
      <c r="H95" s="399" t="s">
        <v>704</v>
      </c>
      <c r="I95" s="567">
        <v>2</v>
      </c>
      <c r="J95" s="403">
        <v>18750</v>
      </c>
      <c r="K95" s="403">
        <f t="shared" si="47"/>
        <v>2625.0000000000005</v>
      </c>
      <c r="L95" s="403">
        <f>C116-N95</f>
        <v>42</v>
      </c>
      <c r="M95" s="564" t="s">
        <v>561</v>
      </c>
      <c r="N95" s="374">
        <f t="shared" si="27"/>
        <v>46490</v>
      </c>
      <c r="O95" s="367">
        <f t="shared" si="43"/>
        <v>46513</v>
      </c>
      <c r="P95" s="368"/>
      <c r="Q95" s="368">
        <v>72</v>
      </c>
      <c r="R95" s="383" t="s">
        <v>579</v>
      </c>
      <c r="S95" s="370">
        <f t="shared" si="40"/>
        <v>17906.25</v>
      </c>
      <c r="T95" s="371">
        <f t="shared" si="36"/>
        <v>46800</v>
      </c>
      <c r="U95" s="372">
        <v>65</v>
      </c>
      <c r="V95" s="373">
        <f>N134-T95</f>
        <v>49</v>
      </c>
      <c r="W95" s="374">
        <f t="shared" si="31"/>
        <v>46849</v>
      </c>
    </row>
    <row r="96" spans="1:23" ht="21">
      <c r="A96" s="1131"/>
      <c r="B96" s="399">
        <f t="shared" si="33"/>
        <v>2026</v>
      </c>
      <c r="C96" s="400">
        <v>46345</v>
      </c>
      <c r="D96" s="401">
        <f>C96</f>
        <v>46345</v>
      </c>
      <c r="E96" s="402"/>
      <c r="F96" s="403">
        <f t="shared" ca="1" si="34"/>
        <v>-7.2857142857142856</v>
      </c>
      <c r="G96" s="403">
        <v>70</v>
      </c>
      <c r="H96" s="399" t="s">
        <v>704</v>
      </c>
      <c r="I96" s="567">
        <v>2</v>
      </c>
      <c r="J96" s="403">
        <v>46500</v>
      </c>
      <c r="K96" s="403">
        <f t="shared" si="47"/>
        <v>6510.0000000000009</v>
      </c>
      <c r="L96" s="403">
        <f t="shared" ref="L96" si="49">C116-N96</f>
        <v>40</v>
      </c>
      <c r="M96" s="564" t="s">
        <v>561</v>
      </c>
      <c r="N96" s="374">
        <f t="shared" si="27"/>
        <v>46492</v>
      </c>
      <c r="O96" s="367">
        <f t="shared" si="43"/>
        <v>46513</v>
      </c>
      <c r="P96" s="368"/>
      <c r="Q96" s="368">
        <v>72</v>
      </c>
      <c r="R96" s="383" t="s">
        <v>583</v>
      </c>
      <c r="S96" s="370">
        <f t="shared" si="40"/>
        <v>44407.5</v>
      </c>
      <c r="T96" s="371">
        <f t="shared" si="36"/>
        <v>46807</v>
      </c>
      <c r="U96" s="372">
        <v>66</v>
      </c>
      <c r="V96" s="373">
        <f>N136-T96</f>
        <v>50</v>
      </c>
      <c r="W96" s="374">
        <f t="shared" si="31"/>
        <v>46857</v>
      </c>
    </row>
    <row r="97" spans="1:23" ht="21">
      <c r="A97" s="1131"/>
      <c r="B97" s="390">
        <f t="shared" si="33"/>
        <v>2026</v>
      </c>
      <c r="C97" s="404">
        <v>46371</v>
      </c>
      <c r="D97" s="405">
        <f>C97+2</f>
        <v>46373</v>
      </c>
      <c r="E97" s="406"/>
      <c r="F97" s="393">
        <f t="shared" ca="1" si="34"/>
        <v>-11</v>
      </c>
      <c r="G97" s="393">
        <v>70</v>
      </c>
      <c r="H97" s="390" t="s">
        <v>595</v>
      </c>
      <c r="I97" s="569">
        <v>2</v>
      </c>
      <c r="J97" s="393">
        <v>20000</v>
      </c>
      <c r="K97" s="393">
        <f t="shared" ref="K97:K98" si="50">J97*13%</f>
        <v>2600</v>
      </c>
      <c r="L97" s="393">
        <f>C118-N97</f>
        <v>49</v>
      </c>
      <c r="M97" s="572" t="s">
        <v>522</v>
      </c>
      <c r="N97" s="374">
        <f t="shared" si="27"/>
        <v>46518</v>
      </c>
      <c r="O97" s="367">
        <f t="shared" si="43"/>
        <v>46541</v>
      </c>
      <c r="P97" s="368"/>
      <c r="Q97" s="368">
        <v>72</v>
      </c>
      <c r="R97" s="395" t="s">
        <v>581</v>
      </c>
      <c r="S97" s="370">
        <f t="shared" si="40"/>
        <v>19100</v>
      </c>
      <c r="T97" s="371">
        <f t="shared" si="36"/>
        <v>46835</v>
      </c>
      <c r="U97" s="372">
        <v>66</v>
      </c>
      <c r="V97" s="373">
        <f>N137-T97</f>
        <v>49</v>
      </c>
      <c r="W97" s="374">
        <f t="shared" si="31"/>
        <v>46884</v>
      </c>
    </row>
    <row r="98" spans="1:23" ht="21">
      <c r="A98" s="1131"/>
      <c r="B98" s="1196">
        <f t="shared" si="33"/>
        <v>2026</v>
      </c>
      <c r="C98" s="1197">
        <v>46373</v>
      </c>
      <c r="D98" s="1198">
        <f>C98</f>
        <v>46373</v>
      </c>
      <c r="E98" s="1199"/>
      <c r="F98" s="1200">
        <f t="shared" ca="1" si="34"/>
        <v>-11.285714285714286</v>
      </c>
      <c r="G98" s="1200">
        <v>70</v>
      </c>
      <c r="H98" s="1196" t="s">
        <v>595</v>
      </c>
      <c r="I98" s="1202">
        <v>2</v>
      </c>
      <c r="J98" s="1200">
        <v>46500</v>
      </c>
      <c r="K98" s="1200">
        <f t="shared" si="50"/>
        <v>6045</v>
      </c>
      <c r="L98" s="1200">
        <f>C118-N98</f>
        <v>47</v>
      </c>
      <c r="M98" s="1196" t="s">
        <v>522</v>
      </c>
      <c r="N98" s="1197">
        <f t="shared" si="27"/>
        <v>46520</v>
      </c>
      <c r="O98" s="1198">
        <f t="shared" si="43"/>
        <v>46541</v>
      </c>
      <c r="P98" s="1201"/>
      <c r="Q98" s="1201">
        <v>94</v>
      </c>
      <c r="R98" s="1207" t="s">
        <v>593</v>
      </c>
      <c r="S98" s="1200">
        <f t="shared" si="40"/>
        <v>44407.5</v>
      </c>
      <c r="T98" s="1205">
        <f t="shared" si="36"/>
        <v>46835</v>
      </c>
      <c r="U98" s="1206">
        <v>66</v>
      </c>
      <c r="V98" s="1199">
        <f>N138-T98</f>
        <v>51</v>
      </c>
      <c r="W98" s="1197">
        <f t="shared" si="31"/>
        <v>46886</v>
      </c>
    </row>
    <row r="99" spans="1:23" ht="21">
      <c r="A99" s="1131"/>
      <c r="B99" s="399">
        <f t="shared" si="33"/>
        <v>2027</v>
      </c>
      <c r="C99" s="400">
        <v>46393</v>
      </c>
      <c r="D99" s="401">
        <f>C99+1</f>
        <v>46394</v>
      </c>
      <c r="E99" s="402"/>
      <c r="F99" s="403">
        <f t="shared" ca="1" si="34"/>
        <v>-14.142857142857142</v>
      </c>
      <c r="G99" s="403">
        <v>70</v>
      </c>
      <c r="H99" s="566" t="s">
        <v>599</v>
      </c>
      <c r="I99" s="567">
        <v>2</v>
      </c>
      <c r="J99" s="403">
        <v>46500</v>
      </c>
      <c r="K99" s="403">
        <f>J99*13%</f>
        <v>6045</v>
      </c>
      <c r="L99" s="403">
        <f t="shared" ref="L99:L101" si="51">C120-N99</f>
        <v>36</v>
      </c>
      <c r="M99" s="396" t="s">
        <v>285</v>
      </c>
      <c r="N99" s="374">
        <f t="shared" si="27"/>
        <v>46540</v>
      </c>
      <c r="O99" s="367">
        <f t="shared" si="43"/>
        <v>46562</v>
      </c>
      <c r="P99" s="368"/>
      <c r="Q99" s="368">
        <v>94</v>
      </c>
      <c r="R99" s="383" t="s">
        <v>587</v>
      </c>
      <c r="S99" s="370">
        <f t="shared" si="40"/>
        <v>44407.5</v>
      </c>
      <c r="T99" s="371">
        <f t="shared" si="36"/>
        <v>46856</v>
      </c>
      <c r="U99" s="372">
        <v>66</v>
      </c>
      <c r="V99" s="373">
        <f>N295-T99</f>
        <v>-46856</v>
      </c>
      <c r="W99" s="374">
        <f t="shared" si="31"/>
        <v>0</v>
      </c>
    </row>
    <row r="100" spans="1:23" ht="21">
      <c r="A100" s="1131"/>
      <c r="B100" s="399">
        <f t="shared" si="33"/>
        <v>2027</v>
      </c>
      <c r="C100" s="400">
        <v>46400</v>
      </c>
      <c r="D100" s="401">
        <f>C100+1</f>
        <v>46401</v>
      </c>
      <c r="E100" s="402"/>
      <c r="F100" s="403">
        <f t="shared" ca="1" si="34"/>
        <v>-15.142857142857142</v>
      </c>
      <c r="G100" s="403">
        <v>70</v>
      </c>
      <c r="H100" s="566" t="s">
        <v>599</v>
      </c>
      <c r="I100" s="567">
        <v>2</v>
      </c>
      <c r="J100" s="403">
        <v>18000</v>
      </c>
      <c r="K100" s="403">
        <f t="shared" ref="K100:K108" si="52">J100*13%</f>
        <v>2340</v>
      </c>
      <c r="L100" s="403">
        <f>C120-N100</f>
        <v>29</v>
      </c>
      <c r="M100" s="396" t="s">
        <v>285</v>
      </c>
      <c r="N100" s="374">
        <f t="shared" si="27"/>
        <v>46547</v>
      </c>
      <c r="O100" s="367">
        <f t="shared" si="43"/>
        <v>46569</v>
      </c>
      <c r="P100" s="368"/>
      <c r="Q100" s="368">
        <v>70</v>
      </c>
      <c r="R100" s="383" t="s">
        <v>589</v>
      </c>
      <c r="S100" s="370">
        <f t="shared" si="40"/>
        <v>17190</v>
      </c>
      <c r="T100" s="371">
        <f t="shared" si="36"/>
        <v>46863</v>
      </c>
      <c r="U100" s="372">
        <v>66</v>
      </c>
      <c r="V100" s="373">
        <f>N216-T100</f>
        <v>-46863</v>
      </c>
      <c r="W100" s="374">
        <f t="shared" si="31"/>
        <v>0</v>
      </c>
    </row>
    <row r="101" spans="1:23" ht="21">
      <c r="A101" s="1131"/>
      <c r="B101" s="399">
        <f t="shared" si="33"/>
        <v>2027</v>
      </c>
      <c r="C101" s="400">
        <v>46402</v>
      </c>
      <c r="D101" s="401">
        <f>C101-1</f>
        <v>46401</v>
      </c>
      <c r="E101" s="402"/>
      <c r="F101" s="403">
        <f t="shared" ca="1" si="34"/>
        <v>-15.428571428571429</v>
      </c>
      <c r="G101" s="403">
        <v>70</v>
      </c>
      <c r="H101" s="399" t="s">
        <v>547</v>
      </c>
      <c r="I101" s="567">
        <v>2</v>
      </c>
      <c r="J101" s="403">
        <v>32000</v>
      </c>
      <c r="K101" s="403">
        <f t="shared" si="52"/>
        <v>4160</v>
      </c>
      <c r="L101" s="403">
        <f t="shared" si="51"/>
        <v>33</v>
      </c>
      <c r="M101" s="396" t="s">
        <v>285</v>
      </c>
      <c r="N101" s="374">
        <f>C101+21*7</f>
        <v>46549</v>
      </c>
      <c r="O101" s="367">
        <f t="shared" si="43"/>
        <v>46569</v>
      </c>
      <c r="P101" s="368"/>
      <c r="Q101" s="368">
        <v>70</v>
      </c>
      <c r="R101" s="383" t="s">
        <v>589</v>
      </c>
      <c r="S101" s="370">
        <f t="shared" si="40"/>
        <v>30560</v>
      </c>
      <c r="T101" s="371">
        <f t="shared" si="36"/>
        <v>46863</v>
      </c>
      <c r="U101" s="372">
        <v>66</v>
      </c>
      <c r="V101" s="373">
        <f>N220-T101</f>
        <v>-46863</v>
      </c>
      <c r="W101" s="374">
        <f t="shared" si="31"/>
        <v>0</v>
      </c>
    </row>
    <row r="102" spans="1:23" ht="21">
      <c r="A102" s="1131"/>
      <c r="B102" s="399">
        <f t="shared" si="33"/>
        <v>2027</v>
      </c>
      <c r="C102" s="400">
        <v>46406</v>
      </c>
      <c r="D102" s="401">
        <f>C102+2</f>
        <v>46408</v>
      </c>
      <c r="E102" s="402"/>
      <c r="F102" s="403">
        <f t="shared" ca="1" si="34"/>
        <v>-16</v>
      </c>
      <c r="G102" s="403">
        <v>70</v>
      </c>
      <c r="H102" s="399" t="s">
        <v>547</v>
      </c>
      <c r="I102" s="567">
        <v>2</v>
      </c>
      <c r="J102" s="403">
        <v>32000</v>
      </c>
      <c r="K102" s="403">
        <f t="shared" si="52"/>
        <v>4160</v>
      </c>
      <c r="L102" s="403">
        <f>C122-N102</f>
        <v>29</v>
      </c>
      <c r="M102" s="396" t="s">
        <v>285</v>
      </c>
      <c r="N102" s="374">
        <f>C102+21*7</f>
        <v>46553</v>
      </c>
      <c r="O102" s="367">
        <f t="shared" si="43"/>
        <v>46576</v>
      </c>
      <c r="P102" s="368"/>
      <c r="Q102" s="368">
        <v>70</v>
      </c>
      <c r="R102" s="383" t="s">
        <v>597</v>
      </c>
      <c r="S102" s="370">
        <f t="shared" si="40"/>
        <v>30560</v>
      </c>
      <c r="T102" s="371">
        <f t="shared" si="36"/>
        <v>46870</v>
      </c>
      <c r="U102" s="372">
        <v>66</v>
      </c>
      <c r="V102" s="373">
        <f>N221-T102</f>
        <v>-46870</v>
      </c>
      <c r="W102" s="374">
        <f t="shared" si="31"/>
        <v>0</v>
      </c>
    </row>
    <row r="103" spans="1:23" ht="21">
      <c r="A103" s="1131"/>
      <c r="B103" s="399">
        <f t="shared" si="33"/>
        <v>2027</v>
      </c>
      <c r="C103" s="400">
        <v>46415</v>
      </c>
      <c r="D103" s="401">
        <f>C103</f>
        <v>46415</v>
      </c>
      <c r="E103" s="402"/>
      <c r="F103" s="403">
        <f t="shared" ca="1" si="34"/>
        <v>-17.285714285714285</v>
      </c>
      <c r="G103" s="403">
        <v>70</v>
      </c>
      <c r="H103" s="387" t="s">
        <v>705</v>
      </c>
      <c r="I103" s="567">
        <v>1</v>
      </c>
      <c r="J103" s="403">
        <v>14500</v>
      </c>
      <c r="K103" s="403">
        <f t="shared" si="52"/>
        <v>1885</v>
      </c>
      <c r="L103" s="403">
        <f>C124-N103</f>
        <v>54</v>
      </c>
      <c r="M103" s="396" t="s">
        <v>285</v>
      </c>
      <c r="N103" s="374">
        <f>C103+21*7</f>
        <v>46562</v>
      </c>
      <c r="O103" s="367">
        <f t="shared" si="43"/>
        <v>46583</v>
      </c>
      <c r="P103" s="368"/>
      <c r="Q103" s="368">
        <v>70</v>
      </c>
      <c r="R103" s="383" t="s">
        <v>597</v>
      </c>
      <c r="S103" s="370">
        <f t="shared" si="40"/>
        <v>13847.5</v>
      </c>
      <c r="T103" s="371">
        <f t="shared" si="36"/>
        <v>46877</v>
      </c>
      <c r="U103" s="372">
        <v>66</v>
      </c>
      <c r="V103" s="373">
        <f>N222-T103</f>
        <v>-46877</v>
      </c>
      <c r="W103" s="374">
        <f t="shared" si="31"/>
        <v>0</v>
      </c>
    </row>
    <row r="104" spans="1:23" ht="21">
      <c r="A104" s="1131"/>
      <c r="B104" s="399">
        <f t="shared" si="33"/>
        <v>2027</v>
      </c>
      <c r="C104" s="400">
        <v>46423</v>
      </c>
      <c r="D104" s="401">
        <f>C104-1</f>
        <v>46422</v>
      </c>
      <c r="E104" s="402"/>
      <c r="F104" s="403">
        <f t="shared" ca="1" si="34"/>
        <v>-18.428571428571427</v>
      </c>
      <c r="G104" s="403">
        <v>70</v>
      </c>
      <c r="H104" s="387" t="s">
        <v>705</v>
      </c>
      <c r="I104" s="567">
        <v>1</v>
      </c>
      <c r="J104" s="403">
        <v>50000</v>
      </c>
      <c r="K104" s="403">
        <f t="shared" si="52"/>
        <v>6500</v>
      </c>
      <c r="L104" s="403">
        <f t="shared" ref="L104:L108" si="53">C124-N104</f>
        <v>46</v>
      </c>
      <c r="M104" s="396" t="s">
        <v>285</v>
      </c>
      <c r="N104" s="374">
        <f>C104+21*7</f>
        <v>46570</v>
      </c>
      <c r="O104" s="367">
        <f t="shared" si="43"/>
        <v>46590</v>
      </c>
      <c r="P104" s="368"/>
      <c r="Q104" s="368">
        <v>72</v>
      </c>
      <c r="R104" s="383" t="s">
        <v>601</v>
      </c>
      <c r="S104" s="370">
        <f t="shared" si="40"/>
        <v>47750</v>
      </c>
      <c r="T104" s="371">
        <f t="shared" si="36"/>
        <v>46884</v>
      </c>
      <c r="U104" s="372">
        <v>66</v>
      </c>
      <c r="V104" s="373">
        <f>N221-T104</f>
        <v>-46884</v>
      </c>
      <c r="W104" s="374">
        <f t="shared" si="31"/>
        <v>0</v>
      </c>
    </row>
    <row r="105" spans="1:23" ht="21">
      <c r="B105" s="390">
        <f t="shared" si="33"/>
        <v>2027</v>
      </c>
      <c r="C105" s="404">
        <v>46434</v>
      </c>
      <c r="D105" s="405">
        <f>C105+2</f>
        <v>46436</v>
      </c>
      <c r="E105" s="406"/>
      <c r="F105" s="393">
        <f t="shared" ca="1" si="34"/>
        <v>-20</v>
      </c>
      <c r="G105" s="393">
        <v>70</v>
      </c>
      <c r="H105" s="392" t="s">
        <v>554</v>
      </c>
      <c r="I105" s="569">
        <v>2</v>
      </c>
      <c r="J105" s="393">
        <v>46500</v>
      </c>
      <c r="K105" s="393">
        <f t="shared" si="52"/>
        <v>6045</v>
      </c>
      <c r="L105" s="393">
        <f>C126-N105</f>
        <v>42</v>
      </c>
      <c r="M105" s="1208" t="s">
        <v>522</v>
      </c>
      <c r="N105" s="1197">
        <f t="shared" ref="N105:N138" si="54">C105+21*7</f>
        <v>46581</v>
      </c>
      <c r="O105" s="1198">
        <f t="shared" si="43"/>
        <v>46604</v>
      </c>
      <c r="P105" s="1201"/>
      <c r="Q105" s="1201">
        <v>70</v>
      </c>
      <c r="R105" s="1207" t="s">
        <v>612</v>
      </c>
      <c r="S105" s="1200">
        <f t="shared" si="40"/>
        <v>44407.5</v>
      </c>
      <c r="T105" s="1205">
        <f t="shared" si="36"/>
        <v>46894.5</v>
      </c>
      <c r="U105" s="1206">
        <v>65.5</v>
      </c>
      <c r="V105" s="1199">
        <f>N296-T105</f>
        <v>-46894.5</v>
      </c>
      <c r="W105" s="1197">
        <f>+T105+V105</f>
        <v>0</v>
      </c>
    </row>
    <row r="106" spans="1:23" ht="21">
      <c r="B106" s="390">
        <f t="shared" si="33"/>
        <v>2027</v>
      </c>
      <c r="C106" s="404">
        <v>46436</v>
      </c>
      <c r="D106" s="405">
        <f>C106</f>
        <v>46436</v>
      </c>
      <c r="E106" s="406"/>
      <c r="F106" s="393">
        <f t="shared" ca="1" si="34"/>
        <v>-20.285714285714285</v>
      </c>
      <c r="G106" s="393">
        <v>70</v>
      </c>
      <c r="H106" s="392" t="s">
        <v>554</v>
      </c>
      <c r="I106" s="569">
        <v>2</v>
      </c>
      <c r="J106" s="393">
        <v>20500</v>
      </c>
      <c r="K106" s="393">
        <f t="shared" si="52"/>
        <v>2665</v>
      </c>
      <c r="L106" s="393">
        <f t="shared" si="53"/>
        <v>40</v>
      </c>
      <c r="M106" s="1208" t="s">
        <v>522</v>
      </c>
      <c r="N106" s="374">
        <f t="shared" si="54"/>
        <v>46583</v>
      </c>
      <c r="O106" s="367">
        <f t="shared" si="43"/>
        <v>46604</v>
      </c>
      <c r="P106" s="368"/>
      <c r="Q106" s="368">
        <v>72</v>
      </c>
      <c r="R106" s="395" t="s">
        <v>622</v>
      </c>
      <c r="S106" s="370">
        <f t="shared" si="40"/>
        <v>19577.5</v>
      </c>
      <c r="T106" s="371">
        <f t="shared" si="36"/>
        <v>46898</v>
      </c>
      <c r="U106" s="372">
        <v>66</v>
      </c>
      <c r="V106" s="373">
        <f>N297-T106</f>
        <v>-46898</v>
      </c>
      <c r="W106" s="374">
        <f>+T106+V106</f>
        <v>0</v>
      </c>
    </row>
    <row r="107" spans="1:23" ht="21">
      <c r="B107" s="399">
        <f t="shared" si="33"/>
        <v>2027</v>
      </c>
      <c r="C107" s="400">
        <v>46455</v>
      </c>
      <c r="D107" s="401">
        <f>C107+2</f>
        <v>46457</v>
      </c>
      <c r="E107" s="402"/>
      <c r="F107" s="403">
        <f t="shared" ca="1" si="34"/>
        <v>-23</v>
      </c>
      <c r="G107" s="403">
        <v>70</v>
      </c>
      <c r="H107" s="559" t="s">
        <v>565</v>
      </c>
      <c r="I107" s="567">
        <v>1</v>
      </c>
      <c r="J107" s="403">
        <v>46500</v>
      </c>
      <c r="K107" s="403">
        <f t="shared" si="52"/>
        <v>6045</v>
      </c>
      <c r="L107" s="403">
        <f>C128-N107</f>
        <v>50</v>
      </c>
      <c r="M107" s="396" t="s">
        <v>285</v>
      </c>
      <c r="N107" s="374">
        <f t="shared" si="54"/>
        <v>46602</v>
      </c>
      <c r="O107" s="367">
        <f>D107+24*7</f>
        <v>46625</v>
      </c>
      <c r="P107" s="368"/>
      <c r="Q107" s="368">
        <v>72</v>
      </c>
      <c r="R107" s="369" t="s">
        <v>608</v>
      </c>
      <c r="S107" s="370">
        <f t="shared" ref="S107:S117" si="55">J107*96%</f>
        <v>44640</v>
      </c>
      <c r="T107" s="371">
        <f t="shared" si="36"/>
        <v>46912</v>
      </c>
      <c r="U107" s="372">
        <v>65</v>
      </c>
      <c r="V107" s="373">
        <f>N290-T107</f>
        <v>-46912</v>
      </c>
      <c r="W107" s="374">
        <f t="shared" ref="W107:W138" si="56">+T107+V107</f>
        <v>0</v>
      </c>
    </row>
    <row r="108" spans="1:23" ht="21">
      <c r="B108" s="399">
        <f t="shared" si="33"/>
        <v>2027</v>
      </c>
      <c r="C108" s="400">
        <v>46457</v>
      </c>
      <c r="D108" s="401">
        <f>C108</f>
        <v>46457</v>
      </c>
      <c r="E108" s="402"/>
      <c r="F108" s="403">
        <f t="shared" ca="1" si="34"/>
        <v>-23.285714285714285</v>
      </c>
      <c r="G108" s="403">
        <v>70</v>
      </c>
      <c r="H108" s="559" t="s">
        <v>565</v>
      </c>
      <c r="I108" s="567">
        <v>1</v>
      </c>
      <c r="J108" s="403">
        <v>20500</v>
      </c>
      <c r="K108" s="403">
        <f t="shared" si="52"/>
        <v>2665</v>
      </c>
      <c r="L108" s="403">
        <f t="shared" si="53"/>
        <v>48</v>
      </c>
      <c r="M108" s="396" t="s">
        <v>285</v>
      </c>
      <c r="N108" s="374">
        <f t="shared" si="54"/>
        <v>46604</v>
      </c>
      <c r="O108" s="367">
        <f t="shared" ref="O108:O109" si="57">D108+24*7</f>
        <v>46625</v>
      </c>
      <c r="P108" s="368"/>
      <c r="Q108" s="368">
        <v>72</v>
      </c>
      <c r="R108" s="395" t="s">
        <v>615</v>
      </c>
      <c r="S108" s="370">
        <f t="shared" si="55"/>
        <v>19680</v>
      </c>
      <c r="T108" s="371">
        <f t="shared" si="36"/>
        <v>46919</v>
      </c>
      <c r="U108" s="372">
        <v>66</v>
      </c>
      <c r="V108" s="373">
        <f>N291-T108</f>
        <v>-46919</v>
      </c>
      <c r="W108" s="374">
        <f t="shared" si="56"/>
        <v>0</v>
      </c>
    </row>
    <row r="109" spans="1:23" ht="21">
      <c r="B109" s="390">
        <f t="shared" si="33"/>
        <v>2027</v>
      </c>
      <c r="C109" s="404">
        <v>46490</v>
      </c>
      <c r="D109" s="405">
        <f>C109+2</f>
        <v>46492</v>
      </c>
      <c r="E109" s="406"/>
      <c r="F109" s="393">
        <f t="shared" ca="1" si="34"/>
        <v>-28</v>
      </c>
      <c r="G109" s="393">
        <v>70</v>
      </c>
      <c r="H109" s="392" t="s">
        <v>572</v>
      </c>
      <c r="I109" s="569">
        <v>1</v>
      </c>
      <c r="J109" s="393">
        <v>46500</v>
      </c>
      <c r="K109" s="393">
        <f>J109*13%</f>
        <v>6045</v>
      </c>
      <c r="L109" s="375">
        <f>C133-N109</f>
        <v>63</v>
      </c>
      <c r="M109" s="396" t="s">
        <v>285</v>
      </c>
      <c r="N109" s="374">
        <f t="shared" si="54"/>
        <v>46637</v>
      </c>
      <c r="O109" s="367">
        <f t="shared" si="57"/>
        <v>46660</v>
      </c>
      <c r="P109" s="368"/>
      <c r="Q109" s="368">
        <v>72</v>
      </c>
      <c r="R109" s="369" t="s">
        <v>617</v>
      </c>
      <c r="S109" s="370">
        <f t="shared" si="55"/>
        <v>44640</v>
      </c>
      <c r="T109" s="371">
        <f t="shared" si="36"/>
        <v>46954</v>
      </c>
      <c r="U109" s="372">
        <v>66</v>
      </c>
      <c r="V109" s="373">
        <f>N292-T109</f>
        <v>-46954</v>
      </c>
      <c r="W109" s="374">
        <f t="shared" si="56"/>
        <v>0</v>
      </c>
    </row>
    <row r="110" spans="1:23" ht="21">
      <c r="B110" s="390">
        <f t="shared" si="33"/>
        <v>2027</v>
      </c>
      <c r="C110" s="404">
        <v>46492</v>
      </c>
      <c r="D110" s="405">
        <f>C110</f>
        <v>46492</v>
      </c>
      <c r="E110" s="406"/>
      <c r="F110" s="393">
        <f t="shared" ca="1" si="34"/>
        <v>-28.285714285714285</v>
      </c>
      <c r="G110" s="393">
        <v>70</v>
      </c>
      <c r="H110" s="392" t="s">
        <v>572</v>
      </c>
      <c r="I110" s="569">
        <v>1</v>
      </c>
      <c r="J110" s="393">
        <v>20000</v>
      </c>
      <c r="K110" s="393">
        <f>J110*13%</f>
        <v>2600</v>
      </c>
      <c r="L110" s="375">
        <f>C133-N110</f>
        <v>61</v>
      </c>
      <c r="M110" s="396" t="s">
        <v>285</v>
      </c>
      <c r="N110" s="374">
        <f t="shared" si="54"/>
        <v>46639</v>
      </c>
      <c r="O110" s="367">
        <f>D110+24*7</f>
        <v>46660</v>
      </c>
      <c r="P110" s="368"/>
      <c r="Q110" s="368">
        <v>72</v>
      </c>
      <c r="R110" s="369" t="s">
        <v>620</v>
      </c>
      <c r="S110" s="370">
        <f t="shared" si="55"/>
        <v>19200</v>
      </c>
      <c r="T110" s="371">
        <f t="shared" si="36"/>
        <v>46954</v>
      </c>
      <c r="U110" s="372">
        <v>66</v>
      </c>
      <c r="V110" s="373">
        <f>N294-T110</f>
        <v>-46954</v>
      </c>
      <c r="W110" s="374">
        <f t="shared" si="56"/>
        <v>0</v>
      </c>
    </row>
    <row r="111" spans="1:23" ht="21">
      <c r="B111" s="390">
        <f t="shared" si="33"/>
        <v>2027</v>
      </c>
      <c r="C111" s="404">
        <v>46499</v>
      </c>
      <c r="D111" s="405">
        <f>C111</f>
        <v>46499</v>
      </c>
      <c r="E111" s="406"/>
      <c r="F111" s="393">
        <f t="shared" ca="1" si="34"/>
        <v>-29.285714285714285</v>
      </c>
      <c r="G111" s="393">
        <v>70</v>
      </c>
      <c r="H111" s="392" t="s">
        <v>576</v>
      </c>
      <c r="I111" s="569">
        <v>1</v>
      </c>
      <c r="J111" s="393">
        <v>26500</v>
      </c>
      <c r="K111" s="393">
        <f>J111*13%</f>
        <v>3445</v>
      </c>
      <c r="L111" s="393">
        <f>C130-N111</f>
        <v>33</v>
      </c>
      <c r="M111" s="396" t="s">
        <v>285</v>
      </c>
      <c r="N111" s="374">
        <f t="shared" si="54"/>
        <v>46646</v>
      </c>
      <c r="O111" s="367">
        <f>D111+24*7</f>
        <v>46667</v>
      </c>
      <c r="P111" s="368"/>
      <c r="Q111" s="368">
        <v>72</v>
      </c>
      <c r="R111" s="369" t="s">
        <v>620</v>
      </c>
      <c r="S111" s="370">
        <f t="shared" si="55"/>
        <v>25440</v>
      </c>
      <c r="T111" s="371">
        <f t="shared" si="36"/>
        <v>46961</v>
      </c>
      <c r="U111" s="372">
        <v>66</v>
      </c>
      <c r="V111" s="373">
        <f>N295-T111</f>
        <v>-46961</v>
      </c>
      <c r="W111" s="374">
        <f t="shared" si="56"/>
        <v>0</v>
      </c>
    </row>
    <row r="112" spans="1:23" ht="21">
      <c r="B112" s="390">
        <f t="shared" si="33"/>
        <v>2027</v>
      </c>
      <c r="C112" s="404">
        <v>46501</v>
      </c>
      <c r="D112" s="405">
        <f>C112-2</f>
        <v>46499</v>
      </c>
      <c r="E112" s="406"/>
      <c r="F112" s="393">
        <f t="shared" ca="1" si="34"/>
        <v>-29.571428571428573</v>
      </c>
      <c r="G112" s="393">
        <v>70</v>
      </c>
      <c r="H112" s="392" t="s">
        <v>576</v>
      </c>
      <c r="I112" s="569">
        <v>1</v>
      </c>
      <c r="J112" s="393">
        <v>50000</v>
      </c>
      <c r="K112" s="393">
        <f>J112*13%</f>
        <v>6500</v>
      </c>
      <c r="L112" s="393">
        <f>C130-N112</f>
        <v>31</v>
      </c>
      <c r="M112" s="396" t="s">
        <v>285</v>
      </c>
      <c r="N112" s="374">
        <f t="shared" si="54"/>
        <v>46648</v>
      </c>
      <c r="O112" s="367">
        <f>D112+24*7</f>
        <v>46667</v>
      </c>
      <c r="P112" s="368"/>
      <c r="Q112" s="368">
        <v>94</v>
      </c>
      <c r="R112" s="369" t="s">
        <v>625</v>
      </c>
      <c r="S112" s="370">
        <f t="shared" si="55"/>
        <v>48000</v>
      </c>
      <c r="T112" s="371">
        <f t="shared" si="36"/>
        <v>46961</v>
      </c>
      <c r="U112" s="372">
        <v>66</v>
      </c>
      <c r="V112" s="373">
        <f>N295-T112</f>
        <v>-46961</v>
      </c>
      <c r="W112" s="374">
        <f t="shared" si="56"/>
        <v>0</v>
      </c>
    </row>
    <row r="113" spans="2:23" ht="21">
      <c r="B113" s="390">
        <f t="shared" si="33"/>
        <v>2027</v>
      </c>
      <c r="C113" s="404">
        <v>46504</v>
      </c>
      <c r="D113" s="405">
        <f>C113+2</f>
        <v>46506</v>
      </c>
      <c r="E113" s="406"/>
      <c r="F113" s="393">
        <f t="shared" ca="1" si="34"/>
        <v>-30</v>
      </c>
      <c r="G113" s="393">
        <v>70</v>
      </c>
      <c r="H113" s="392" t="s">
        <v>576</v>
      </c>
      <c r="I113" s="569">
        <v>1</v>
      </c>
      <c r="J113" s="393">
        <v>46500</v>
      </c>
      <c r="K113" s="393">
        <f>J113*13%</f>
        <v>6045</v>
      </c>
      <c r="L113" s="393">
        <f>C130-N113</f>
        <v>28</v>
      </c>
      <c r="M113" s="396" t="s">
        <v>285</v>
      </c>
      <c r="N113" s="374">
        <f t="shared" si="54"/>
        <v>46651</v>
      </c>
      <c r="O113" s="367">
        <f t="shared" ref="O113:O121" si="58">D113+24*7</f>
        <v>46674</v>
      </c>
      <c r="P113" s="368"/>
      <c r="Q113" s="368">
        <v>104</v>
      </c>
      <c r="R113" s="380" t="s">
        <v>627</v>
      </c>
      <c r="S113" s="370">
        <f t="shared" si="55"/>
        <v>44640</v>
      </c>
      <c r="T113" s="371">
        <f t="shared" si="36"/>
        <v>46968</v>
      </c>
      <c r="U113" s="372">
        <v>66</v>
      </c>
      <c r="V113" s="373">
        <f>N299-T113</f>
        <v>-46968</v>
      </c>
      <c r="W113" s="374">
        <f t="shared" si="56"/>
        <v>0</v>
      </c>
    </row>
    <row r="114" spans="2:23" ht="21">
      <c r="B114" s="399">
        <f t="shared" si="33"/>
        <v>2027</v>
      </c>
      <c r="C114" s="400">
        <v>46525</v>
      </c>
      <c r="D114" s="401">
        <f>C114+2</f>
        <v>46527</v>
      </c>
      <c r="E114" s="402"/>
      <c r="F114" s="403">
        <f t="shared" ca="1" si="34"/>
        <v>-33</v>
      </c>
      <c r="G114" s="403">
        <v>70</v>
      </c>
      <c r="H114" s="559" t="s">
        <v>585</v>
      </c>
      <c r="I114" s="567">
        <v>1</v>
      </c>
      <c r="J114" s="403">
        <v>46500</v>
      </c>
      <c r="K114" s="403">
        <f t="shared" ref="K114:K116" si="59">J114*14%</f>
        <v>6510.0000000000009</v>
      </c>
      <c r="L114" s="403">
        <f>C135-N114</f>
        <v>37</v>
      </c>
      <c r="M114" s="564" t="s">
        <v>561</v>
      </c>
      <c r="N114" s="379">
        <f t="shared" si="54"/>
        <v>46672</v>
      </c>
      <c r="O114" s="386">
        <f t="shared" si="58"/>
        <v>46695</v>
      </c>
      <c r="P114" s="561"/>
      <c r="Q114" s="561">
        <v>70</v>
      </c>
      <c r="R114" s="1209" t="s">
        <v>635</v>
      </c>
      <c r="S114" s="375">
        <f t="shared" si="55"/>
        <v>44640</v>
      </c>
      <c r="T114" s="376">
        <f t="shared" si="36"/>
        <v>46989</v>
      </c>
      <c r="U114" s="377">
        <v>66</v>
      </c>
      <c r="V114" s="378">
        <f>N301-T114</f>
        <v>-46989</v>
      </c>
      <c r="W114" s="379">
        <f t="shared" si="56"/>
        <v>0</v>
      </c>
    </row>
    <row r="115" spans="2:23" ht="21">
      <c r="B115" s="399">
        <f t="shared" si="33"/>
        <v>2027</v>
      </c>
      <c r="C115" s="400">
        <v>46527</v>
      </c>
      <c r="D115" s="401">
        <f>C115</f>
        <v>46527</v>
      </c>
      <c r="E115" s="402"/>
      <c r="F115" s="403">
        <f t="shared" ca="1" si="34"/>
        <v>-33.285714285714285</v>
      </c>
      <c r="G115" s="403">
        <v>70</v>
      </c>
      <c r="H115" s="559" t="s">
        <v>585</v>
      </c>
      <c r="I115" s="567">
        <v>1</v>
      </c>
      <c r="J115" s="403">
        <v>21000</v>
      </c>
      <c r="K115" s="403">
        <f t="shared" si="59"/>
        <v>2940.0000000000005</v>
      </c>
      <c r="L115" s="403">
        <f t="shared" ref="L115" si="60">C135-N115</f>
        <v>35</v>
      </c>
      <c r="M115" s="564" t="s">
        <v>561</v>
      </c>
      <c r="N115" s="374">
        <f t="shared" si="54"/>
        <v>46674</v>
      </c>
      <c r="O115" s="367">
        <f t="shared" si="58"/>
        <v>46695</v>
      </c>
      <c r="P115" s="368"/>
      <c r="Q115" s="368">
        <v>94</v>
      </c>
      <c r="R115" s="388" t="s">
        <v>629</v>
      </c>
      <c r="S115" s="370">
        <f t="shared" si="55"/>
        <v>20160</v>
      </c>
      <c r="T115" s="371">
        <f t="shared" si="36"/>
        <v>46989</v>
      </c>
      <c r="U115" s="372">
        <v>66</v>
      </c>
      <c r="V115" s="373">
        <f>N302-T115</f>
        <v>-46989</v>
      </c>
      <c r="W115" s="374">
        <f t="shared" si="56"/>
        <v>0</v>
      </c>
    </row>
    <row r="116" spans="2:23" ht="21">
      <c r="B116" s="399">
        <f t="shared" si="33"/>
        <v>2027</v>
      </c>
      <c r="C116" s="400">
        <v>46532</v>
      </c>
      <c r="D116" s="401">
        <f>C116+2</f>
        <v>46534</v>
      </c>
      <c r="E116" s="402"/>
      <c r="F116" s="403">
        <f t="shared" ca="1" si="34"/>
        <v>-34</v>
      </c>
      <c r="G116" s="403">
        <v>70</v>
      </c>
      <c r="H116" s="399" t="s">
        <v>704</v>
      </c>
      <c r="I116" s="567">
        <v>1</v>
      </c>
      <c r="J116" s="403">
        <v>7500</v>
      </c>
      <c r="K116" s="403">
        <f t="shared" si="59"/>
        <v>1050</v>
      </c>
      <c r="L116" s="403">
        <f>C137-N116</f>
        <v>58</v>
      </c>
      <c r="M116" s="564" t="s">
        <v>561</v>
      </c>
      <c r="N116" s="374">
        <f t="shared" si="54"/>
        <v>46679</v>
      </c>
      <c r="O116" s="367">
        <f t="shared" si="58"/>
        <v>46702</v>
      </c>
      <c r="P116" s="368"/>
      <c r="Q116" s="368">
        <v>94</v>
      </c>
      <c r="R116" s="388" t="s">
        <v>629</v>
      </c>
      <c r="S116" s="370">
        <f t="shared" si="55"/>
        <v>7200</v>
      </c>
      <c r="T116" s="371">
        <f t="shared" si="36"/>
        <v>46996</v>
      </c>
      <c r="U116" s="372">
        <v>66</v>
      </c>
      <c r="V116" s="373">
        <f>N303-T116</f>
        <v>-46996</v>
      </c>
      <c r="W116" s="374">
        <f t="shared" si="56"/>
        <v>0</v>
      </c>
    </row>
    <row r="117" spans="2:23" ht="21">
      <c r="B117" s="399">
        <f t="shared" si="33"/>
        <v>2027</v>
      </c>
      <c r="C117" s="400">
        <v>46535</v>
      </c>
      <c r="D117" s="401">
        <f>C117-1</f>
        <v>46534</v>
      </c>
      <c r="E117" s="402"/>
      <c r="F117" s="403">
        <f t="shared" ca="1" si="34"/>
        <v>-34.428571428571431</v>
      </c>
      <c r="G117" s="403">
        <v>70</v>
      </c>
      <c r="H117" s="399" t="s">
        <v>704</v>
      </c>
      <c r="I117" s="567">
        <v>1</v>
      </c>
      <c r="J117" s="403">
        <v>60000</v>
      </c>
      <c r="K117" s="403">
        <f>J117*13%</f>
        <v>7800</v>
      </c>
      <c r="L117" s="403">
        <f>C137-N117</f>
        <v>55</v>
      </c>
      <c r="M117" s="396" t="s">
        <v>285</v>
      </c>
      <c r="N117" s="374">
        <f t="shared" si="54"/>
        <v>46682</v>
      </c>
      <c r="O117" s="367">
        <f t="shared" si="58"/>
        <v>46702</v>
      </c>
      <c r="P117" s="368"/>
      <c r="Q117" s="368">
        <v>72</v>
      </c>
      <c r="R117" s="389" t="s">
        <v>632</v>
      </c>
      <c r="S117" s="370">
        <f t="shared" si="55"/>
        <v>57600</v>
      </c>
      <c r="T117" s="371">
        <f t="shared" si="36"/>
        <v>46996</v>
      </c>
      <c r="U117" s="372">
        <v>66</v>
      </c>
      <c r="V117" s="373">
        <f>N196-T117</f>
        <v>-46996</v>
      </c>
      <c r="W117" s="374">
        <f t="shared" si="56"/>
        <v>0</v>
      </c>
    </row>
    <row r="118" spans="2:23" ht="21">
      <c r="B118" s="390">
        <f t="shared" si="33"/>
        <v>2027</v>
      </c>
      <c r="C118" s="404">
        <v>46567</v>
      </c>
      <c r="D118" s="405">
        <f>C118+2</f>
        <v>46569</v>
      </c>
      <c r="E118" s="406"/>
      <c r="F118" s="393">
        <f t="shared" ca="1" si="34"/>
        <v>-39</v>
      </c>
      <c r="G118" s="393">
        <v>70</v>
      </c>
      <c r="H118" s="390" t="s">
        <v>595</v>
      </c>
      <c r="I118" s="569">
        <v>1</v>
      </c>
      <c r="J118" s="393">
        <v>46500</v>
      </c>
      <c r="K118" s="393">
        <f t="shared" ref="K118:K119" si="61">J118*13%</f>
        <v>6045</v>
      </c>
      <c r="L118" s="393">
        <f>C170-N118</f>
        <v>-46714</v>
      </c>
      <c r="M118" s="396" t="s">
        <v>285</v>
      </c>
      <c r="N118" s="374">
        <f t="shared" si="54"/>
        <v>46714</v>
      </c>
      <c r="O118" s="367">
        <f t="shared" si="58"/>
        <v>46737</v>
      </c>
      <c r="P118" s="368"/>
      <c r="Q118" s="368">
        <v>70</v>
      </c>
      <c r="R118" s="380" t="s">
        <v>638</v>
      </c>
      <c r="S118" s="370">
        <f t="shared" ref="S118:S138" si="62">J118*95.5%</f>
        <v>44407.5</v>
      </c>
      <c r="T118" s="371">
        <f t="shared" si="36"/>
        <v>47031</v>
      </c>
      <c r="U118" s="372">
        <v>66</v>
      </c>
      <c r="V118" s="373">
        <f>N313-T118</f>
        <v>-47031</v>
      </c>
      <c r="W118" s="374">
        <f t="shared" si="56"/>
        <v>0</v>
      </c>
    </row>
    <row r="119" spans="2:23" ht="12" customHeight="1">
      <c r="B119" s="390">
        <f t="shared" si="33"/>
        <v>2027</v>
      </c>
      <c r="C119" s="404">
        <v>46570</v>
      </c>
      <c r="D119" s="405">
        <f>C119-1</f>
        <v>46569</v>
      </c>
      <c r="E119" s="406"/>
      <c r="F119" s="393">
        <f t="shared" ca="1" si="34"/>
        <v>-39.428571428571431</v>
      </c>
      <c r="G119" s="393">
        <v>70</v>
      </c>
      <c r="H119" s="390" t="s">
        <v>595</v>
      </c>
      <c r="I119" s="569">
        <v>1</v>
      </c>
      <c r="J119" s="393">
        <v>15500</v>
      </c>
      <c r="K119" s="393">
        <f t="shared" si="61"/>
        <v>2015</v>
      </c>
      <c r="L119" s="393">
        <f>C171-N119</f>
        <v>-46717</v>
      </c>
      <c r="M119" s="396" t="s">
        <v>285</v>
      </c>
      <c r="N119" s="374">
        <f t="shared" si="54"/>
        <v>46717</v>
      </c>
      <c r="O119" s="367">
        <f t="shared" si="58"/>
        <v>46737</v>
      </c>
      <c r="P119" s="368"/>
      <c r="Q119" s="368">
        <v>70</v>
      </c>
      <c r="R119" s="385" t="s">
        <v>641</v>
      </c>
      <c r="S119" s="370">
        <f t="shared" si="62"/>
        <v>14802.5</v>
      </c>
      <c r="T119" s="371">
        <f t="shared" si="36"/>
        <v>47031</v>
      </c>
      <c r="U119" s="372">
        <v>66</v>
      </c>
      <c r="V119" s="373">
        <f>N311-T119</f>
        <v>-47031</v>
      </c>
      <c r="W119" s="374">
        <f t="shared" si="56"/>
        <v>0</v>
      </c>
    </row>
    <row r="120" spans="2:23" ht="21">
      <c r="B120" s="390">
        <f t="shared" si="33"/>
        <v>2027</v>
      </c>
      <c r="C120" s="404">
        <v>46576</v>
      </c>
      <c r="D120" s="405">
        <f>C120</f>
        <v>46576</v>
      </c>
      <c r="E120" s="406"/>
      <c r="F120" s="393">
        <f t="shared" ca="1" si="34"/>
        <v>-40.285714285714285</v>
      </c>
      <c r="G120" s="393">
        <v>70</v>
      </c>
      <c r="H120" s="571" t="s">
        <v>599</v>
      </c>
      <c r="I120" s="569">
        <v>1</v>
      </c>
      <c r="J120" s="393">
        <v>31000</v>
      </c>
      <c r="K120" s="393">
        <f>J120*13%</f>
        <v>4030</v>
      </c>
      <c r="L120" s="393">
        <f>C350-N120</f>
        <v>-46723</v>
      </c>
      <c r="M120" s="396" t="s">
        <v>285</v>
      </c>
      <c r="N120" s="374">
        <f t="shared" si="54"/>
        <v>46723</v>
      </c>
      <c r="O120" s="367">
        <f t="shared" si="58"/>
        <v>46744</v>
      </c>
      <c r="P120" s="368"/>
      <c r="Q120" s="368">
        <v>72</v>
      </c>
      <c r="R120" s="385" t="s">
        <v>641</v>
      </c>
      <c r="S120" s="370">
        <f t="shared" si="62"/>
        <v>29605</v>
      </c>
      <c r="T120" s="371">
        <f t="shared" si="36"/>
        <v>47038</v>
      </c>
      <c r="U120" s="372">
        <v>66</v>
      </c>
      <c r="V120" s="373">
        <f>N311-T120</f>
        <v>-47038</v>
      </c>
      <c r="W120" s="374">
        <f t="shared" si="56"/>
        <v>0</v>
      </c>
    </row>
    <row r="121" spans="2:23" ht="21">
      <c r="B121" s="390">
        <f t="shared" si="33"/>
        <v>2027</v>
      </c>
      <c r="C121" s="404">
        <v>46577</v>
      </c>
      <c r="D121" s="405">
        <f>C121-1</f>
        <v>46576</v>
      </c>
      <c r="E121" s="406"/>
      <c r="F121" s="393">
        <f t="shared" ca="1" si="34"/>
        <v>-40.428571428571431</v>
      </c>
      <c r="G121" s="393">
        <v>70</v>
      </c>
      <c r="H121" s="571" t="s">
        <v>599</v>
      </c>
      <c r="I121" s="569">
        <v>1</v>
      </c>
      <c r="J121" s="393">
        <v>31000</v>
      </c>
      <c r="K121" s="393">
        <f t="shared" ref="K121:K129" si="63">J121*13%</f>
        <v>4030</v>
      </c>
      <c r="L121" s="393">
        <f>C351-N121</f>
        <v>-46724</v>
      </c>
      <c r="M121" s="396" t="s">
        <v>285</v>
      </c>
      <c r="N121" s="374">
        <f t="shared" si="54"/>
        <v>46724</v>
      </c>
      <c r="O121" s="367">
        <f t="shared" si="58"/>
        <v>46744</v>
      </c>
      <c r="P121" s="368"/>
      <c r="Q121" s="368">
        <v>72</v>
      </c>
      <c r="R121" s="385" t="s">
        <v>644</v>
      </c>
      <c r="S121" s="370">
        <f t="shared" si="62"/>
        <v>29605</v>
      </c>
      <c r="T121" s="371">
        <f t="shared" si="36"/>
        <v>47038</v>
      </c>
      <c r="U121" s="372">
        <v>66</v>
      </c>
      <c r="V121" s="373">
        <f>N314-T121</f>
        <v>-47038</v>
      </c>
      <c r="W121" s="374">
        <f t="shared" si="56"/>
        <v>0</v>
      </c>
    </row>
    <row r="122" spans="2:23" ht="21">
      <c r="B122" s="390">
        <f t="shared" si="33"/>
        <v>2027</v>
      </c>
      <c r="C122" s="404">
        <v>46582</v>
      </c>
      <c r="D122" s="405">
        <f>C122+1</f>
        <v>46583</v>
      </c>
      <c r="E122" s="406"/>
      <c r="F122" s="393">
        <f t="shared" ca="1" si="34"/>
        <v>-41.142857142857146</v>
      </c>
      <c r="G122" s="393">
        <v>70</v>
      </c>
      <c r="H122" s="390" t="s">
        <v>547</v>
      </c>
      <c r="I122" s="569">
        <v>1</v>
      </c>
      <c r="J122" s="393">
        <v>15500</v>
      </c>
      <c r="K122" s="393">
        <f t="shared" si="63"/>
        <v>2015</v>
      </c>
      <c r="L122" s="393">
        <f>C351-N122</f>
        <v>-46729</v>
      </c>
      <c r="M122" s="396" t="s">
        <v>285</v>
      </c>
      <c r="N122" s="374">
        <f t="shared" si="54"/>
        <v>46729</v>
      </c>
      <c r="O122" s="367">
        <f>D122+24*7</f>
        <v>46751</v>
      </c>
      <c r="P122" s="368"/>
      <c r="Q122" s="368">
        <v>70</v>
      </c>
      <c r="R122" s="385" t="s">
        <v>644</v>
      </c>
      <c r="S122" s="370">
        <f t="shared" si="62"/>
        <v>14802.5</v>
      </c>
      <c r="T122" s="371">
        <f t="shared" si="36"/>
        <v>47045</v>
      </c>
      <c r="U122" s="372">
        <v>66</v>
      </c>
      <c r="V122" s="373">
        <f>N317-T122</f>
        <v>-47045</v>
      </c>
      <c r="W122" s="374">
        <f t="shared" si="56"/>
        <v>0</v>
      </c>
    </row>
    <row r="123" spans="2:23" ht="21">
      <c r="B123" s="390">
        <f t="shared" si="33"/>
        <v>2027</v>
      </c>
      <c r="C123" s="404">
        <v>46584</v>
      </c>
      <c r="D123" s="405">
        <f>C123-1</f>
        <v>46583</v>
      </c>
      <c r="E123" s="406"/>
      <c r="F123" s="393">
        <f t="shared" ca="1" si="34"/>
        <v>-41.428571428571431</v>
      </c>
      <c r="G123" s="393">
        <v>70</v>
      </c>
      <c r="H123" s="390" t="s">
        <v>547</v>
      </c>
      <c r="I123" s="569">
        <v>1</v>
      </c>
      <c r="J123" s="393">
        <v>46500</v>
      </c>
      <c r="K123" s="393">
        <f t="shared" si="63"/>
        <v>6045</v>
      </c>
      <c r="L123" s="393">
        <f>C352-N123</f>
        <v>-46731</v>
      </c>
      <c r="M123" s="396" t="s">
        <v>285</v>
      </c>
      <c r="N123" s="374">
        <f t="shared" si="54"/>
        <v>46731</v>
      </c>
      <c r="O123" s="367">
        <f>D123+24*7</f>
        <v>46751</v>
      </c>
      <c r="P123" s="368"/>
      <c r="Q123" s="368">
        <v>70</v>
      </c>
      <c r="R123" s="369" t="s">
        <v>648</v>
      </c>
      <c r="S123" s="370">
        <f t="shared" si="62"/>
        <v>44407.5</v>
      </c>
      <c r="T123" s="371">
        <f t="shared" si="36"/>
        <v>47045</v>
      </c>
      <c r="U123" s="372">
        <v>66</v>
      </c>
      <c r="V123" s="373">
        <f>N318-T123</f>
        <v>-47045</v>
      </c>
      <c r="W123" s="374">
        <f t="shared" si="56"/>
        <v>0</v>
      </c>
    </row>
    <row r="124" spans="2:23" ht="21">
      <c r="B124" s="399">
        <f t="shared" si="33"/>
        <v>2027</v>
      </c>
      <c r="C124" s="400">
        <v>46616</v>
      </c>
      <c r="D124" s="401">
        <f>C124</f>
        <v>46616</v>
      </c>
      <c r="E124" s="402"/>
      <c r="F124" s="403">
        <f t="shared" ca="1" si="34"/>
        <v>-46</v>
      </c>
      <c r="G124" s="403">
        <v>70</v>
      </c>
      <c r="H124" s="387" t="s">
        <v>705</v>
      </c>
      <c r="I124" s="567">
        <v>2</v>
      </c>
      <c r="J124" s="403">
        <v>31000</v>
      </c>
      <c r="K124" s="403">
        <f>J124*14%</f>
        <v>4340</v>
      </c>
      <c r="L124" s="403">
        <f>C353-N124</f>
        <v>-46763</v>
      </c>
      <c r="M124" s="564" t="s">
        <v>561</v>
      </c>
      <c r="N124" s="379">
        <f t="shared" si="54"/>
        <v>46763</v>
      </c>
      <c r="O124" s="367">
        <f t="shared" ref="O124:O138" si="64">D124+24*7</f>
        <v>46784</v>
      </c>
      <c r="P124" s="368"/>
      <c r="Q124" s="368">
        <v>72</v>
      </c>
      <c r="R124" s="395" t="s">
        <v>550</v>
      </c>
      <c r="S124" s="370">
        <f t="shared" si="62"/>
        <v>29605</v>
      </c>
      <c r="T124" s="371">
        <f t="shared" si="36"/>
        <v>47078</v>
      </c>
      <c r="U124" s="372">
        <v>66</v>
      </c>
      <c r="V124" s="373">
        <f>N320-T124</f>
        <v>-47078</v>
      </c>
      <c r="W124" s="374">
        <f t="shared" si="56"/>
        <v>0</v>
      </c>
    </row>
    <row r="125" spans="2:23" ht="21">
      <c r="B125" s="399">
        <f t="shared" si="33"/>
        <v>2027</v>
      </c>
      <c r="C125" s="400">
        <v>46618</v>
      </c>
      <c r="D125" s="401">
        <f>C125-1</f>
        <v>46617</v>
      </c>
      <c r="E125" s="402"/>
      <c r="F125" s="403">
        <f t="shared" ca="1" si="34"/>
        <v>-46.285714285714285</v>
      </c>
      <c r="G125" s="403">
        <v>70</v>
      </c>
      <c r="H125" s="387" t="s">
        <v>705</v>
      </c>
      <c r="I125" s="567">
        <v>2</v>
      </c>
      <c r="J125" s="403">
        <v>31500</v>
      </c>
      <c r="K125" s="403">
        <f>J125*14%</f>
        <v>4410</v>
      </c>
      <c r="L125" s="403">
        <f>C352-N125</f>
        <v>-46765</v>
      </c>
      <c r="M125" s="564" t="s">
        <v>561</v>
      </c>
      <c r="N125" s="374">
        <f t="shared" si="54"/>
        <v>46765</v>
      </c>
      <c r="O125" s="367">
        <f t="shared" si="64"/>
        <v>46785</v>
      </c>
      <c r="P125" s="368"/>
      <c r="Q125" s="368">
        <v>72</v>
      </c>
      <c r="R125" s="385" t="s">
        <v>651</v>
      </c>
      <c r="S125" s="370">
        <f t="shared" si="62"/>
        <v>30082.5</v>
      </c>
      <c r="T125" s="371">
        <f t="shared" si="36"/>
        <v>47072</v>
      </c>
      <c r="U125" s="372">
        <v>65</v>
      </c>
      <c r="V125" s="373">
        <f>N321-T125</f>
        <v>-47072</v>
      </c>
      <c r="W125" s="374">
        <f t="shared" si="56"/>
        <v>0</v>
      </c>
    </row>
    <row r="126" spans="2:23" ht="21">
      <c r="B126" s="399">
        <f t="shared" si="33"/>
        <v>2027</v>
      </c>
      <c r="C126" s="400">
        <v>46623</v>
      </c>
      <c r="D126" s="401">
        <f>C126+2</f>
        <v>46625</v>
      </c>
      <c r="E126" s="402"/>
      <c r="F126" s="403">
        <f t="shared" ca="1" si="34"/>
        <v>-47</v>
      </c>
      <c r="G126" s="403">
        <v>70</v>
      </c>
      <c r="H126" s="559" t="s">
        <v>554</v>
      </c>
      <c r="I126" s="567">
        <v>1</v>
      </c>
      <c r="J126" s="403">
        <v>15500</v>
      </c>
      <c r="K126" s="403">
        <f t="shared" ref="K126:K127" si="65">J126*14%</f>
        <v>2170</v>
      </c>
      <c r="L126" s="403">
        <f>C148-N126</f>
        <v>-46770</v>
      </c>
      <c r="M126" s="564" t="s">
        <v>561</v>
      </c>
      <c r="N126" s="374">
        <f t="shared" si="54"/>
        <v>46770</v>
      </c>
      <c r="O126" s="367">
        <f t="shared" si="64"/>
        <v>46793</v>
      </c>
      <c r="P126" s="368"/>
      <c r="Q126" s="368">
        <v>70</v>
      </c>
      <c r="R126" s="385" t="s">
        <v>651</v>
      </c>
      <c r="S126" s="370">
        <f t="shared" si="62"/>
        <v>14802.5</v>
      </c>
      <c r="T126" s="371">
        <f t="shared" si="36"/>
        <v>47087</v>
      </c>
      <c r="U126" s="372">
        <v>66</v>
      </c>
      <c r="V126" s="373">
        <f>N326-T126</f>
        <v>-47087</v>
      </c>
      <c r="W126" s="374">
        <f t="shared" si="56"/>
        <v>0</v>
      </c>
    </row>
    <row r="127" spans="2:23" ht="21">
      <c r="B127" s="399">
        <f t="shared" si="33"/>
        <v>2027</v>
      </c>
      <c r="C127" s="400">
        <v>46626</v>
      </c>
      <c r="D127" s="401">
        <f>C127</f>
        <v>46626</v>
      </c>
      <c r="E127" s="402"/>
      <c r="F127" s="403">
        <f t="shared" ca="1" si="34"/>
        <v>-47.428571428571431</v>
      </c>
      <c r="G127" s="403">
        <v>70</v>
      </c>
      <c r="H127" s="559" t="s">
        <v>554</v>
      </c>
      <c r="I127" s="567">
        <v>1</v>
      </c>
      <c r="J127" s="403">
        <v>47000</v>
      </c>
      <c r="K127" s="403">
        <f t="shared" si="65"/>
        <v>6580.0000000000009</v>
      </c>
      <c r="L127" s="403">
        <f>C148-N127</f>
        <v>-46773</v>
      </c>
      <c r="M127" s="564" t="s">
        <v>561</v>
      </c>
      <c r="N127" s="379">
        <f t="shared" si="54"/>
        <v>46773</v>
      </c>
      <c r="O127" s="367">
        <f t="shared" si="64"/>
        <v>46794</v>
      </c>
      <c r="P127" s="368"/>
      <c r="Q127" s="368">
        <v>70</v>
      </c>
      <c r="R127" s="388" t="s">
        <v>552</v>
      </c>
      <c r="S127" s="370">
        <f t="shared" si="62"/>
        <v>44885</v>
      </c>
      <c r="T127" s="371">
        <f t="shared" si="36"/>
        <v>47088</v>
      </c>
      <c r="U127" s="372">
        <v>66</v>
      </c>
      <c r="V127" s="373">
        <f>N327-T127</f>
        <v>-47088</v>
      </c>
      <c r="W127" s="374">
        <f t="shared" si="56"/>
        <v>0</v>
      </c>
    </row>
    <row r="128" spans="2:23" ht="21">
      <c r="B128" s="390">
        <f t="shared" si="33"/>
        <v>2027</v>
      </c>
      <c r="C128" s="404">
        <v>46652</v>
      </c>
      <c r="D128" s="405">
        <f>C128+1</f>
        <v>46653</v>
      </c>
      <c r="E128" s="406"/>
      <c r="F128" s="393">
        <f t="shared" ca="1" si="34"/>
        <v>-51.142857142857146</v>
      </c>
      <c r="G128" s="393">
        <v>70</v>
      </c>
      <c r="H128" s="392" t="s">
        <v>565</v>
      </c>
      <c r="I128" s="569">
        <v>2</v>
      </c>
      <c r="J128" s="393">
        <v>20500</v>
      </c>
      <c r="K128" s="393">
        <f t="shared" si="63"/>
        <v>2665</v>
      </c>
      <c r="L128" s="393">
        <f>C359-N128</f>
        <v>-46799</v>
      </c>
      <c r="M128" s="1208" t="s">
        <v>522</v>
      </c>
      <c r="N128" s="374">
        <f t="shared" si="54"/>
        <v>46799</v>
      </c>
      <c r="O128" s="367">
        <f t="shared" si="64"/>
        <v>46821</v>
      </c>
      <c r="P128" s="368"/>
      <c r="Q128" s="368">
        <v>110</v>
      </c>
      <c r="R128" s="395" t="s">
        <v>559</v>
      </c>
      <c r="S128" s="370">
        <f t="shared" si="62"/>
        <v>19577.5</v>
      </c>
      <c r="T128" s="371">
        <f t="shared" si="36"/>
        <v>47115</v>
      </c>
      <c r="U128" s="372">
        <v>66</v>
      </c>
      <c r="V128" s="373">
        <f>N209-T128</f>
        <v>-47115</v>
      </c>
      <c r="W128" s="374">
        <f t="shared" si="56"/>
        <v>0</v>
      </c>
    </row>
    <row r="129" spans="2:23" ht="21">
      <c r="B129" s="390">
        <f t="shared" si="33"/>
        <v>2027</v>
      </c>
      <c r="C129" s="404">
        <v>46654</v>
      </c>
      <c r="D129" s="405">
        <f>C129-1</f>
        <v>46653</v>
      </c>
      <c r="E129" s="406"/>
      <c r="F129" s="393">
        <f t="shared" ca="1" si="34"/>
        <v>-51.428571428571431</v>
      </c>
      <c r="G129" s="393">
        <v>70</v>
      </c>
      <c r="H129" s="392" t="s">
        <v>565</v>
      </c>
      <c r="I129" s="569">
        <v>2</v>
      </c>
      <c r="J129" s="393">
        <v>46500</v>
      </c>
      <c r="K129" s="393">
        <f t="shared" si="63"/>
        <v>6045</v>
      </c>
      <c r="L129" s="393">
        <f>C360-N129</f>
        <v>-46801</v>
      </c>
      <c r="M129" s="1208" t="s">
        <v>522</v>
      </c>
      <c r="N129" s="374">
        <f t="shared" si="54"/>
        <v>46801</v>
      </c>
      <c r="O129" s="367">
        <f t="shared" si="64"/>
        <v>46821</v>
      </c>
      <c r="P129" s="368"/>
      <c r="Q129" s="368">
        <v>94</v>
      </c>
      <c r="R129" s="385" t="s">
        <v>656</v>
      </c>
      <c r="S129" s="370">
        <f t="shared" si="62"/>
        <v>44407.5</v>
      </c>
      <c r="T129" s="371">
        <f t="shared" si="36"/>
        <v>47115</v>
      </c>
      <c r="U129" s="372">
        <v>66</v>
      </c>
      <c r="V129" s="373">
        <f>N210-T129</f>
        <v>-47115</v>
      </c>
      <c r="W129" s="374">
        <f t="shared" si="56"/>
        <v>0</v>
      </c>
    </row>
    <row r="130" spans="2:23" ht="21">
      <c r="B130" s="399">
        <f t="shared" si="33"/>
        <v>2027</v>
      </c>
      <c r="C130" s="400">
        <v>46679</v>
      </c>
      <c r="D130" s="401">
        <f>C130+2</f>
        <v>46681</v>
      </c>
      <c r="E130" s="402"/>
      <c r="F130" s="403">
        <f t="shared" ca="1" si="34"/>
        <v>-55</v>
      </c>
      <c r="G130" s="403">
        <v>70</v>
      </c>
      <c r="H130" s="559" t="s">
        <v>576</v>
      </c>
      <c r="I130" s="567">
        <v>2</v>
      </c>
      <c r="J130" s="403">
        <v>31000</v>
      </c>
      <c r="K130" s="403">
        <f>J130*14%</f>
        <v>4340</v>
      </c>
      <c r="L130" s="403">
        <f>C190-N130</f>
        <v>-46826</v>
      </c>
      <c r="M130" s="564" t="s">
        <v>561</v>
      </c>
      <c r="N130" s="374">
        <f t="shared" si="54"/>
        <v>46826</v>
      </c>
      <c r="O130" s="367">
        <f t="shared" si="64"/>
        <v>46849</v>
      </c>
      <c r="P130" s="368"/>
      <c r="Q130" s="368">
        <v>70</v>
      </c>
      <c r="R130" s="395" t="s">
        <v>563</v>
      </c>
      <c r="S130" s="370">
        <f t="shared" si="62"/>
        <v>29605</v>
      </c>
      <c r="T130" s="371">
        <f t="shared" si="36"/>
        <v>47143</v>
      </c>
      <c r="U130" s="372">
        <v>66</v>
      </c>
      <c r="V130" s="373">
        <f>N331-T130</f>
        <v>-47143</v>
      </c>
      <c r="W130" s="374">
        <f t="shared" si="56"/>
        <v>0</v>
      </c>
    </row>
    <row r="131" spans="2:23" ht="21">
      <c r="B131" s="399">
        <f t="shared" si="33"/>
        <v>2027</v>
      </c>
      <c r="C131" s="400">
        <v>46682</v>
      </c>
      <c r="D131" s="401">
        <f>C131-1</f>
        <v>46681</v>
      </c>
      <c r="E131" s="402"/>
      <c r="F131" s="403">
        <f t="shared" ca="1" si="34"/>
        <v>-55.428571428571431</v>
      </c>
      <c r="G131" s="403">
        <v>70</v>
      </c>
      <c r="H131" s="559" t="s">
        <v>576</v>
      </c>
      <c r="I131" s="567">
        <v>2</v>
      </c>
      <c r="J131" s="403">
        <v>46500</v>
      </c>
      <c r="K131" s="403">
        <f t="shared" ref="K131:K132" si="66">J131*14%</f>
        <v>6510.0000000000009</v>
      </c>
      <c r="L131" s="403">
        <f>C190-N131</f>
        <v>-46829</v>
      </c>
      <c r="M131" s="564" t="s">
        <v>561</v>
      </c>
      <c r="N131" s="374">
        <f t="shared" si="54"/>
        <v>46829</v>
      </c>
      <c r="O131" s="367">
        <f t="shared" si="64"/>
        <v>46849</v>
      </c>
      <c r="P131" s="368"/>
      <c r="Q131" s="368">
        <v>70</v>
      </c>
      <c r="R131" s="383" t="s">
        <v>568</v>
      </c>
      <c r="S131" s="370">
        <f t="shared" si="62"/>
        <v>44407.5</v>
      </c>
      <c r="T131" s="371">
        <f t="shared" si="36"/>
        <v>47143</v>
      </c>
      <c r="U131" s="372">
        <v>66</v>
      </c>
      <c r="V131" s="373">
        <f>N332-T131</f>
        <v>-47143</v>
      </c>
      <c r="W131" s="374">
        <f t="shared" si="56"/>
        <v>0</v>
      </c>
    </row>
    <row r="132" spans="2:23" ht="21">
      <c r="B132" s="399">
        <f t="shared" si="33"/>
        <v>2027</v>
      </c>
      <c r="C132" s="400">
        <v>46686</v>
      </c>
      <c r="D132" s="401">
        <f>C132+2</f>
        <v>46688</v>
      </c>
      <c r="E132" s="402"/>
      <c r="F132" s="403">
        <f t="shared" ca="1" si="34"/>
        <v>-56</v>
      </c>
      <c r="G132" s="403">
        <v>70</v>
      </c>
      <c r="H132" s="559" t="s">
        <v>576</v>
      </c>
      <c r="I132" s="567">
        <v>2</v>
      </c>
      <c r="J132" s="403">
        <v>46500</v>
      </c>
      <c r="K132" s="403">
        <f t="shared" si="66"/>
        <v>6510.0000000000009</v>
      </c>
      <c r="L132" s="403">
        <f>C191-N132</f>
        <v>-46833</v>
      </c>
      <c r="M132" s="564" t="s">
        <v>561</v>
      </c>
      <c r="N132" s="379">
        <f t="shared" si="54"/>
        <v>46833</v>
      </c>
      <c r="O132" s="367">
        <f t="shared" si="64"/>
        <v>46856</v>
      </c>
      <c r="P132" s="368"/>
      <c r="Q132" s="368">
        <v>70</v>
      </c>
      <c r="R132" s="383" t="s">
        <v>574</v>
      </c>
      <c r="S132" s="370">
        <f t="shared" si="62"/>
        <v>44407.5</v>
      </c>
      <c r="T132" s="371">
        <f t="shared" si="36"/>
        <v>47150</v>
      </c>
      <c r="U132" s="372">
        <v>66</v>
      </c>
      <c r="V132" s="373">
        <f>N333-T132</f>
        <v>-47150</v>
      </c>
      <c r="W132" s="374">
        <f t="shared" si="56"/>
        <v>0</v>
      </c>
    </row>
    <row r="133" spans="2:23" ht="21">
      <c r="B133" s="390">
        <f t="shared" si="33"/>
        <v>2027</v>
      </c>
      <c r="C133" s="404">
        <v>46700</v>
      </c>
      <c r="D133" s="405">
        <f>C133+2</f>
        <v>46702</v>
      </c>
      <c r="E133" s="406"/>
      <c r="F133" s="393">
        <f t="shared" ca="1" si="34"/>
        <v>-58</v>
      </c>
      <c r="G133" s="393">
        <v>70</v>
      </c>
      <c r="H133" s="392" t="s">
        <v>572</v>
      </c>
      <c r="I133" s="569">
        <v>2</v>
      </c>
      <c r="J133" s="393">
        <v>37500</v>
      </c>
      <c r="K133" s="393">
        <f>J133*13%</f>
        <v>4875</v>
      </c>
      <c r="L133" s="393">
        <f>C192-N133</f>
        <v>-46847</v>
      </c>
      <c r="M133" s="396" t="s">
        <v>285</v>
      </c>
      <c r="N133" s="374">
        <f t="shared" si="54"/>
        <v>46847</v>
      </c>
      <c r="O133" s="367">
        <f t="shared" si="64"/>
        <v>46870</v>
      </c>
      <c r="P133" s="368"/>
      <c r="Q133" s="368">
        <v>72</v>
      </c>
      <c r="R133" s="383" t="s">
        <v>570</v>
      </c>
      <c r="S133" s="370">
        <f t="shared" si="62"/>
        <v>35812.5</v>
      </c>
      <c r="T133" s="371">
        <f t="shared" si="36"/>
        <v>47164</v>
      </c>
      <c r="U133" s="372">
        <v>66</v>
      </c>
      <c r="V133" s="373">
        <f>N331-T133</f>
        <v>-47164</v>
      </c>
      <c r="W133" s="374">
        <f t="shared" si="56"/>
        <v>0</v>
      </c>
    </row>
    <row r="134" spans="2:23" ht="21">
      <c r="B134" s="390">
        <f t="shared" si="33"/>
        <v>2027</v>
      </c>
      <c r="C134" s="404">
        <v>46702</v>
      </c>
      <c r="D134" s="405">
        <f>C134</f>
        <v>46702</v>
      </c>
      <c r="E134" s="406"/>
      <c r="F134" s="393">
        <f t="shared" ca="1" si="34"/>
        <v>-58.285714285714285</v>
      </c>
      <c r="G134" s="393">
        <v>70</v>
      </c>
      <c r="H134" s="392" t="s">
        <v>572</v>
      </c>
      <c r="I134" s="569">
        <v>2</v>
      </c>
      <c r="J134" s="393">
        <v>28000</v>
      </c>
      <c r="K134" s="393">
        <f t="shared" ref="K134:K136" si="67">J134*13%</f>
        <v>3640</v>
      </c>
      <c r="L134" s="393">
        <f>C192-N134</f>
        <v>-46849</v>
      </c>
      <c r="M134" s="396" t="s">
        <v>285</v>
      </c>
      <c r="N134" s="374">
        <f t="shared" si="54"/>
        <v>46849</v>
      </c>
      <c r="O134" s="367">
        <f t="shared" si="64"/>
        <v>46870</v>
      </c>
      <c r="P134" s="368"/>
      <c r="Q134" s="368">
        <v>72</v>
      </c>
      <c r="R134" s="383" t="s">
        <v>579</v>
      </c>
      <c r="S134" s="370">
        <f t="shared" si="62"/>
        <v>26740</v>
      </c>
      <c r="T134" s="371">
        <f t="shared" si="36"/>
        <v>47164</v>
      </c>
      <c r="U134" s="372">
        <v>66</v>
      </c>
      <c r="V134" s="373">
        <f>N331-T134</f>
        <v>-47164</v>
      </c>
      <c r="W134" s="374">
        <f t="shared" si="56"/>
        <v>0</v>
      </c>
    </row>
    <row r="135" spans="2:23" ht="21">
      <c r="B135" s="390">
        <f t="shared" ref="B135:B138" si="68">+YEAR(C135)</f>
        <v>2027</v>
      </c>
      <c r="C135" s="404">
        <v>46709</v>
      </c>
      <c r="D135" s="405">
        <f>C135</f>
        <v>46709</v>
      </c>
      <c r="E135" s="406"/>
      <c r="F135" s="393">
        <f t="shared" ca="1" si="34"/>
        <v>-59.285714285714285</v>
      </c>
      <c r="G135" s="393">
        <v>70</v>
      </c>
      <c r="H135" s="392" t="s">
        <v>585</v>
      </c>
      <c r="I135" s="569">
        <v>2</v>
      </c>
      <c r="J135" s="393">
        <v>18500</v>
      </c>
      <c r="K135" s="393">
        <f t="shared" si="67"/>
        <v>2405</v>
      </c>
      <c r="L135" s="393">
        <f>C194-N135</f>
        <v>-46856</v>
      </c>
      <c r="M135" s="396" t="s">
        <v>285</v>
      </c>
      <c r="N135" s="374">
        <f t="shared" si="54"/>
        <v>46856</v>
      </c>
      <c r="O135" s="367">
        <f t="shared" si="64"/>
        <v>46877</v>
      </c>
      <c r="P135" s="368"/>
      <c r="Q135" s="368">
        <v>72</v>
      </c>
      <c r="R135" s="383" t="s">
        <v>579</v>
      </c>
      <c r="S135" s="370">
        <f t="shared" si="62"/>
        <v>17667.5</v>
      </c>
      <c r="T135" s="371">
        <f t="shared" si="36"/>
        <v>47171</v>
      </c>
      <c r="U135" s="372">
        <v>66</v>
      </c>
      <c r="V135" s="373">
        <f>N332-T135</f>
        <v>-47171</v>
      </c>
      <c r="W135" s="374">
        <f t="shared" si="56"/>
        <v>0</v>
      </c>
    </row>
    <row r="136" spans="2:23" ht="21">
      <c r="B136" s="390">
        <f t="shared" si="68"/>
        <v>2027</v>
      </c>
      <c r="C136" s="404">
        <v>46710</v>
      </c>
      <c r="D136" s="405">
        <f>C136-1</f>
        <v>46709</v>
      </c>
      <c r="E136" s="406"/>
      <c r="F136" s="393">
        <f t="shared" ca="1" si="34"/>
        <v>-59.428571428571431</v>
      </c>
      <c r="G136" s="393">
        <v>70</v>
      </c>
      <c r="H136" s="392" t="s">
        <v>585</v>
      </c>
      <c r="I136" s="569">
        <v>2</v>
      </c>
      <c r="J136" s="393">
        <v>46500</v>
      </c>
      <c r="K136" s="393">
        <f t="shared" si="67"/>
        <v>6045</v>
      </c>
      <c r="L136" s="393">
        <f>C194-N136</f>
        <v>-46857</v>
      </c>
      <c r="M136" s="396" t="s">
        <v>285</v>
      </c>
      <c r="N136" s="374">
        <f t="shared" si="54"/>
        <v>46857</v>
      </c>
      <c r="O136" s="367">
        <f t="shared" si="64"/>
        <v>46877</v>
      </c>
      <c r="P136" s="368"/>
      <c r="Q136" s="368">
        <v>72</v>
      </c>
      <c r="R136" s="383" t="s">
        <v>583</v>
      </c>
      <c r="S136" s="370">
        <f t="shared" si="62"/>
        <v>44407.5</v>
      </c>
      <c r="T136" s="371">
        <f t="shared" ref="T136:T138" si="69">D136+(U136*7)</f>
        <v>47171</v>
      </c>
      <c r="U136" s="372">
        <v>66</v>
      </c>
      <c r="V136" s="373">
        <f>N333-T136</f>
        <v>-47171</v>
      </c>
      <c r="W136" s="374">
        <f t="shared" si="56"/>
        <v>0</v>
      </c>
    </row>
    <row r="137" spans="2:23" ht="21">
      <c r="B137" s="399">
        <f t="shared" si="68"/>
        <v>2027</v>
      </c>
      <c r="C137" s="400">
        <v>46737</v>
      </c>
      <c r="D137" s="401">
        <f>C137</f>
        <v>46737</v>
      </c>
      <c r="E137" s="402"/>
      <c r="F137" s="403">
        <f t="shared" ref="F137:F138" ca="1" si="70">(TODAY()-C137)/7</f>
        <v>-63.285714285714285</v>
      </c>
      <c r="G137" s="403">
        <v>70</v>
      </c>
      <c r="H137" s="399" t="s">
        <v>704</v>
      </c>
      <c r="I137" s="567">
        <v>2</v>
      </c>
      <c r="J137" s="403">
        <v>20500</v>
      </c>
      <c r="K137" s="403">
        <f t="shared" ref="K137:K138" si="71">J137*14%</f>
        <v>2870.0000000000005</v>
      </c>
      <c r="L137" s="403">
        <f>C367-N137</f>
        <v>-46884</v>
      </c>
      <c r="M137" s="564" t="s">
        <v>561</v>
      </c>
      <c r="N137" s="374">
        <f t="shared" si="54"/>
        <v>46884</v>
      </c>
      <c r="O137" s="367">
        <f t="shared" si="64"/>
        <v>46905</v>
      </c>
      <c r="P137" s="368"/>
      <c r="Q137" s="368">
        <v>72</v>
      </c>
      <c r="R137" s="395" t="s">
        <v>581</v>
      </c>
      <c r="S137" s="370">
        <f t="shared" si="62"/>
        <v>19577.5</v>
      </c>
      <c r="T137" s="371">
        <f t="shared" si="69"/>
        <v>47199</v>
      </c>
      <c r="U137" s="372">
        <v>66</v>
      </c>
      <c r="V137" s="373">
        <f>N333-T137</f>
        <v>-47199</v>
      </c>
      <c r="W137" s="374">
        <f t="shared" si="56"/>
        <v>0</v>
      </c>
    </row>
    <row r="138" spans="2:23" ht="21">
      <c r="B138" s="399">
        <f t="shared" si="68"/>
        <v>2027</v>
      </c>
      <c r="C138" s="400">
        <v>46739</v>
      </c>
      <c r="D138" s="401">
        <f>C138-2</f>
        <v>46737</v>
      </c>
      <c r="E138" s="402"/>
      <c r="F138" s="403">
        <f t="shared" ca="1" si="70"/>
        <v>-63.571428571428569</v>
      </c>
      <c r="G138" s="403">
        <v>70</v>
      </c>
      <c r="H138" s="399" t="s">
        <v>704</v>
      </c>
      <c r="I138" s="567">
        <v>2</v>
      </c>
      <c r="J138" s="403">
        <v>46500</v>
      </c>
      <c r="K138" s="403">
        <f t="shared" si="71"/>
        <v>6510.0000000000009</v>
      </c>
      <c r="L138" s="403">
        <f>C368-N138</f>
        <v>-46886</v>
      </c>
      <c r="M138" s="564" t="s">
        <v>561</v>
      </c>
      <c r="N138" s="374">
        <f t="shared" si="54"/>
        <v>46886</v>
      </c>
      <c r="O138" s="367">
        <f t="shared" si="64"/>
        <v>46905</v>
      </c>
      <c r="P138" s="368"/>
      <c r="Q138" s="368">
        <v>94</v>
      </c>
      <c r="R138" s="383" t="s">
        <v>593</v>
      </c>
      <c r="S138" s="370">
        <f t="shared" si="62"/>
        <v>44407.5</v>
      </c>
      <c r="T138" s="371">
        <f t="shared" si="69"/>
        <v>47199</v>
      </c>
      <c r="U138" s="372">
        <v>66</v>
      </c>
      <c r="V138" s="373">
        <f>N334-T138</f>
        <v>-47199</v>
      </c>
      <c r="W138" s="374">
        <f t="shared" si="56"/>
        <v>0</v>
      </c>
    </row>
    <row r="139" spans="2:23" ht="27">
      <c r="H139" s="1210" t="s">
        <v>706</v>
      </c>
      <c r="I139" s="1210"/>
      <c r="J139" s="1211">
        <f>SUM(K60:K98)</f>
        <v>170815</v>
      </c>
      <c r="K139" s="1211"/>
      <c r="L139" s="409">
        <f>J139/J140</f>
        <v>0.13621610845295057</v>
      </c>
      <c r="N139" s="1210" t="s">
        <v>706</v>
      </c>
      <c r="O139" s="1210"/>
      <c r="P139" s="1211">
        <f>SUM(K99:K138)</f>
        <v>179540</v>
      </c>
      <c r="Q139" s="1211"/>
      <c r="R139" s="409">
        <f>P139/P140</f>
        <v>0.1328941524796447</v>
      </c>
    </row>
    <row r="140" spans="2:23" ht="27">
      <c r="H140" s="1210" t="s">
        <v>707</v>
      </c>
      <c r="I140" s="1210"/>
      <c r="J140" s="1211">
        <f>SUM(J61:J98)</f>
        <v>1254000</v>
      </c>
      <c r="K140" s="1211"/>
      <c r="L140" s="1212"/>
      <c r="N140" s="1210" t="s">
        <v>707</v>
      </c>
      <c r="O140" s="1210"/>
      <c r="P140" s="1211">
        <f>SUM(J99:J138)</f>
        <v>1351000</v>
      </c>
      <c r="Q140" s="1211"/>
      <c r="R140" s="410"/>
    </row>
    <row r="141" spans="2:23" ht="27">
      <c r="H141" s="1213" t="s">
        <v>561</v>
      </c>
      <c r="I141" s="1214"/>
      <c r="J141" s="1215">
        <f>SUMIF(M61:M98,$H$141,J61:J98)</f>
        <v>407500</v>
      </c>
      <c r="K141" s="1215"/>
      <c r="L141" s="1216">
        <f>J141/J140</f>
        <v>0.32496012759170656</v>
      </c>
      <c r="M141" s="1217">
        <v>2026</v>
      </c>
      <c r="N141" s="1213" t="s">
        <v>561</v>
      </c>
      <c r="O141" s="1214"/>
      <c r="P141" s="1215">
        <f>SUMIF(M99:M138,$N$141,J99:J138)</f>
        <v>391000</v>
      </c>
      <c r="Q141" s="1215"/>
      <c r="R141" s="1216">
        <f>P141/P140</f>
        <v>0.28941524796447077</v>
      </c>
      <c r="S141" s="1218">
        <v>2027</v>
      </c>
    </row>
    <row r="142" spans="2:23" ht="27">
      <c r="H142" s="1219" t="s">
        <v>285</v>
      </c>
      <c r="I142" s="1220"/>
      <c r="J142" s="1218">
        <f>SUMIF(M61:M98,H142,J61:J98)</f>
        <v>719000</v>
      </c>
      <c r="K142" s="1218"/>
      <c r="L142" s="1221">
        <f>J142/J140</f>
        <v>0.57336523125996808</v>
      </c>
      <c r="N142" s="1219" t="s">
        <v>285</v>
      </c>
      <c r="O142" s="1220"/>
      <c r="P142" s="1218">
        <f>SUMIF(M99:M138,N142,J99:J138)</f>
        <v>826000</v>
      </c>
      <c r="Q142" s="1218"/>
      <c r="R142" s="1221">
        <f>P142/P140</f>
        <v>0.6113989637305699</v>
      </c>
    </row>
    <row r="143" spans="2:23" ht="27">
      <c r="H143" s="561" t="s">
        <v>522</v>
      </c>
      <c r="I143" s="382"/>
      <c r="J143" s="1222">
        <f>SUMIF(M60:M98,H143,J60:J98)</f>
        <v>127500</v>
      </c>
      <c r="K143" s="1222"/>
      <c r="L143" s="1223">
        <f>J143/J140</f>
        <v>0.10167464114832536</v>
      </c>
      <c r="N143" s="561" t="s">
        <v>522</v>
      </c>
      <c r="O143" s="382"/>
      <c r="P143" s="1224">
        <f>SUMIF(M99:M138,N143,J99:J138)</f>
        <v>134000</v>
      </c>
      <c r="Q143" s="1224"/>
      <c r="R143" s="1225">
        <f>P143/P140</f>
        <v>9.9185788304959291E-2</v>
      </c>
    </row>
  </sheetData>
  <sheetProtection formatColumns="0" autoFilter="0"/>
  <autoFilter ref="A1:W143" xr:uid="{1AC41D97-17BD-4BD2-B312-C190EB32BA33}"/>
  <conditionalFormatting sqref="A2:A104">
    <cfRule type="cellIs" dxfId="314" priority="2713" stopIfTrue="1" operator="equal">
      <formula>0</formula>
    </cfRule>
  </conditionalFormatting>
  <conditionalFormatting sqref="A1:XFD1">
    <cfRule type="cellIs" dxfId="313" priority="3149" stopIfTrue="1" operator="equal">
      <formula>0</formula>
    </cfRule>
  </conditionalFormatting>
  <conditionalFormatting sqref="B2:E2">
    <cfRule type="cellIs" dxfId="312" priority="811" stopIfTrue="1" operator="equal">
      <formula>0</formula>
    </cfRule>
  </conditionalFormatting>
  <conditionalFormatting sqref="B21:E22">
    <cfRule type="cellIs" dxfId="311" priority="660" stopIfTrue="1" operator="equal">
      <formula>0</formula>
    </cfRule>
  </conditionalFormatting>
  <conditionalFormatting sqref="B11:H11">
    <cfRule type="cellIs" dxfId="310" priority="671" stopIfTrue="1" operator="equal">
      <formula>0</formula>
    </cfRule>
  </conditionalFormatting>
  <conditionalFormatting sqref="B30:H31 F32:H32 H15:K15 F2:G2 B3:G3 B4:H4 B5:T6 B7:L7 B8:O9 B10:H10 B15:G20 F21:G22 B23:G24 B25:H25 B38:H40 I23:J24 R8:T10 J10:O10 T23:T26 J25 J30:K30 L38:L43">
    <cfRule type="cellIs" dxfId="309" priority="826" stopIfTrue="1" operator="equal">
      <formula>0</formula>
    </cfRule>
  </conditionalFormatting>
  <conditionalFormatting sqref="B55:T55">
    <cfRule type="cellIs" dxfId="308" priority="142" stopIfTrue="1" operator="equal">
      <formula>0</formula>
    </cfRule>
  </conditionalFormatting>
  <conditionalFormatting sqref="F2:G138 H31:H33">
    <cfRule type="cellIs" dxfId="307" priority="822" operator="greaterThan">
      <formula>#REF!</formula>
    </cfRule>
  </conditionalFormatting>
  <conditionalFormatting sqref="F31:H32">
    <cfRule type="cellIs" dxfId="306" priority="825" operator="greaterThan">
      <formula>#REF!</formula>
    </cfRule>
  </conditionalFormatting>
  <conditionalFormatting sqref="H2:H3">
    <cfRule type="cellIs" dxfId="305" priority="796" stopIfTrue="1" operator="equal">
      <formula>0</formula>
    </cfRule>
  </conditionalFormatting>
  <conditionalFormatting sqref="H16">
    <cfRule type="cellIs" dxfId="304" priority="751" operator="greaterThan">
      <formula>#REF!</formula>
    </cfRule>
  </conditionalFormatting>
  <conditionalFormatting sqref="H21:H24">
    <cfRule type="cellIs" dxfId="303" priority="639" stopIfTrue="1" operator="equal">
      <formula>0</formula>
    </cfRule>
  </conditionalFormatting>
  <conditionalFormatting sqref="H38:H41">
    <cfRule type="cellIs" dxfId="302" priority="609" stopIfTrue="1" operator="equal">
      <formula>0</formula>
    </cfRule>
  </conditionalFormatting>
  <conditionalFormatting sqref="H46:H47">
    <cfRule type="cellIs" dxfId="301" priority="755" operator="greaterThan">
      <formula>#REF!</formula>
    </cfRule>
  </conditionalFormatting>
  <conditionalFormatting sqref="H48:H51 H52:I52 I55:I63 H70:H72 H75:I77 I78:I80 I84:I91 H88:H91 H92:I92 H93:H94 I93:I100">
    <cfRule type="cellIs" dxfId="300" priority="819" operator="greaterThan">
      <formula>#REF!</formula>
    </cfRule>
  </conditionalFormatting>
  <conditionalFormatting sqref="H53:H54">
    <cfRule type="cellIs" dxfId="299" priority="719" operator="greaterThan">
      <formula>#REF!</formula>
    </cfRule>
  </conditionalFormatting>
  <conditionalFormatting sqref="H114:H115">
    <cfRule type="cellIs" dxfId="298" priority="276" operator="greaterThan">
      <formula>#REF!</formula>
    </cfRule>
  </conditionalFormatting>
  <conditionalFormatting sqref="H143">
    <cfRule type="cellIs" dxfId="297" priority="584" stopIfTrue="1" operator="equal">
      <formula>0</formula>
    </cfRule>
  </conditionalFormatting>
  <conditionalFormatting sqref="H14:I15">
    <cfRule type="cellIs" dxfId="296" priority="823" operator="greaterThan">
      <formula>#REF!</formula>
    </cfRule>
  </conditionalFormatting>
  <conditionalFormatting sqref="H21:I21">
    <cfRule type="cellIs" dxfId="295" priority="656" stopIfTrue="1" operator="equal">
      <formula>0</formula>
    </cfRule>
  </conditionalFormatting>
  <conditionalFormatting sqref="H34:I37">
    <cfRule type="cellIs" dxfId="294" priority="737" operator="greaterThan">
      <formula>#REF!</formula>
    </cfRule>
  </conditionalFormatting>
  <conditionalFormatting sqref="H50:I50">
    <cfRule type="cellIs" dxfId="293" priority="490" operator="greaterThan">
      <formula>#REF!</formula>
    </cfRule>
  </conditionalFormatting>
  <conditionalFormatting sqref="H90:I92">
    <cfRule type="cellIs" dxfId="292" priority="576" operator="greaterThan">
      <formula>#REF!</formula>
    </cfRule>
  </conditionalFormatting>
  <conditionalFormatting sqref="H111:I113">
    <cfRule type="cellIs" dxfId="291" priority="279" operator="greaterThan">
      <formula>#REF!</formula>
    </cfRule>
  </conditionalFormatting>
  <conditionalFormatting sqref="H130:I136">
    <cfRule type="cellIs" dxfId="290" priority="178" operator="greaterThan">
      <formula>#REF!</formula>
    </cfRule>
  </conditionalFormatting>
  <conditionalFormatting sqref="H141:I141">
    <cfRule type="cellIs" dxfId="289" priority="817" stopIfTrue="1" operator="equal">
      <formula>0</formula>
    </cfRule>
  </conditionalFormatting>
  <conditionalFormatting sqref="H16:L22 B44:L54 I30:I35 B34:H35 B36:Q36 B37:M37 B78:L138 B73:L74 J11:K11 L11:L15 M11:O19 S11:T22 B12:K14 N23:O27 M23:M29 B26:H26 J26:L26 R27:T27 B27:L28 N28:T29 B29:K29 L29:L30 S30:T49 J31:Q35 B32:E33 F33:H33 M38:M48 B41:G41 B42:H42 B43:K43 M50:T50 M51:M54 S51:T54 N56:R56 M56:M67 B56:L69 M68:R68 M69:O69 L70:O70 B70:K72 B75:O77 N78:O79 M78:M86 N80:Q83 N84:O86 N93:R97 N109:R109 N133:T135 N136:Q136 S136:T138 N137:R137">
    <cfRule type="cellIs" dxfId="288" priority="816" stopIfTrue="1" operator="equal">
      <formula>0</formula>
    </cfRule>
  </conditionalFormatting>
  <conditionalFormatting sqref="I10:I11">
    <cfRule type="cellIs" dxfId="287" priority="679" stopIfTrue="1" operator="equal">
      <formula>0</formula>
    </cfRule>
  </conditionalFormatting>
  <conditionalFormatting sqref="I21:I24">
    <cfRule type="cellIs" dxfId="286" priority="813" operator="greaterThan">
      <formula>#REF!</formula>
    </cfRule>
  </conditionalFormatting>
  <conditionalFormatting sqref="I22:I26">
    <cfRule type="cellIs" dxfId="285" priority="626" stopIfTrue="1" operator="equal">
      <formula>0</formula>
    </cfRule>
  </conditionalFormatting>
  <conditionalFormatting sqref="I25:I26">
    <cfRule type="cellIs" dxfId="284" priority="623" operator="greaterThan">
      <formula>#REF!</formula>
    </cfRule>
  </conditionalFormatting>
  <conditionalFormatting sqref="I31:I33">
    <cfRule type="cellIs" dxfId="283" priority="672" operator="greaterThan">
      <formula>#REF!</formula>
    </cfRule>
  </conditionalFormatting>
  <conditionalFormatting sqref="I31:I42">
    <cfRule type="cellIs" dxfId="282" priority="675" stopIfTrue="1" operator="equal">
      <formula>0</formula>
    </cfRule>
  </conditionalFormatting>
  <conditionalFormatting sqref="I53">
    <cfRule type="cellIs" dxfId="281" priority="716" operator="greaterThan">
      <formula>#REF!</formula>
    </cfRule>
  </conditionalFormatting>
  <conditionalFormatting sqref="I73:I74">
    <cfRule type="cellIs" dxfId="280" priority="10" operator="greaterThan">
      <formula>#REF!</formula>
    </cfRule>
  </conditionalFormatting>
  <conditionalFormatting sqref="I81:I83">
    <cfRule type="cellIs" dxfId="279" priority="581" operator="greaterThan">
      <formula>#REF!</formula>
    </cfRule>
  </conditionalFormatting>
  <conditionalFormatting sqref="I101:I112 H109:H112">
    <cfRule type="cellIs" dxfId="278" priority="282" operator="greaterThan">
      <formula>#REF!</formula>
    </cfRule>
  </conditionalFormatting>
  <conditionalFormatting sqref="I114:I138">
    <cfRule type="cellIs" dxfId="277" priority="143" operator="greaterThan">
      <formula>#REF!</formula>
    </cfRule>
  </conditionalFormatting>
  <conditionalFormatting sqref="I2:T4">
    <cfRule type="cellIs" dxfId="276" priority="687" stopIfTrue="1" operator="equal">
      <formula>0</formula>
    </cfRule>
  </conditionalFormatting>
  <conditionalFormatting sqref="J38:K42">
    <cfRule type="cellIs" dxfId="275" priority="496" stopIfTrue="1" operator="equal">
      <formula>0</formula>
    </cfRule>
  </conditionalFormatting>
  <conditionalFormatting sqref="K23:L25">
    <cfRule type="cellIs" dxfId="274" priority="669" stopIfTrue="1" operator="equal">
      <formula>0</formula>
    </cfRule>
  </conditionalFormatting>
  <conditionalFormatting sqref="M93:M138">
    <cfRule type="cellIs" dxfId="273" priority="13" stopIfTrue="1" operator="equal">
      <formula>0</formula>
    </cfRule>
  </conditionalFormatting>
  <conditionalFormatting sqref="M87:O92">
    <cfRule type="cellIs" dxfId="272" priority="502" stopIfTrue="1" operator="equal">
      <formula>0</formula>
    </cfRule>
  </conditionalFormatting>
  <conditionalFormatting sqref="M20:Q22">
    <cfRule type="cellIs" dxfId="271" priority="648" stopIfTrue="1" operator="equal">
      <formula>0</formula>
    </cfRule>
  </conditionalFormatting>
  <conditionalFormatting sqref="M49:Q49">
    <cfRule type="cellIs" dxfId="270" priority="768" stopIfTrue="1" operator="equal">
      <formula>0</formula>
    </cfRule>
  </conditionalFormatting>
  <conditionalFormatting sqref="M73:Q74">
    <cfRule type="cellIs" dxfId="269" priority="5" stopIfTrue="1" operator="equal">
      <formula>0</formula>
    </cfRule>
  </conditionalFormatting>
  <conditionalFormatting sqref="M30:R30">
    <cfRule type="cellIs" dxfId="268" priority="640" stopIfTrue="1" operator="equal">
      <formula>0</formula>
    </cfRule>
  </conditionalFormatting>
  <conditionalFormatting sqref="M7:T7">
    <cfRule type="cellIs" dxfId="267" priority="710" stopIfTrue="1" operator="equal">
      <formula>0</formula>
    </cfRule>
  </conditionalFormatting>
  <conditionalFormatting sqref="N143">
    <cfRule type="cellIs" dxfId="266" priority="667" stopIfTrue="1" operator="equal">
      <formula>0</formula>
    </cfRule>
  </conditionalFormatting>
  <conditionalFormatting sqref="N141:O141">
    <cfRule type="cellIs" dxfId="265" priority="726" stopIfTrue="1" operator="equal">
      <formula>0</formula>
    </cfRule>
  </conditionalFormatting>
  <conditionalFormatting sqref="N37:Q48">
    <cfRule type="cellIs" dxfId="264" priority="358" stopIfTrue="1" operator="equal">
      <formula>0</formula>
    </cfRule>
  </conditionalFormatting>
  <conditionalFormatting sqref="N51:Q51">
    <cfRule type="cellIs" dxfId="263" priority="754" stopIfTrue="1" operator="equal">
      <formula>0</formula>
    </cfRule>
  </conditionalFormatting>
  <conditionalFormatting sqref="N57:Q64">
    <cfRule type="cellIs" dxfId="262" priority="689" stopIfTrue="1" operator="equal">
      <formula>0</formula>
    </cfRule>
  </conditionalFormatting>
  <conditionalFormatting sqref="N66:Q67">
    <cfRule type="cellIs" dxfId="261" priority="1" stopIfTrue="1" operator="equal">
      <formula>0</formula>
    </cfRule>
  </conditionalFormatting>
  <conditionalFormatting sqref="N98:Q105">
    <cfRule type="cellIs" dxfId="260" priority="503" stopIfTrue="1" operator="equal">
      <formula>0</formula>
    </cfRule>
  </conditionalFormatting>
  <conditionalFormatting sqref="N107:Q108">
    <cfRule type="cellIs" dxfId="259" priority="332" stopIfTrue="1" operator="equal">
      <formula>0</formula>
    </cfRule>
  </conditionalFormatting>
  <conditionalFormatting sqref="N110:Q132">
    <cfRule type="cellIs" dxfId="258" priority="260" stopIfTrue="1" operator="equal">
      <formula>0</formula>
    </cfRule>
  </conditionalFormatting>
  <conditionalFormatting sqref="N52:R54">
    <cfRule type="cellIs" dxfId="257" priority="728" stopIfTrue="1" operator="equal">
      <formula>0</formula>
    </cfRule>
  </conditionalFormatting>
  <conditionalFormatting sqref="N65:R65">
    <cfRule type="cellIs" dxfId="256" priority="415" stopIfTrue="1" operator="equal">
      <formula>0</formula>
    </cfRule>
  </conditionalFormatting>
  <conditionalFormatting sqref="N106:R106">
    <cfRule type="cellIs" dxfId="255" priority="298" stopIfTrue="1" operator="equal">
      <formula>0</formula>
    </cfRule>
  </conditionalFormatting>
  <conditionalFormatting sqref="P8:Q19">
    <cfRule type="cellIs" dxfId="254" priority="494" stopIfTrue="1" operator="equal">
      <formula>0</formula>
    </cfRule>
  </conditionalFormatting>
  <conditionalFormatting sqref="P69:Q70 L71:Q72">
    <cfRule type="cellIs" dxfId="253" priority="599" stopIfTrue="1" operator="equal">
      <formula>0</formula>
    </cfRule>
  </conditionalFormatting>
  <conditionalFormatting sqref="P75:Q79">
    <cfRule type="cellIs" dxfId="252" priority="2" stopIfTrue="1" operator="equal">
      <formula>0</formula>
    </cfRule>
  </conditionalFormatting>
  <conditionalFormatting sqref="P84:Q92">
    <cfRule type="cellIs" dxfId="251" priority="572" stopIfTrue="1" operator="equal">
      <formula>0</formula>
    </cfRule>
  </conditionalFormatting>
  <conditionalFormatting sqref="P24:R27">
    <cfRule type="cellIs" dxfId="250" priority="701" stopIfTrue="1" operator="equal">
      <formula>0</formula>
    </cfRule>
  </conditionalFormatting>
  <conditionalFormatting sqref="P23:S23">
    <cfRule type="cellIs" dxfId="249" priority="774" stopIfTrue="1" operator="equal">
      <formula>0</formula>
    </cfRule>
  </conditionalFormatting>
  <conditionalFormatting sqref="R3:R7">
    <cfRule type="cellIs" dxfId="248" priority="785" stopIfTrue="1" operator="equal">
      <formula>0</formula>
    </cfRule>
  </conditionalFormatting>
  <conditionalFormatting sqref="R9:R22">
    <cfRule type="cellIs" dxfId="247" priority="650" stopIfTrue="1" operator="equal">
      <formula>0</formula>
    </cfRule>
  </conditionalFormatting>
  <conditionalFormatting sqref="R31:R53">
    <cfRule type="cellIs" dxfId="246" priority="344" stopIfTrue="1" operator="equal">
      <formula>0</formula>
    </cfRule>
  </conditionalFormatting>
  <conditionalFormatting sqref="R55:R67">
    <cfRule type="cellIs" dxfId="245" priority="115" stopIfTrue="1" operator="equal">
      <formula>0</formula>
    </cfRule>
  </conditionalFormatting>
  <conditionalFormatting sqref="R69:R138">
    <cfRule type="cellIs" dxfId="244" priority="6" stopIfTrue="1" operator="equal">
      <formula>0</formula>
    </cfRule>
  </conditionalFormatting>
  <conditionalFormatting sqref="S24:S26">
    <cfRule type="cellIs" dxfId="243" priority="772" stopIfTrue="1" operator="equal">
      <formula>0</formula>
    </cfRule>
  </conditionalFormatting>
  <conditionalFormatting sqref="S56:T132">
    <cfRule type="cellIs" dxfId="242" priority="4" stopIfTrue="1" operator="equal">
      <formula>0</formula>
    </cfRule>
  </conditionalFormatting>
  <conditionalFormatting sqref="V2:W138 N138:Q138">
    <cfRule type="cellIs" dxfId="241" priority="175" stopIfTrue="1" operator="equal">
      <formula>0</formula>
    </cfRule>
  </conditionalFormatting>
  <printOptions horizontalCentered="1"/>
  <pageMargins left="0" right="0" top="0" bottom="0" header="0" footer="0"/>
  <pageSetup paperSize="9" scale="31" fitToWidth="0" fitToHeight="0" orientation="landscape" horizontalDpi="4294967293" r:id="rId1"/>
  <headerFooter>
    <oddFooter>&amp;L&amp;D&amp;T</oddFooter>
  </headerFooter>
  <rowBreaks count="2" manualBreakCount="2">
    <brk id="6" min="1" max="22" man="1"/>
    <brk id="60" min="1" max="22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A7E9-2B57-4A68-89AC-2DB1027DF9DE}">
  <sheetPr codeName="Planilha13">
    <tabColor rgb="FFADD9EF"/>
    <pageSetUpPr fitToPage="1"/>
  </sheetPr>
  <dimension ref="A1:AA91"/>
  <sheetViews>
    <sheetView showGridLines="0" zoomScale="70" zoomScaleNormal="70" workbookViewId="0">
      <pane ySplit="1" topLeftCell="A2" activePane="bottomLeft" state="frozen"/>
      <selection activeCell="H260" sqref="H260"/>
      <selection pane="bottomLeft" activeCell="B33" sqref="B33:L33"/>
    </sheetView>
  </sheetViews>
  <sheetFormatPr defaultColWidth="9.09765625" defaultRowHeight="15.6"/>
  <cols>
    <col min="1" max="1" width="11.8984375" style="81" bestFit="1" customWidth="1"/>
    <col min="2" max="2" width="23" style="81" bestFit="1" customWidth="1"/>
    <col min="3" max="3" width="17.296875" style="81" bestFit="1" customWidth="1"/>
    <col min="4" max="4" width="9.69921875" style="81" bestFit="1" customWidth="1"/>
    <col min="5" max="5" width="8.3984375" style="81" bestFit="1" customWidth="1"/>
    <col min="6" max="6" width="11.3984375" style="81" bestFit="1" customWidth="1"/>
    <col min="7" max="7" width="21.09765625" style="81" customWidth="1"/>
    <col min="8" max="8" width="7.3984375" style="81" bestFit="1" customWidth="1"/>
    <col min="9" max="9" width="11.8984375" style="81" bestFit="1" customWidth="1"/>
    <col min="10" max="11" width="9.09765625" style="81" bestFit="1" customWidth="1"/>
    <col min="12" max="12" width="10.3984375" style="632" bestFit="1" customWidth="1"/>
    <col min="13" max="13" width="26.8984375" style="632" bestFit="1" customWidth="1"/>
    <col min="14" max="14" width="17.296875" style="81" bestFit="1" customWidth="1"/>
    <col min="15" max="15" width="9.59765625" style="81" bestFit="1" customWidth="1"/>
    <col min="16" max="16" width="11.3984375" style="81" bestFit="1" customWidth="1"/>
    <col min="17" max="17" width="22.69921875" style="81" customWidth="1"/>
    <col min="18" max="18" width="11.09765625" style="81" bestFit="1" customWidth="1"/>
    <col min="19" max="19" width="11.8984375" style="81" bestFit="1" customWidth="1"/>
    <col min="20" max="20" width="17.59765625" style="81" bestFit="1" customWidth="1"/>
    <col min="21" max="21" width="6.69921875" style="81" bestFit="1" customWidth="1"/>
    <col min="22" max="22" width="3.3984375" style="81" bestFit="1" customWidth="1"/>
    <col min="23" max="23" width="10.8984375" style="81" bestFit="1" customWidth="1"/>
    <col min="24" max="24" width="17.59765625" style="81" bestFit="1" customWidth="1"/>
    <col min="25" max="16384" width="9.09765625" style="81"/>
  </cols>
  <sheetData>
    <row r="1" spans="1:25" s="454" customFormat="1" ht="18.75" customHeight="1">
      <c r="A1" s="797" t="s">
        <v>0</v>
      </c>
      <c r="B1" s="797" t="s">
        <v>1</v>
      </c>
      <c r="C1" s="797" t="s">
        <v>2</v>
      </c>
      <c r="D1" s="797" t="s">
        <v>3</v>
      </c>
      <c r="E1" s="797" t="s">
        <v>362</v>
      </c>
      <c r="F1" s="797" t="s">
        <v>5</v>
      </c>
      <c r="G1" s="797" t="s">
        <v>293</v>
      </c>
      <c r="H1" s="797" t="s">
        <v>7</v>
      </c>
      <c r="I1" s="797" t="s">
        <v>8</v>
      </c>
      <c r="J1" s="797" t="s">
        <v>9</v>
      </c>
      <c r="K1" s="797" t="s">
        <v>10</v>
      </c>
      <c r="L1" s="797" t="s">
        <v>11</v>
      </c>
      <c r="M1" s="797" t="s">
        <v>12</v>
      </c>
      <c r="N1" s="798" t="s">
        <v>13</v>
      </c>
      <c r="O1" s="797" t="s">
        <v>3</v>
      </c>
      <c r="P1" s="797" t="s">
        <v>5</v>
      </c>
      <c r="Q1" s="797" t="s">
        <v>295</v>
      </c>
      <c r="R1" s="797" t="s">
        <v>7</v>
      </c>
      <c r="S1" s="799" t="s">
        <v>8</v>
      </c>
      <c r="T1" s="797" t="s">
        <v>14</v>
      </c>
      <c r="U1" s="797" t="s">
        <v>15</v>
      </c>
      <c r="V1" s="800" t="s">
        <v>10</v>
      </c>
      <c r="W1" s="801" t="s">
        <v>16</v>
      </c>
    </row>
    <row r="2" spans="1:25">
      <c r="A2" s="832" t="s">
        <v>708</v>
      </c>
      <c r="B2" s="833">
        <v>45535</v>
      </c>
      <c r="C2" s="834">
        <v>45533</v>
      </c>
      <c r="D2" s="835">
        <v>188</v>
      </c>
      <c r="E2" s="835">
        <f t="shared" ref="E2:E34" ca="1" si="0">IF((TODAY()-C2)/7&gt;T2,T2,(TODAY()-C2)/7)</f>
        <v>108.71428571428571</v>
      </c>
      <c r="F2" s="643" t="str">
        <f>IFERROR(VLOOKUP(G2,Recria[[Granja Recria]:[Emp+CC]],4,0),"")</f>
        <v>227_3018</v>
      </c>
      <c r="G2" s="836" t="s">
        <v>709</v>
      </c>
      <c r="H2" s="645" t="str">
        <f>IFERROR(VLOOKUP(G2,Recria[[Granja Recria]:[Núcleo]],2,0),"")</f>
        <v>(N4)</v>
      </c>
      <c r="I2" s="835">
        <v>17000</v>
      </c>
      <c r="J2" s="832" t="s">
        <v>60</v>
      </c>
      <c r="K2" s="832">
        <v>0</v>
      </c>
      <c r="L2" s="803" t="str">
        <f>VLOOKUP(M2,Raca_Linhagem[],2,0)</f>
        <v>COBB</v>
      </c>
      <c r="M2" s="816" t="s">
        <v>21</v>
      </c>
      <c r="N2" s="837">
        <f t="shared" ref="N2:N15" si="1">C2+(22*7)-7</f>
        <v>45680</v>
      </c>
      <c r="O2" s="838">
        <f t="shared" ref="O2:O12" si="2">D2</f>
        <v>188</v>
      </c>
      <c r="P2" s="648" t="str">
        <f>IFERROR(VLOOKUP(Q2,Producao[[Granja Produção]:[Emp+CC]],4,0),"")</f>
        <v>227_3040</v>
      </c>
      <c r="Q2" s="836" t="str">
        <f t="shared" ref="Q2:Q34" si="3">G2</f>
        <v>Pina - 04</v>
      </c>
      <c r="R2" s="640" t="str">
        <f>IFERROR(VLOOKUP(Q2,Producao[[Granja Produção]:[Núcleo]],2,0),"")</f>
        <v>(N4)</v>
      </c>
      <c r="S2" s="839">
        <v>17000</v>
      </c>
      <c r="T2" s="840">
        <f t="shared" ref="T2:T34" si="4">C2+(U2*7)-1</f>
        <v>46008</v>
      </c>
      <c r="U2" s="841">
        <v>68</v>
      </c>
      <c r="V2" s="842">
        <f>C24-T2</f>
        <v>92</v>
      </c>
      <c r="W2" s="843">
        <f t="shared" ref="W2" si="5">IFERROR(T2+V2," ")</f>
        <v>46100</v>
      </c>
    </row>
    <row r="3" spans="1:25">
      <c r="A3" s="832" t="s">
        <v>708</v>
      </c>
      <c r="B3" s="833">
        <v>45573</v>
      </c>
      <c r="C3" s="834">
        <v>45575</v>
      </c>
      <c r="D3" s="835">
        <v>189</v>
      </c>
      <c r="E3" s="835">
        <f t="shared" ca="1" si="0"/>
        <v>102.71428571428571</v>
      </c>
      <c r="F3" s="835" t="str">
        <f>IFERROR(VLOOKUP(G3,Recria[[Granja Recria]:[Emp+CC]],4,0),"")</f>
        <v>221_3008</v>
      </c>
      <c r="G3" s="836" t="s">
        <v>710</v>
      </c>
      <c r="H3" s="844" t="str">
        <f>IFERROR(VLOOKUP(G3,Recria[[Granja Recria]:[Núcleo]],2,0),"")</f>
        <v>(N1)</v>
      </c>
      <c r="I3" s="835">
        <v>32000</v>
      </c>
      <c r="J3" s="832" t="s">
        <v>60</v>
      </c>
      <c r="K3" s="832">
        <v>0</v>
      </c>
      <c r="L3" s="803" t="str">
        <f>VLOOKUP(M3,Raca_Linhagem[],2,0)</f>
        <v>ROSS</v>
      </c>
      <c r="M3" s="816" t="s">
        <v>26</v>
      </c>
      <c r="N3" s="837">
        <f t="shared" si="1"/>
        <v>45722</v>
      </c>
      <c r="O3" s="838">
        <f t="shared" si="2"/>
        <v>189</v>
      </c>
      <c r="P3" s="845" t="str">
        <f>IFERROR(VLOOKUP(Q3,Producao[[Granja Produção]:[Emp+CC]],4,0),"")</f>
        <v>221_3030</v>
      </c>
      <c r="Q3" s="836" t="str">
        <f t="shared" si="3"/>
        <v>Pesqueira - 01</v>
      </c>
      <c r="R3" s="844" t="str">
        <f>IFERROR(VLOOKUP(Q3,Producao[[Granja Produção]:[Núcleo]],2,0),"")</f>
        <v>(N1)</v>
      </c>
      <c r="S3" s="839">
        <v>28700</v>
      </c>
      <c r="T3" s="840">
        <f t="shared" si="4"/>
        <v>46050</v>
      </c>
      <c r="U3" s="841">
        <v>68</v>
      </c>
      <c r="V3" s="842">
        <f>C25-T3</f>
        <v>36</v>
      </c>
      <c r="W3" s="843">
        <f t="shared" ref="W3:W30" si="6">IFERROR(T3+V3," ")</f>
        <v>46086</v>
      </c>
    </row>
    <row r="4" spans="1:25">
      <c r="A4" s="832" t="s">
        <v>708</v>
      </c>
      <c r="B4" s="833">
        <v>45611</v>
      </c>
      <c r="C4" s="834">
        <v>45610</v>
      </c>
      <c r="D4" s="835">
        <v>190</v>
      </c>
      <c r="E4" s="835">
        <f t="shared" ca="1" si="0"/>
        <v>97.714285714285708</v>
      </c>
      <c r="F4" s="835" t="str">
        <f>IFERROR(VLOOKUP(G4,Recria[[Granja Recria]:[Emp+CC]],4,0),"")</f>
        <v>221_3009</v>
      </c>
      <c r="G4" s="836" t="s">
        <v>711</v>
      </c>
      <c r="H4" s="844" t="str">
        <f>IFERROR(VLOOKUP(G4,Recria[[Granja Recria]:[Núcleo]],2,0),"")</f>
        <v>(N2)</v>
      </c>
      <c r="I4" s="835">
        <v>16000</v>
      </c>
      <c r="J4" s="832" t="s">
        <v>60</v>
      </c>
      <c r="K4" s="832">
        <v>0</v>
      </c>
      <c r="L4" s="803" t="str">
        <f>VLOOKUP(M4,Raca_Linhagem[],2,0)</f>
        <v>COBB</v>
      </c>
      <c r="M4" s="816" t="s">
        <v>21</v>
      </c>
      <c r="N4" s="837">
        <f t="shared" si="1"/>
        <v>45757</v>
      </c>
      <c r="O4" s="838">
        <f t="shared" si="2"/>
        <v>190</v>
      </c>
      <c r="P4" s="845" t="str">
        <f>IFERROR(VLOOKUP(Q4,Producao[[Granja Produção]:[Emp+CC]],4,0),"")</f>
        <v>221_3031</v>
      </c>
      <c r="Q4" s="836" t="str">
        <f t="shared" si="3"/>
        <v>Pesqueira - 02</v>
      </c>
      <c r="R4" s="844" t="str">
        <f>IFERROR(VLOOKUP(Q4,Producao[[Granja Produção]:[Núcleo]],2,0),"")</f>
        <v>(N2)</v>
      </c>
      <c r="S4" s="839">
        <v>14311</v>
      </c>
      <c r="T4" s="840">
        <f t="shared" si="4"/>
        <v>46085</v>
      </c>
      <c r="U4" s="841">
        <v>68</v>
      </c>
      <c r="V4" s="842">
        <f>C26-T4</f>
        <v>43</v>
      </c>
      <c r="W4" s="843">
        <f t="shared" si="6"/>
        <v>46128</v>
      </c>
    </row>
    <row r="5" spans="1:25">
      <c r="A5" s="832" t="s">
        <v>708</v>
      </c>
      <c r="B5" s="833">
        <v>45617</v>
      </c>
      <c r="C5" s="834">
        <v>45617</v>
      </c>
      <c r="D5" s="835">
        <v>191</v>
      </c>
      <c r="E5" s="835">
        <f t="shared" ca="1" si="0"/>
        <v>96.714285714285708</v>
      </c>
      <c r="F5" s="835" t="str">
        <f>IFERROR(VLOOKUP(G5,Recria[[Granja Recria]:[Emp+CC]],4,0),"")</f>
        <v>227_3019</v>
      </c>
      <c r="G5" s="836" t="s">
        <v>712</v>
      </c>
      <c r="H5" s="844" t="str">
        <f>IFERROR(VLOOKUP(G5,Recria[[Granja Recria]:[Núcleo]],2,0),"")</f>
        <v>(N5)</v>
      </c>
      <c r="I5" s="835">
        <v>17000</v>
      </c>
      <c r="J5" s="832" t="s">
        <v>60</v>
      </c>
      <c r="K5" s="832">
        <v>0</v>
      </c>
      <c r="L5" s="803" t="str">
        <f>VLOOKUP(M5,Raca_Linhagem[],2,0)</f>
        <v>HUBB</v>
      </c>
      <c r="M5" s="766" t="s">
        <v>242</v>
      </c>
      <c r="N5" s="837">
        <f t="shared" si="1"/>
        <v>45764</v>
      </c>
      <c r="O5" s="838">
        <f t="shared" si="2"/>
        <v>191</v>
      </c>
      <c r="P5" s="845" t="str">
        <f>IFERROR(VLOOKUP(Q5,Producao[[Granja Produção]:[Emp+CC]],4,0),"")</f>
        <v>227_3041</v>
      </c>
      <c r="Q5" s="836" t="str">
        <f t="shared" si="3"/>
        <v>Pina - 05</v>
      </c>
      <c r="R5" s="844" t="str">
        <f>IFERROR(VLOOKUP(Q5,Producao[[Granja Produção]:[Núcleo]],2,0),"")</f>
        <v>(N5)</v>
      </c>
      <c r="S5" s="839">
        <v>16412</v>
      </c>
      <c r="T5" s="1036">
        <f t="shared" si="4"/>
        <v>46092</v>
      </c>
      <c r="U5" s="1037">
        <v>68</v>
      </c>
      <c r="V5" s="1038">
        <f>C27-T5</f>
        <v>71</v>
      </c>
      <c r="W5" s="1039">
        <f t="shared" si="6"/>
        <v>46163</v>
      </c>
    </row>
    <row r="6" spans="1:25">
      <c r="A6" s="832" t="s">
        <v>708</v>
      </c>
      <c r="B6" s="833">
        <v>45637</v>
      </c>
      <c r="C6" s="834">
        <v>45638</v>
      </c>
      <c r="D6" s="835">
        <v>192</v>
      </c>
      <c r="E6" s="835">
        <f t="shared" ca="1" si="0"/>
        <v>93.714285714285708</v>
      </c>
      <c r="F6" s="835" t="str">
        <f>IFERROR(VLOOKUP(G6,Recria[[Granja Recria]:[Emp+CC]],4,0),"")</f>
        <v>221_3010</v>
      </c>
      <c r="G6" s="836" t="s">
        <v>713</v>
      </c>
      <c r="H6" s="844" t="str">
        <f>IFERROR(VLOOKUP(G6,Recria[[Granja Recria]:[Núcleo]],2,0),"")</f>
        <v>(N3)</v>
      </c>
      <c r="I6" s="835">
        <v>32000</v>
      </c>
      <c r="J6" s="832" t="s">
        <v>60</v>
      </c>
      <c r="K6" s="832">
        <v>0</v>
      </c>
      <c r="L6" s="803" t="str">
        <f>VLOOKUP(M6,Raca_Linhagem[],2,0)</f>
        <v>COBB</v>
      </c>
      <c r="M6" s="816" t="s">
        <v>21</v>
      </c>
      <c r="N6" s="837">
        <f t="shared" si="1"/>
        <v>45785</v>
      </c>
      <c r="O6" s="838">
        <f t="shared" si="2"/>
        <v>192</v>
      </c>
      <c r="P6" s="845" t="str">
        <f>IFERROR(VLOOKUP(Q6,Producao[[Granja Produção]:[Emp+CC]],4,0),"")</f>
        <v>221_3032</v>
      </c>
      <c r="Q6" s="836" t="str">
        <f t="shared" si="3"/>
        <v>Pesqueira - 03</v>
      </c>
      <c r="R6" s="844" t="str">
        <f>IFERROR(VLOOKUP(Q6,Producao[[Granja Produção]:[Núcleo]],2,0),"")</f>
        <v>(N3)</v>
      </c>
      <c r="S6" s="839">
        <v>31672</v>
      </c>
      <c r="T6" s="1036">
        <f t="shared" si="4"/>
        <v>46113</v>
      </c>
      <c r="U6" s="1037">
        <v>68</v>
      </c>
      <c r="V6" s="1038">
        <f>C28-T6</f>
        <v>43</v>
      </c>
      <c r="W6" s="1039">
        <f t="shared" si="6"/>
        <v>46156</v>
      </c>
    </row>
    <row r="7" spans="1:25">
      <c r="A7" s="832" t="s">
        <v>708</v>
      </c>
      <c r="B7" s="833">
        <v>45679</v>
      </c>
      <c r="C7" s="834">
        <v>45680</v>
      </c>
      <c r="D7" s="835">
        <v>193</v>
      </c>
      <c r="E7" s="835">
        <f t="shared" ca="1" si="0"/>
        <v>87.714285714285708</v>
      </c>
      <c r="F7" s="835" t="str">
        <f>IFERROR(VLOOKUP(G7,Recria[[Granja Recria]:[Emp+CC]],4,0),"")</f>
        <v>227_3020</v>
      </c>
      <c r="G7" s="836" t="s">
        <v>714</v>
      </c>
      <c r="H7" s="844" t="str">
        <f>IFERROR(VLOOKUP(G7,Recria[[Granja Recria]:[Núcleo]],2,0),"")</f>
        <v>(N6)</v>
      </c>
      <c r="I7" s="835">
        <v>17000</v>
      </c>
      <c r="J7" s="832" t="s">
        <v>60</v>
      </c>
      <c r="K7" s="832">
        <v>0</v>
      </c>
      <c r="L7" s="803" t="str">
        <f>VLOOKUP(M7,Raca_Linhagem[],2,0)</f>
        <v>COBB</v>
      </c>
      <c r="M7" s="816" t="s">
        <v>21</v>
      </c>
      <c r="N7" s="837">
        <f t="shared" si="1"/>
        <v>45827</v>
      </c>
      <c r="O7" s="838">
        <f t="shared" si="2"/>
        <v>193</v>
      </c>
      <c r="P7" s="845" t="str">
        <f>IFERROR(VLOOKUP(Q7,Producao[[Granja Produção]:[Emp+CC]],4,0),"")</f>
        <v>227_3042</v>
      </c>
      <c r="Q7" s="836" t="str">
        <f t="shared" si="3"/>
        <v>Pina - 06</v>
      </c>
      <c r="R7" s="844" t="str">
        <f>IFERROR(VLOOKUP(Q7,Producao[[Granja Produção]:[Núcleo]],2,0),"")</f>
        <v>(N6)</v>
      </c>
      <c r="S7" s="839">
        <v>15986</v>
      </c>
      <c r="T7" s="840">
        <f t="shared" si="4"/>
        <v>46155</v>
      </c>
      <c r="U7" s="841">
        <v>68</v>
      </c>
      <c r="V7" s="842">
        <f>C30-T7</f>
        <v>78</v>
      </c>
      <c r="W7" s="843">
        <f t="shared" si="6"/>
        <v>46233</v>
      </c>
    </row>
    <row r="8" spans="1:25">
      <c r="A8" s="832" t="s">
        <v>708</v>
      </c>
      <c r="B8" s="833">
        <v>45687</v>
      </c>
      <c r="C8" s="834">
        <v>45687</v>
      </c>
      <c r="D8" s="835">
        <v>194</v>
      </c>
      <c r="E8" s="835">
        <f t="shared" ca="1" si="0"/>
        <v>86.714285714285708</v>
      </c>
      <c r="F8" s="835" t="str">
        <f>IFERROR(VLOOKUP(G8,Recria[[Granja Recria]:[Emp+CC]],4,0),"")</f>
        <v>220_3014</v>
      </c>
      <c r="G8" s="836" t="s">
        <v>715</v>
      </c>
      <c r="H8" s="844" t="str">
        <f>IFERROR(VLOOKUP(G8,Recria[[Granja Recria]:[Núcleo]],2,0),"")</f>
        <v>(N7-8)</v>
      </c>
      <c r="I8" s="835">
        <v>44000</v>
      </c>
      <c r="J8" s="832" t="s">
        <v>60</v>
      </c>
      <c r="K8" s="832">
        <v>0</v>
      </c>
      <c r="L8" s="803" t="str">
        <f>VLOOKUP(M8,Raca_Linhagem[],2,0)</f>
        <v>ROSS</v>
      </c>
      <c r="M8" s="816" t="s">
        <v>26</v>
      </c>
      <c r="N8" s="837">
        <f t="shared" si="1"/>
        <v>45834</v>
      </c>
      <c r="O8" s="838">
        <f t="shared" si="2"/>
        <v>194</v>
      </c>
      <c r="P8" s="845" t="str">
        <f>IFERROR(VLOOKUP(Q8,Producao[[Granja Produção]:[Emp+CC]],4,0),"")</f>
        <v>220_3036</v>
      </c>
      <c r="Q8" s="836" t="str">
        <f t="shared" si="3"/>
        <v>Riacho - 04</v>
      </c>
      <c r="R8" s="844" t="str">
        <f>IFERROR(VLOOKUP(Q8,Producao[[Granja Produção]:[Núcleo]],2,0),"")</f>
        <v>(N7-8)</v>
      </c>
      <c r="S8" s="839">
        <v>43890</v>
      </c>
      <c r="T8" s="840">
        <f t="shared" si="4"/>
        <v>46162</v>
      </c>
      <c r="U8" s="841">
        <v>68</v>
      </c>
      <c r="V8" s="842">
        <f>C29-T8</f>
        <v>57</v>
      </c>
      <c r="W8" s="843">
        <f t="shared" si="6"/>
        <v>46219</v>
      </c>
    </row>
    <row r="9" spans="1:25">
      <c r="A9" s="832" t="s">
        <v>708</v>
      </c>
      <c r="B9" s="850">
        <v>45714</v>
      </c>
      <c r="C9" s="851">
        <v>45715</v>
      </c>
      <c r="D9" s="835">
        <v>195</v>
      </c>
      <c r="E9" s="852">
        <f t="shared" ca="1" si="0"/>
        <v>82.714285714285708</v>
      </c>
      <c r="F9" s="852" t="str">
        <f>IFERROR(VLOOKUP(G9,Recria[[Granja Recria]:[Emp+CC]],4,0),"")</f>
        <v>220_3012</v>
      </c>
      <c r="G9" s="836" t="s">
        <v>716</v>
      </c>
      <c r="H9" s="844" t="str">
        <f>IFERROR(VLOOKUP(G9,Recria[[Granja Recria]:[Núcleo]],2,0),"")</f>
        <v>(N3-4)</v>
      </c>
      <c r="I9" s="852">
        <v>44000</v>
      </c>
      <c r="J9" s="853" t="s">
        <v>60</v>
      </c>
      <c r="K9" s="832">
        <v>0</v>
      </c>
      <c r="L9" s="803" t="str">
        <f>VLOOKUP(M9,Raca_Linhagem[],2,0)</f>
        <v>COBB</v>
      </c>
      <c r="M9" s="816" t="s">
        <v>21</v>
      </c>
      <c r="N9" s="854">
        <f t="shared" si="1"/>
        <v>45862</v>
      </c>
      <c r="O9" s="855">
        <f t="shared" si="2"/>
        <v>195</v>
      </c>
      <c r="P9" s="855" t="str">
        <f>IFERROR(VLOOKUP(Q9,Producao[[Granja Produção]:[Emp+CC]],4,0),"")</f>
        <v>220_3034</v>
      </c>
      <c r="Q9" s="836" t="str">
        <f t="shared" si="3"/>
        <v>Riacho - 02</v>
      </c>
      <c r="R9" s="844" t="str">
        <f>IFERROR(VLOOKUP(Q9,Producao[[Granja Produção]:[Núcleo]],2,0),"")</f>
        <v>(N3-4)</v>
      </c>
      <c r="S9" s="839">
        <v>40586</v>
      </c>
      <c r="T9" s="846">
        <f t="shared" si="4"/>
        <v>46190</v>
      </c>
      <c r="U9" s="847">
        <v>68</v>
      </c>
      <c r="V9" s="848">
        <f>C31-T9</f>
        <v>64</v>
      </c>
      <c r="W9" s="849">
        <f t="shared" si="6"/>
        <v>46254</v>
      </c>
    </row>
    <row r="10" spans="1:25">
      <c r="A10" s="832" t="s">
        <v>708</v>
      </c>
      <c r="B10" s="850">
        <v>45750</v>
      </c>
      <c r="C10" s="851">
        <v>45750</v>
      </c>
      <c r="D10" s="835">
        <v>197</v>
      </c>
      <c r="E10" s="852">
        <f t="shared" ca="1" si="0"/>
        <v>77.714285714285708</v>
      </c>
      <c r="F10" s="852" t="str">
        <f>IFERROR(VLOOKUP(G10,Recria[[Granja Recria]:[Emp+CC]],4,0),"")</f>
        <v>227_3021</v>
      </c>
      <c r="G10" s="836" t="s">
        <v>717</v>
      </c>
      <c r="H10" s="844" t="str">
        <f>IFERROR(VLOOKUP(G10,Recria[[Granja Recria]:[Núcleo]],2,0),"")</f>
        <v>(N7)</v>
      </c>
      <c r="I10" s="852">
        <v>17000</v>
      </c>
      <c r="J10" s="853" t="s">
        <v>60</v>
      </c>
      <c r="K10" s="832">
        <v>0</v>
      </c>
      <c r="L10" s="803" t="str">
        <f>VLOOKUP(M10,Raca_Linhagem[],2,0)</f>
        <v>COBB</v>
      </c>
      <c r="M10" s="816" t="s">
        <v>21</v>
      </c>
      <c r="N10" s="854">
        <f t="shared" si="1"/>
        <v>45897</v>
      </c>
      <c r="O10" s="855">
        <f t="shared" si="2"/>
        <v>197</v>
      </c>
      <c r="P10" s="855" t="str">
        <f>IFERROR(VLOOKUP(Q10,Producao[[Granja Produção]:[Emp+CC]],4,0),"")</f>
        <v>227_3043</v>
      </c>
      <c r="Q10" s="836" t="str">
        <f t="shared" si="3"/>
        <v>Pina - 07</v>
      </c>
      <c r="R10" s="844" t="str">
        <f>IFERROR(VLOOKUP(Q10,Producao[[Granja Produção]:[Núcleo]],2,0),"")</f>
        <v>(N7)</v>
      </c>
      <c r="S10" s="839">
        <v>16873</v>
      </c>
      <c r="T10" s="846">
        <f t="shared" si="4"/>
        <v>46225</v>
      </c>
      <c r="U10" s="847">
        <v>68</v>
      </c>
      <c r="V10" s="848">
        <f>C33-T10</f>
        <v>78</v>
      </c>
      <c r="W10" s="849">
        <f t="shared" si="6"/>
        <v>46303</v>
      </c>
    </row>
    <row r="11" spans="1:25">
      <c r="A11" s="832" t="s">
        <v>708</v>
      </c>
      <c r="B11" s="850">
        <v>45742</v>
      </c>
      <c r="C11" s="851">
        <v>45743</v>
      </c>
      <c r="D11" s="835">
        <v>196</v>
      </c>
      <c r="E11" s="852">
        <f t="shared" ca="1" si="0"/>
        <v>78.714285714285708</v>
      </c>
      <c r="F11" s="852" t="str">
        <f>IFERROR(VLOOKUP(G11,Recria[[Granja Recria]:[Emp+CC]],4,0),"")</f>
        <v>220_3013</v>
      </c>
      <c r="G11" s="836" t="s">
        <v>718</v>
      </c>
      <c r="H11" s="844" t="str">
        <f>IFERROR(VLOOKUP(G11,Recria[[Granja Recria]:[Núcleo]],2,0),"")</f>
        <v>(N5-6)</v>
      </c>
      <c r="I11" s="852">
        <v>44000</v>
      </c>
      <c r="J11" s="853" t="s">
        <v>60</v>
      </c>
      <c r="K11" s="832">
        <v>0</v>
      </c>
      <c r="L11" s="803" t="str">
        <f>VLOOKUP(M11,Raca_Linhagem[],2,0)</f>
        <v>COBB</v>
      </c>
      <c r="M11" s="816" t="s">
        <v>21</v>
      </c>
      <c r="N11" s="854">
        <f t="shared" si="1"/>
        <v>45890</v>
      </c>
      <c r="O11" s="855">
        <f t="shared" si="2"/>
        <v>196</v>
      </c>
      <c r="P11" s="855" t="str">
        <f>IFERROR(VLOOKUP(Q11,Producao[[Granja Produção]:[Emp+CC]],4,0),"")</f>
        <v>220_3035</v>
      </c>
      <c r="Q11" s="836" t="str">
        <f t="shared" si="3"/>
        <v>Riacho - 03</v>
      </c>
      <c r="R11" s="844" t="str">
        <f>IFERROR(VLOOKUP(Q11,Producao[[Granja Produção]:[Núcleo]],2,0),"")</f>
        <v>(N5-6)</v>
      </c>
      <c r="S11" s="839">
        <v>42677</v>
      </c>
      <c r="T11" s="846">
        <f t="shared" si="4"/>
        <v>46218</v>
      </c>
      <c r="U11" s="847">
        <v>68</v>
      </c>
      <c r="V11" s="848">
        <f>C32-T11</f>
        <v>71</v>
      </c>
      <c r="W11" s="849">
        <f t="shared" si="6"/>
        <v>46289</v>
      </c>
    </row>
    <row r="12" spans="1:25">
      <c r="A12" s="832" t="s">
        <v>708</v>
      </c>
      <c r="B12" s="850">
        <v>45777</v>
      </c>
      <c r="C12" s="851">
        <v>45778</v>
      </c>
      <c r="D12" s="835">
        <v>198</v>
      </c>
      <c r="E12" s="852">
        <f t="shared" ca="1" si="0"/>
        <v>73.714285714285708</v>
      </c>
      <c r="F12" s="852" t="str">
        <f>IFERROR(VLOOKUP(G12,Recria[[Granja Recria]:[Emp+CC]],4,0),"")</f>
        <v>220_3011</v>
      </c>
      <c r="G12" s="836" t="s">
        <v>719</v>
      </c>
      <c r="H12" s="844" t="str">
        <f>IFERROR(VLOOKUP(G12,Recria[[Granja Recria]:[Núcleo]],2,0),"")</f>
        <v>(N1-2)</v>
      </c>
      <c r="I12" s="852">
        <v>44000</v>
      </c>
      <c r="J12" s="853" t="s">
        <v>60</v>
      </c>
      <c r="K12" s="832">
        <v>0</v>
      </c>
      <c r="L12" s="803" t="str">
        <f>VLOOKUP(M12,Raca_Linhagem[],2,0)</f>
        <v>COBB</v>
      </c>
      <c r="M12" s="816" t="s">
        <v>21</v>
      </c>
      <c r="N12" s="854">
        <f t="shared" si="1"/>
        <v>45925</v>
      </c>
      <c r="O12" s="855">
        <f t="shared" si="2"/>
        <v>198</v>
      </c>
      <c r="P12" s="855" t="str">
        <f>IFERROR(VLOOKUP(Q12,Producao[[Granja Produção]:[Emp+CC]],4,0),"")</f>
        <v>220_3033</v>
      </c>
      <c r="Q12" s="836" t="str">
        <f t="shared" si="3"/>
        <v>Riacho - 01</v>
      </c>
      <c r="R12" s="844" t="str">
        <f>IFERROR(VLOOKUP(Q12,Producao[[Granja Produção]:[Núcleo]],2,0),"")</f>
        <v>(N1-2)</v>
      </c>
      <c r="S12" s="839">
        <v>43394</v>
      </c>
      <c r="T12" s="846">
        <f t="shared" si="4"/>
        <v>46253</v>
      </c>
      <c r="U12" s="847">
        <v>68</v>
      </c>
      <c r="V12" s="848">
        <f t="shared" ref="V12:V18" si="7">C34-T12</f>
        <v>71</v>
      </c>
      <c r="W12" s="849">
        <f t="shared" si="6"/>
        <v>46324</v>
      </c>
      <c r="X12" s="891">
        <f t="shared" ref="X12:X18" si="8">T12+55</f>
        <v>46308</v>
      </c>
      <c r="Y12" s="892" t="str">
        <f t="shared" ref="Y12:Y18" si="9">Q12</f>
        <v>Riacho - 01</v>
      </c>
    </row>
    <row r="13" spans="1:25">
      <c r="A13" s="832" t="s">
        <v>708</v>
      </c>
      <c r="B13" s="850">
        <v>45825</v>
      </c>
      <c r="C13" s="851">
        <v>45827</v>
      </c>
      <c r="D13" s="835">
        <v>199</v>
      </c>
      <c r="E13" s="852">
        <f t="shared" ca="1" si="0"/>
        <v>66.714285714285708</v>
      </c>
      <c r="F13" s="852" t="str">
        <f>IFERROR(VLOOKUP(G13,Recria[[Granja Recria]:[Emp+CC]],4,0),"")</f>
        <v>227_3017</v>
      </c>
      <c r="G13" s="836" t="s">
        <v>720</v>
      </c>
      <c r="H13" s="844" t="str">
        <f>IFERROR(VLOOKUP(G13,Recria[[Granja Recria]:[Núcleo]],2,0),"")</f>
        <v>(N3)</v>
      </c>
      <c r="I13" s="852">
        <v>17000</v>
      </c>
      <c r="J13" s="853" t="s">
        <v>60</v>
      </c>
      <c r="K13" s="832">
        <v>0</v>
      </c>
      <c r="L13" s="803" t="str">
        <f>VLOOKUP(M13,Raca_Linhagem[],2,0)</f>
        <v>ROSS</v>
      </c>
      <c r="M13" s="816" t="s">
        <v>26</v>
      </c>
      <c r="N13" s="854">
        <f t="shared" si="1"/>
        <v>45974</v>
      </c>
      <c r="O13" s="855">
        <v>199</v>
      </c>
      <c r="P13" s="855" t="str">
        <f>IFERROR(VLOOKUP(Q13,Producao[[Granja Produção]:[Emp+CC]],4,0),"")</f>
        <v>227_3039</v>
      </c>
      <c r="Q13" s="836" t="str">
        <f t="shared" si="3"/>
        <v>Pina - 03</v>
      </c>
      <c r="R13" s="844" t="str">
        <f>IFERROR(VLOOKUP(Q13,Producao[[Granja Produção]:[Núcleo]],2,0),"")</f>
        <v>(N3)</v>
      </c>
      <c r="S13" s="839">
        <v>15983</v>
      </c>
      <c r="T13" s="846">
        <f t="shared" si="4"/>
        <v>46302</v>
      </c>
      <c r="U13" s="847">
        <v>68</v>
      </c>
      <c r="V13" s="848">
        <f t="shared" si="7"/>
        <v>71</v>
      </c>
      <c r="W13" s="849">
        <f t="shared" si="6"/>
        <v>46373</v>
      </c>
      <c r="X13" s="891">
        <f t="shared" si="8"/>
        <v>46357</v>
      </c>
      <c r="Y13" s="892" t="str">
        <f t="shared" si="9"/>
        <v>Pina - 03</v>
      </c>
    </row>
    <row r="14" spans="1:25">
      <c r="A14" s="832" t="s">
        <v>708</v>
      </c>
      <c r="B14" s="850">
        <v>45849</v>
      </c>
      <c r="C14" s="851">
        <v>45848</v>
      </c>
      <c r="D14" s="835" t="s">
        <v>721</v>
      </c>
      <c r="E14" s="852">
        <f t="shared" ca="1" si="0"/>
        <v>63.714285714285715</v>
      </c>
      <c r="F14" s="852" t="str">
        <f>IFERROR(VLOOKUP(G14,Recria[[Granja Recria]:[Emp+CC]],4,0),"")</f>
        <v>229_3006</v>
      </c>
      <c r="G14" s="836" t="s">
        <v>722</v>
      </c>
      <c r="H14" s="844" t="str">
        <f>IFERROR(VLOOKUP(G14,Recria[[Granja Recria]:[Núcleo]],2,0),"")</f>
        <v>(N1)</v>
      </c>
      <c r="I14" s="852">
        <v>28000</v>
      </c>
      <c r="J14" s="853" t="s">
        <v>60</v>
      </c>
      <c r="K14" s="832">
        <v>0</v>
      </c>
      <c r="L14" s="803" t="str">
        <f>VLOOKUP(M14,Raca_Linhagem[],2,0)</f>
        <v>ROSS</v>
      </c>
      <c r="M14" s="816" t="s">
        <v>26</v>
      </c>
      <c r="N14" s="854">
        <f t="shared" si="1"/>
        <v>45995</v>
      </c>
      <c r="O14" s="855" t="str">
        <f>D14</f>
        <v>200B</v>
      </c>
      <c r="P14" s="855" t="str">
        <f>IFERROR(VLOOKUP(Q14,Producao[[Granja Produção]:[Emp+CC]],4,0),"")</f>
        <v>229_3028</v>
      </c>
      <c r="Q14" s="836" t="str">
        <f t="shared" si="3"/>
        <v>Ereu - 01</v>
      </c>
      <c r="R14" s="844" t="str">
        <f>IFERROR(VLOOKUP(Q14,Producao[[Granja Produção]:[Núcleo]],2,0),"")</f>
        <v>(N1)</v>
      </c>
      <c r="S14" s="839">
        <v>26325</v>
      </c>
      <c r="T14" s="846">
        <f t="shared" si="4"/>
        <v>46323</v>
      </c>
      <c r="U14" s="847">
        <v>68</v>
      </c>
      <c r="V14" s="848">
        <f t="shared" si="7"/>
        <v>75</v>
      </c>
      <c r="W14" s="849">
        <f t="shared" si="6"/>
        <v>46398</v>
      </c>
      <c r="X14" s="891">
        <f t="shared" si="8"/>
        <v>46378</v>
      </c>
      <c r="Y14" s="892" t="str">
        <f t="shared" si="9"/>
        <v>Ereu - 01</v>
      </c>
    </row>
    <row r="15" spans="1:25">
      <c r="A15" s="832" t="s">
        <v>708</v>
      </c>
      <c r="B15" s="850">
        <v>45841</v>
      </c>
      <c r="C15" s="851">
        <f>B15</f>
        <v>45841</v>
      </c>
      <c r="D15" s="835" t="s">
        <v>723</v>
      </c>
      <c r="E15" s="852">
        <f t="shared" ca="1" si="0"/>
        <v>64.714285714285708</v>
      </c>
      <c r="F15" s="852" t="str">
        <f>IFERROR(VLOOKUP(G15,Recria[[Granja Recria]:[Emp+CC]],4,0),"")</f>
        <v>229_3006</v>
      </c>
      <c r="G15" s="836" t="s">
        <v>722</v>
      </c>
      <c r="H15" s="844" t="str">
        <f>IFERROR(VLOOKUP(G15,Recria[[Granja Recria]:[Núcleo]],2,0),"")</f>
        <v>(N1)</v>
      </c>
      <c r="I15" s="852">
        <v>26500</v>
      </c>
      <c r="J15" s="853" t="s">
        <v>60</v>
      </c>
      <c r="K15" s="832">
        <v>0</v>
      </c>
      <c r="L15" s="803" t="str">
        <f>VLOOKUP(M15,Raca_Linhagem[],2,0)</f>
        <v>COBB</v>
      </c>
      <c r="M15" s="816" t="s">
        <v>21</v>
      </c>
      <c r="N15" s="854">
        <f t="shared" si="1"/>
        <v>45988</v>
      </c>
      <c r="O15" s="855" t="str">
        <f>D15</f>
        <v>200A</v>
      </c>
      <c r="P15" s="855" t="str">
        <f>IFERROR(VLOOKUP(Q15,Producao[[Granja Produção]:[Emp+CC]],4,0),"")</f>
        <v>229_3028</v>
      </c>
      <c r="Q15" s="836" t="str">
        <f t="shared" si="3"/>
        <v>Ereu - 01</v>
      </c>
      <c r="R15" s="844" t="str">
        <f>IFERROR(VLOOKUP(Q15,Producao[[Granja Produção]:[Núcleo]],2,0),"")</f>
        <v>(N1)</v>
      </c>
      <c r="S15" s="839">
        <v>25843</v>
      </c>
      <c r="T15" s="846">
        <f t="shared" si="4"/>
        <v>46316</v>
      </c>
      <c r="U15" s="847">
        <v>68</v>
      </c>
      <c r="V15" s="848">
        <f t="shared" si="7"/>
        <v>89</v>
      </c>
      <c r="W15" s="849">
        <f t="shared" si="6"/>
        <v>46405</v>
      </c>
      <c r="X15" s="891">
        <f t="shared" si="8"/>
        <v>46371</v>
      </c>
      <c r="Y15" s="892" t="str">
        <f t="shared" si="9"/>
        <v>Ereu - 01</v>
      </c>
    </row>
    <row r="16" spans="1:25">
      <c r="A16" s="832" t="s">
        <v>708</v>
      </c>
      <c r="B16" s="850">
        <v>45883</v>
      </c>
      <c r="C16" s="851">
        <v>45883</v>
      </c>
      <c r="D16" s="835">
        <v>201</v>
      </c>
      <c r="E16" s="852">
        <f t="shared" ca="1" si="0"/>
        <v>58.714285714285715</v>
      </c>
      <c r="F16" s="852" t="str">
        <f>IFERROR(VLOOKUP(G16,Recria[[Granja Recria]:[Emp+CC]],4,0),"")</f>
        <v>227_3015</v>
      </c>
      <c r="G16" s="836" t="s">
        <v>724</v>
      </c>
      <c r="H16" s="844" t="str">
        <f>IFERROR(VLOOKUP(G16,Recria[[Granja Recria]:[Núcleo]],2,0),"")</f>
        <v>(N1)</v>
      </c>
      <c r="I16" s="852">
        <v>17000</v>
      </c>
      <c r="J16" s="853" t="s">
        <v>60</v>
      </c>
      <c r="K16" s="832">
        <v>0</v>
      </c>
      <c r="L16" s="803" t="str">
        <f>VLOOKUP(M16,Raca_Linhagem[],2,0)</f>
        <v>COBB</v>
      </c>
      <c r="M16" s="816" t="s">
        <v>21</v>
      </c>
      <c r="N16" s="837">
        <f>C16+(24*7)-7</f>
        <v>46044</v>
      </c>
      <c r="O16" s="855">
        <f>D16</f>
        <v>201</v>
      </c>
      <c r="P16" s="845" t="str">
        <f>IFERROR(VLOOKUP(Q16,Producao[[Granja Produção]:[Emp+CC]],4,0),"")</f>
        <v>227_3037</v>
      </c>
      <c r="Q16" s="894" t="str">
        <f t="shared" si="3"/>
        <v>Pina - 01</v>
      </c>
      <c r="R16" s="895" t="str">
        <f>IFERROR(VLOOKUP(Q16,Producao[[Granja Produção]:[Núcleo]],2,0),"")</f>
        <v>(N1)</v>
      </c>
      <c r="S16" s="839">
        <f>I16*0.96</f>
        <v>16320</v>
      </c>
      <c r="T16" s="846">
        <f t="shared" si="4"/>
        <v>46358</v>
      </c>
      <c r="U16" s="847">
        <v>68</v>
      </c>
      <c r="V16" s="848">
        <f t="shared" si="7"/>
        <v>82</v>
      </c>
      <c r="W16" s="849">
        <f t="shared" si="6"/>
        <v>46440</v>
      </c>
      <c r="X16" s="891">
        <f t="shared" si="8"/>
        <v>46413</v>
      </c>
      <c r="Y16" s="892" t="str">
        <f t="shared" si="9"/>
        <v>Pina - 01</v>
      </c>
    </row>
    <row r="17" spans="1:25">
      <c r="A17" s="832" t="s">
        <v>708</v>
      </c>
      <c r="B17" s="850">
        <v>45906</v>
      </c>
      <c r="C17" s="851">
        <v>45904</v>
      </c>
      <c r="D17" s="835">
        <v>202</v>
      </c>
      <c r="E17" s="852">
        <f t="shared" ca="1" si="0"/>
        <v>55.714285714285715</v>
      </c>
      <c r="F17" s="852" t="str">
        <f>IFERROR(VLOOKUP(G17,Recria[[Granja Recria]:[Emp+CC]],4,0),"")</f>
        <v>222_3005</v>
      </c>
      <c r="G17" s="836" t="s">
        <v>725</v>
      </c>
      <c r="H17" s="844" t="str">
        <f>IFERROR(VLOOKUP(G17,Recria[[Granja Recria]:[Núcleo]],2,0),"")</f>
        <v>(N2)</v>
      </c>
      <c r="I17" s="852">
        <v>32000</v>
      </c>
      <c r="J17" s="853" t="s">
        <v>60</v>
      </c>
      <c r="K17" s="832">
        <v>0</v>
      </c>
      <c r="L17" s="803" t="str">
        <f>VLOOKUP(M17,Raca_Linhagem[],2,0)</f>
        <v>COBB</v>
      </c>
      <c r="M17" s="816" t="s">
        <v>21</v>
      </c>
      <c r="N17" s="837">
        <f t="shared" ref="N17:N34" si="10">C17+(24*7)-7</f>
        <v>46065</v>
      </c>
      <c r="O17" s="1191">
        <v>202</v>
      </c>
      <c r="P17" s="845" t="str">
        <f>IFERROR(VLOOKUP(Q17,Producao[[Granja Produção]:[Emp+CC]],4,0),"")</f>
        <v>222_3027</v>
      </c>
      <c r="Q17" s="1193" t="s">
        <v>725</v>
      </c>
      <c r="R17" s="895" t="str">
        <f>IFERROR(VLOOKUP(Q17,Producao[[Granja Produção]:[Núcleo]],2,0),"")</f>
        <v>(N2)</v>
      </c>
      <c r="S17" s="839">
        <f>I17*0.96</f>
        <v>30720</v>
      </c>
      <c r="T17" s="846">
        <f t="shared" si="4"/>
        <v>46379</v>
      </c>
      <c r="U17" s="847">
        <v>68</v>
      </c>
      <c r="V17" s="848">
        <f t="shared" si="7"/>
        <v>68</v>
      </c>
      <c r="W17" s="849">
        <f t="shared" si="6"/>
        <v>46447</v>
      </c>
      <c r="X17" s="891">
        <f t="shared" si="8"/>
        <v>46434</v>
      </c>
      <c r="Y17" s="892" t="str">
        <f t="shared" si="9"/>
        <v>Cachoeirinha - 02</v>
      </c>
    </row>
    <row r="18" spans="1:25">
      <c r="A18" s="832" t="s">
        <v>708</v>
      </c>
      <c r="B18" s="850">
        <v>45913</v>
      </c>
      <c r="C18" s="851">
        <v>45911</v>
      </c>
      <c r="D18" s="835">
        <v>203</v>
      </c>
      <c r="E18" s="852">
        <f t="shared" ca="1" si="0"/>
        <v>54.714285714285715</v>
      </c>
      <c r="F18" s="852" t="str">
        <f>IFERROR(VLOOKUP(G18,Recria[[Granja Recria]:[Emp+CC]],4,0),"")</f>
        <v>222_3004</v>
      </c>
      <c r="G18" s="836" t="s">
        <v>726</v>
      </c>
      <c r="H18" s="844" t="str">
        <f>IFERROR(VLOOKUP(G18,Recria[[Granja Recria]:[Núcleo]],2,0),"")</f>
        <v>(N1)</v>
      </c>
      <c r="I18" s="852">
        <v>32000</v>
      </c>
      <c r="J18" s="853" t="s">
        <v>60</v>
      </c>
      <c r="K18" s="832">
        <v>0</v>
      </c>
      <c r="L18" s="803" t="str">
        <f>VLOOKUP(M18,Raca_Linhagem[],2,0)</f>
        <v>COBB</v>
      </c>
      <c r="M18" s="816" t="s">
        <v>21</v>
      </c>
      <c r="N18" s="837">
        <f t="shared" si="10"/>
        <v>46072</v>
      </c>
      <c r="O18" s="1191">
        <v>203</v>
      </c>
      <c r="P18" s="845" t="str">
        <f>IFERROR(VLOOKUP(Q18,Producao[[Granja Produção]:[Emp+CC]],4,0),"")</f>
        <v>222_3026</v>
      </c>
      <c r="Q18" s="1193" t="s">
        <v>726</v>
      </c>
      <c r="R18" s="895" t="str">
        <f>IFERROR(VLOOKUP(Q18,Producao[[Granja Produção]:[Núcleo]],2,0),"")</f>
        <v>(N1)</v>
      </c>
      <c r="S18" s="839">
        <f t="shared" ref="S18:S34" si="11">I18*0.96</f>
        <v>30720</v>
      </c>
      <c r="T18" s="846">
        <f t="shared" si="4"/>
        <v>46386</v>
      </c>
      <c r="U18" s="847">
        <v>68</v>
      </c>
      <c r="V18" s="848">
        <f t="shared" si="7"/>
        <v>68</v>
      </c>
      <c r="W18" s="849">
        <f t="shared" si="6"/>
        <v>46454</v>
      </c>
      <c r="X18" s="891">
        <f t="shared" si="8"/>
        <v>46441</v>
      </c>
      <c r="Y18" s="892" t="str">
        <f t="shared" si="9"/>
        <v>Cachoeirinha - 01</v>
      </c>
    </row>
    <row r="19" spans="1:25">
      <c r="A19" s="832" t="s">
        <v>708</v>
      </c>
      <c r="B19" s="850">
        <v>45913</v>
      </c>
      <c r="C19" s="851">
        <v>45911</v>
      </c>
      <c r="D19" s="835">
        <v>203</v>
      </c>
      <c r="E19" s="852">
        <f t="shared" ref="E19" ca="1" si="12">IF((TODAY()-C19)/7&gt;T19,T19,(TODAY()-C19)/7)</f>
        <v>54.714285714285715</v>
      </c>
      <c r="F19" s="852" t="str">
        <f>IFERROR(VLOOKUP(G19,Recria[[Granja Recria]:[Emp+CC]],4,0),"")</f>
        <v>222_3004</v>
      </c>
      <c r="G19" s="836" t="s">
        <v>726</v>
      </c>
      <c r="H19" s="844" t="str">
        <f>IFERROR(VLOOKUP(G19,Recria[[Granja Recria]:[Núcleo]],2,0),"")</f>
        <v>(N1)</v>
      </c>
      <c r="I19" s="852">
        <v>32000</v>
      </c>
      <c r="J19" s="853" t="s">
        <v>60</v>
      </c>
      <c r="K19" s="832">
        <v>0</v>
      </c>
      <c r="L19" s="803" t="str">
        <f>VLOOKUP(M19,Raca_Linhagem[],2,0)</f>
        <v>COBB</v>
      </c>
      <c r="M19" s="816" t="s">
        <v>21</v>
      </c>
      <c r="N19" s="837">
        <f t="shared" ref="N19" si="13">C19+(24*7)-7</f>
        <v>46072</v>
      </c>
      <c r="O19" s="1191" t="s">
        <v>727</v>
      </c>
      <c r="P19" s="845" t="str">
        <f>IFERROR(VLOOKUP(Q19,Producao[[Granja Produção]:[Emp+CC]],4,0),"")</f>
        <v>227_3041</v>
      </c>
      <c r="Q19" s="1194" t="s">
        <v>712</v>
      </c>
      <c r="R19" s="895" t="str">
        <f>IFERROR(VLOOKUP(Q19,Producao[[Granja Produção]:[Núcleo]],2,0),"")</f>
        <v>(N5)</v>
      </c>
      <c r="S19" s="839">
        <f t="shared" ref="S19" si="14">I19*0.96</f>
        <v>30720</v>
      </c>
      <c r="T19" s="846">
        <f t="shared" ref="T19" si="15">C19+(U19*7)-1</f>
        <v>46386</v>
      </c>
      <c r="U19" s="847">
        <v>68</v>
      </c>
      <c r="V19" s="848">
        <f t="shared" ref="V19" si="16">C41-T19</f>
        <v>110</v>
      </c>
      <c r="W19" s="849">
        <f t="shared" ref="W19" si="17">IFERROR(T19+V19," ")</f>
        <v>46496</v>
      </c>
      <c r="X19" s="891">
        <f t="shared" ref="X19" si="18">T19+55</f>
        <v>46441</v>
      </c>
      <c r="Y19" s="892" t="str">
        <f t="shared" ref="Y19" si="19">Q19</f>
        <v>Pina - 05</v>
      </c>
    </row>
    <row r="20" spans="1:25">
      <c r="A20" s="832" t="s">
        <v>708</v>
      </c>
      <c r="B20" s="850">
        <v>45975</v>
      </c>
      <c r="C20" s="851">
        <v>45974</v>
      </c>
      <c r="D20" s="835">
        <v>205</v>
      </c>
      <c r="E20" s="852">
        <f t="shared" ca="1" si="0"/>
        <v>45.714285714285715</v>
      </c>
      <c r="F20" s="852" t="str">
        <f>IFERROR(VLOOKUP(G20,Recria[[Granja Recria]:[Emp+CC]],4,0),"")</f>
        <v>225_3003</v>
      </c>
      <c r="G20" s="836" t="s">
        <v>728</v>
      </c>
      <c r="H20" s="844" t="str">
        <f>IFERROR(VLOOKUP(G20,Recria[[Granja Recria]:[Núcleo]],2,0),"")</f>
        <v>(N3)</v>
      </c>
      <c r="I20" s="852">
        <v>41000</v>
      </c>
      <c r="J20" s="853" t="s">
        <v>60</v>
      </c>
      <c r="K20" s="832">
        <v>0</v>
      </c>
      <c r="L20" s="803" t="str">
        <f>VLOOKUP(M20,Raca_Linhagem[],2,0)</f>
        <v>COBB</v>
      </c>
      <c r="M20" s="816" t="s">
        <v>21</v>
      </c>
      <c r="N20" s="854">
        <f t="shared" si="10"/>
        <v>46135</v>
      </c>
      <c r="O20" s="1191" t="s">
        <v>729</v>
      </c>
      <c r="P20" s="855" t="str">
        <f>IFERROR(VLOOKUP(Q20,Producao[[Granja Produção]:[Emp+CC]],4,0),"")</f>
        <v>225_3025</v>
      </c>
      <c r="Q20" s="1194" t="s">
        <v>728</v>
      </c>
      <c r="R20" s="844" t="str">
        <f>IFERROR(VLOOKUP(Q20,Producao[[Granja Produção]:[Núcleo]],2,0),"")</f>
        <v>(N3)</v>
      </c>
      <c r="S20" s="839">
        <f t="shared" si="11"/>
        <v>39360</v>
      </c>
      <c r="T20" s="846">
        <f t="shared" si="4"/>
        <v>46449</v>
      </c>
      <c r="U20" s="847">
        <v>68</v>
      </c>
      <c r="V20" s="848">
        <f>C43-T20</f>
        <v>75</v>
      </c>
      <c r="W20" s="849">
        <f t="shared" si="6"/>
        <v>46524</v>
      </c>
      <c r="X20" s="891">
        <f t="shared" ref="X20:X34" si="20">T20+55</f>
        <v>46504</v>
      </c>
      <c r="Y20" s="892" t="str">
        <f t="shared" ref="Y20:Y34" si="21">Q20</f>
        <v>Bezerros - 03</v>
      </c>
    </row>
    <row r="21" spans="1:25">
      <c r="A21" s="832" t="s">
        <v>708</v>
      </c>
      <c r="B21" s="850">
        <v>46010</v>
      </c>
      <c r="C21" s="851">
        <v>46009</v>
      </c>
      <c r="D21" s="835">
        <v>206</v>
      </c>
      <c r="E21" s="852">
        <f t="shared" ca="1" si="0"/>
        <v>40.714285714285715</v>
      </c>
      <c r="F21" s="852" t="str">
        <f>IFERROR(VLOOKUP(G21,Recria[[Granja Recria]:[Emp+CC]],4,0),"")</f>
        <v>225_3002</v>
      </c>
      <c r="G21" s="836" t="s">
        <v>730</v>
      </c>
      <c r="H21" s="844" t="str">
        <f>IFERROR(VLOOKUP(G21,Recria[[Granja Recria]:[Núcleo]],2,0),"")</f>
        <v>(N2)</v>
      </c>
      <c r="I21" s="852">
        <v>32000</v>
      </c>
      <c r="J21" s="853" t="s">
        <v>60</v>
      </c>
      <c r="K21" s="832">
        <v>0</v>
      </c>
      <c r="L21" s="803" t="str">
        <f>VLOOKUP(M21,Raca_Linhagem[],2,0)</f>
        <v>ROSS</v>
      </c>
      <c r="M21" s="816" t="s">
        <v>26</v>
      </c>
      <c r="N21" s="854">
        <f t="shared" si="10"/>
        <v>46170</v>
      </c>
      <c r="O21" s="1191" t="s">
        <v>731</v>
      </c>
      <c r="P21" s="855" t="str">
        <f>IFERROR(VLOOKUP(Q21,Producao[[Granja Produção]:[Emp+CC]],4,0),"")</f>
        <v>225_3024</v>
      </c>
      <c r="Q21" s="1194" t="s">
        <v>730</v>
      </c>
      <c r="R21" s="844" t="str">
        <f>IFERROR(VLOOKUP(Q21,Producao[[Granja Produção]:[Núcleo]],2,0),"")</f>
        <v>(N2)</v>
      </c>
      <c r="S21" s="839">
        <f t="shared" si="11"/>
        <v>30720</v>
      </c>
      <c r="T21" s="846">
        <f t="shared" si="4"/>
        <v>46484</v>
      </c>
      <c r="U21" s="847">
        <v>68</v>
      </c>
      <c r="V21" s="848">
        <f>C43-T21</f>
        <v>40</v>
      </c>
      <c r="W21" s="849">
        <f>IFERROR(T21+V21," ")</f>
        <v>46524</v>
      </c>
      <c r="X21" s="891">
        <f t="shared" si="20"/>
        <v>46539</v>
      </c>
      <c r="Y21" s="892" t="str">
        <f t="shared" si="21"/>
        <v>Bezerros - 02</v>
      </c>
    </row>
    <row r="22" spans="1:25">
      <c r="A22" s="832" t="s">
        <v>708</v>
      </c>
      <c r="B22" s="850">
        <v>46019</v>
      </c>
      <c r="C22" s="851">
        <v>46016</v>
      </c>
      <c r="D22" s="835">
        <v>207</v>
      </c>
      <c r="E22" s="852">
        <f t="shared" ca="1" si="0"/>
        <v>39.714285714285715</v>
      </c>
      <c r="F22" s="852" t="str">
        <f>IFERROR(VLOOKUP(G22,Recria[[Granja Recria]:[Emp+CC]],4,0),"")</f>
        <v>227_3016</v>
      </c>
      <c r="G22" s="836" t="s">
        <v>732</v>
      </c>
      <c r="H22" s="844" t="str">
        <f>IFERROR(VLOOKUP(G22,Recria[[Granja Recria]:[Núcleo]],2,0),"")</f>
        <v>(N2)</v>
      </c>
      <c r="I22" s="852">
        <v>16500</v>
      </c>
      <c r="J22" s="853" t="s">
        <v>60</v>
      </c>
      <c r="K22" s="832">
        <v>0</v>
      </c>
      <c r="L22" s="803" t="str">
        <f>VLOOKUP(M22,Raca_Linhagem[],2,0)</f>
        <v>ROSS</v>
      </c>
      <c r="M22" s="816" t="s">
        <v>26</v>
      </c>
      <c r="N22" s="856">
        <f t="shared" si="10"/>
        <v>46177</v>
      </c>
      <c r="O22" s="1192" t="s">
        <v>733</v>
      </c>
      <c r="P22" s="858" t="str">
        <f>IFERROR(VLOOKUP(Q22,Producao[[Granja Produção]:[Emp+CC]],4,0),"")</f>
        <v>227_3038</v>
      </c>
      <c r="Q22" s="1195" t="s">
        <v>732</v>
      </c>
      <c r="R22" s="860" t="str">
        <f>IFERROR(VLOOKUP(Q22,Producao[[Granja Produção]:[Núcleo]],2,0),"")</f>
        <v>(N2)</v>
      </c>
      <c r="S22" s="861">
        <f t="shared" si="11"/>
        <v>15840</v>
      </c>
      <c r="T22" s="846">
        <f t="shared" si="4"/>
        <v>46491</v>
      </c>
      <c r="U22" s="847">
        <v>68</v>
      </c>
      <c r="V22" s="848">
        <f>C44-T22</f>
        <v>82</v>
      </c>
      <c r="W22" s="849">
        <f t="shared" si="6"/>
        <v>46573</v>
      </c>
      <c r="X22" s="891">
        <f t="shared" si="20"/>
        <v>46546</v>
      </c>
      <c r="Y22" s="892" t="str">
        <f t="shared" si="21"/>
        <v>Pina - 02</v>
      </c>
    </row>
    <row r="23" spans="1:25">
      <c r="A23" s="1025" t="s">
        <v>708</v>
      </c>
      <c r="B23" s="850">
        <v>46032</v>
      </c>
      <c r="C23" s="851">
        <v>46030</v>
      </c>
      <c r="D23" s="1189" t="s">
        <v>734</v>
      </c>
      <c r="E23" s="852">
        <f t="shared" ca="1" si="0"/>
        <v>37.714285714285715</v>
      </c>
      <c r="F23" s="852" t="str">
        <f>IFERROR(VLOOKUP(G23,Recria[[Granja Recria]:[Emp+CC]],4,0),"")</f>
        <v>225_3001</v>
      </c>
      <c r="G23" s="1189" t="s">
        <v>735</v>
      </c>
      <c r="H23" s="895" t="str">
        <f>IFERROR(VLOOKUP(G23,Recria[[Granja Recria]:[Núcleo]],2,0),"")</f>
        <v>(N1)</v>
      </c>
      <c r="I23" s="852">
        <v>40000</v>
      </c>
      <c r="J23" s="853" t="s">
        <v>60</v>
      </c>
      <c r="K23" s="1025">
        <v>0</v>
      </c>
      <c r="L23" s="803" t="str">
        <f>VLOOKUP(M23,Raca_Linhagem[],2,0)</f>
        <v>COBB</v>
      </c>
      <c r="M23" s="816" t="s">
        <v>21</v>
      </c>
      <c r="N23" s="856">
        <f t="shared" si="10"/>
        <v>46191</v>
      </c>
      <c r="O23" s="1192" t="s">
        <v>736</v>
      </c>
      <c r="P23" s="858" t="str">
        <f>IFERROR(VLOOKUP(Q23,Producao[[Granja Produção]:[Emp+CC]],4,0),"")</f>
        <v>225_3023</v>
      </c>
      <c r="Q23" s="1195" t="s">
        <v>735</v>
      </c>
      <c r="R23" s="860" t="str">
        <f>IFERROR(VLOOKUP(Q23,Producao[[Granja Produção]:[Núcleo]],2,0),"")</f>
        <v>(N1)</v>
      </c>
      <c r="S23" s="861">
        <f t="shared" si="11"/>
        <v>38400</v>
      </c>
      <c r="T23" s="846">
        <f t="shared" si="4"/>
        <v>46505</v>
      </c>
      <c r="U23" s="847">
        <v>68</v>
      </c>
      <c r="V23" s="848">
        <f>C45-T23</f>
        <v>68</v>
      </c>
      <c r="W23" s="849">
        <f t="shared" si="6"/>
        <v>46573</v>
      </c>
      <c r="X23" s="891">
        <f t="shared" si="20"/>
        <v>46560</v>
      </c>
      <c r="Y23" s="892" t="str">
        <f t="shared" si="21"/>
        <v>Bezerros - 01</v>
      </c>
    </row>
    <row r="24" spans="1:25">
      <c r="A24" s="1025" t="s">
        <v>708</v>
      </c>
      <c r="B24" s="850">
        <v>46090</v>
      </c>
      <c r="C24" s="851">
        <v>46100</v>
      </c>
      <c r="D24" s="1189" t="s">
        <v>737</v>
      </c>
      <c r="E24" s="852">
        <f t="shared" ca="1" si="0"/>
        <v>27.714285714285715</v>
      </c>
      <c r="F24" s="852" t="str">
        <f>IFERROR(VLOOKUP(G24,Recria[[Granja Recria]:[Emp+CC]],4,0),"")</f>
        <v>227_3015</v>
      </c>
      <c r="G24" s="1189" t="s">
        <v>724</v>
      </c>
      <c r="H24" s="895" t="str">
        <f>IFERROR(VLOOKUP(G24,Recria[[Granja Recria]:[Núcleo]],2,0),"")</f>
        <v>(N1)</v>
      </c>
      <c r="I24" s="852">
        <v>17000</v>
      </c>
      <c r="J24" s="853" t="s">
        <v>60</v>
      </c>
      <c r="K24" s="1025">
        <v>0</v>
      </c>
      <c r="L24" s="803" t="str">
        <f>VLOOKUP(M24,Raca_Linhagem[],2,0)</f>
        <v>HUBB</v>
      </c>
      <c r="M24" s="766" t="s">
        <v>242</v>
      </c>
      <c r="N24" s="856">
        <f t="shared" si="10"/>
        <v>46261</v>
      </c>
      <c r="O24" s="857"/>
      <c r="P24" s="858" t="str">
        <f>IFERROR(VLOOKUP(Q24,Producao[[Granja Produção]:[Emp+CC]],4,0),"")</f>
        <v>227_3037</v>
      </c>
      <c r="Q24" s="859" t="str">
        <f t="shared" si="3"/>
        <v>Pina - 01</v>
      </c>
      <c r="R24" s="860" t="str">
        <f>IFERROR(VLOOKUP(Q24,Producao[[Granja Produção]:[Núcleo]],2,0),"")</f>
        <v>(N1)</v>
      </c>
      <c r="S24" s="861">
        <f t="shared" si="11"/>
        <v>16320</v>
      </c>
      <c r="T24" s="846">
        <f t="shared" si="4"/>
        <v>46575</v>
      </c>
      <c r="U24" s="847">
        <v>68</v>
      </c>
      <c r="V24" s="848">
        <f>C47-T24</f>
        <v>68</v>
      </c>
      <c r="W24" s="849">
        <f t="shared" si="6"/>
        <v>46643</v>
      </c>
      <c r="X24" s="891">
        <f t="shared" si="20"/>
        <v>46630</v>
      </c>
      <c r="Y24" s="892" t="str">
        <f t="shared" si="21"/>
        <v>Pina - 01</v>
      </c>
    </row>
    <row r="25" spans="1:25">
      <c r="A25" s="1025" t="s">
        <v>708</v>
      </c>
      <c r="B25" s="850">
        <v>46088</v>
      </c>
      <c r="C25" s="851">
        <v>46086</v>
      </c>
      <c r="D25" s="1189" t="s">
        <v>738</v>
      </c>
      <c r="E25" s="852">
        <f t="shared" ca="1" si="0"/>
        <v>29.714285714285715</v>
      </c>
      <c r="F25" s="852" t="str">
        <f>IFERROR(VLOOKUP(G25,Recria[[Granja Recria]:[Emp+CC]],4,0),"")</f>
        <v>221_3008</v>
      </c>
      <c r="G25" s="1189" t="s">
        <v>710</v>
      </c>
      <c r="H25" s="895" t="str">
        <f>IFERROR(VLOOKUP(G25,Recria[[Granja Recria]:[Núcleo]],2,0),"")</f>
        <v>(N1)</v>
      </c>
      <c r="I25" s="852">
        <v>32640</v>
      </c>
      <c r="J25" s="853" t="s">
        <v>60</v>
      </c>
      <c r="K25" s="1025">
        <v>0</v>
      </c>
      <c r="L25" s="803" t="str">
        <f>VLOOKUP(M25,Raca_Linhagem[],2,0)</f>
        <v>COBB</v>
      </c>
      <c r="M25" s="816" t="s">
        <v>21</v>
      </c>
      <c r="N25" s="856">
        <f t="shared" si="10"/>
        <v>46247</v>
      </c>
      <c r="O25" s="857"/>
      <c r="P25" s="858" t="str">
        <f>IFERROR(VLOOKUP(Q25,Producao[[Granja Produção]:[Emp+CC]],4,0),"")</f>
        <v>221_3030</v>
      </c>
      <c r="Q25" s="859" t="str">
        <f t="shared" si="3"/>
        <v>Pesqueira - 01</v>
      </c>
      <c r="R25" s="860" t="str">
        <f>IFERROR(VLOOKUP(Q25,Producao[[Granja Produção]:[Núcleo]],2,0),"")</f>
        <v>(N1)</v>
      </c>
      <c r="S25" s="861">
        <f t="shared" si="11"/>
        <v>31334.399999999998</v>
      </c>
      <c r="T25" s="846">
        <f t="shared" si="4"/>
        <v>46561</v>
      </c>
      <c r="U25" s="847">
        <v>68</v>
      </c>
      <c r="V25" s="848">
        <f>C46-T25</f>
        <v>61</v>
      </c>
      <c r="W25" s="849">
        <f t="shared" si="6"/>
        <v>46622</v>
      </c>
      <c r="X25" s="891">
        <f t="shared" si="20"/>
        <v>46616</v>
      </c>
      <c r="Y25" s="892" t="str">
        <f t="shared" si="21"/>
        <v>Pesqueira - 01</v>
      </c>
    </row>
    <row r="26" spans="1:25">
      <c r="A26" s="832" t="s">
        <v>708</v>
      </c>
      <c r="B26" s="1183">
        <v>46127</v>
      </c>
      <c r="C26" s="1184">
        <v>46128</v>
      </c>
      <c r="D26" s="1190" t="s">
        <v>739</v>
      </c>
      <c r="E26" s="1185">
        <f t="shared" ca="1" si="0"/>
        <v>23.714285714285715</v>
      </c>
      <c r="F26" s="1185" t="str">
        <f>IFERROR(VLOOKUP(G26,Recria[[Granja Recria]:[Emp+CC]],4,0),"")</f>
        <v>221_3009</v>
      </c>
      <c r="G26" s="1190" t="s">
        <v>711</v>
      </c>
      <c r="H26" s="844" t="str">
        <f>IFERROR(VLOOKUP(G26,Recria[[Granja Recria]:[Núcleo]],2,0),"")</f>
        <v>(N2)</v>
      </c>
      <c r="I26" s="1185">
        <v>16000</v>
      </c>
      <c r="J26" s="1186" t="s">
        <v>60</v>
      </c>
      <c r="K26" s="832">
        <v>0</v>
      </c>
      <c r="L26" s="803" t="str">
        <f>VLOOKUP(M26,Raca_Linhagem[],2,0)</f>
        <v>COBB</v>
      </c>
      <c r="M26" s="816" t="s">
        <v>21</v>
      </c>
      <c r="N26" s="856">
        <f t="shared" si="10"/>
        <v>46289</v>
      </c>
      <c r="O26" s="857"/>
      <c r="P26" s="858" t="str">
        <f>IFERROR(VLOOKUP(Q26,Producao[[Granja Produção]:[Emp+CC]],4,0),"")</f>
        <v>221_3031</v>
      </c>
      <c r="Q26" s="859" t="str">
        <f t="shared" si="3"/>
        <v>Pesqueira - 02</v>
      </c>
      <c r="R26" s="860" t="str">
        <f>IFERROR(VLOOKUP(Q26,Producao[[Granja Produção]:[Núcleo]],2,0),"")</f>
        <v>(N2)</v>
      </c>
      <c r="S26" s="861">
        <f t="shared" si="11"/>
        <v>15360</v>
      </c>
      <c r="T26" s="846">
        <f t="shared" si="4"/>
        <v>46603</v>
      </c>
      <c r="U26" s="847">
        <v>68</v>
      </c>
      <c r="V26" s="848">
        <f>C48-T26</f>
        <v>47</v>
      </c>
      <c r="W26" s="849">
        <f t="shared" si="6"/>
        <v>46650</v>
      </c>
      <c r="X26" s="891">
        <f t="shared" si="20"/>
        <v>46658</v>
      </c>
      <c r="Y26" s="892" t="str">
        <f t="shared" si="21"/>
        <v>Pesqueira - 02</v>
      </c>
    </row>
    <row r="27" spans="1:25">
      <c r="A27" s="832" t="s">
        <v>708</v>
      </c>
      <c r="B27" s="1183">
        <v>46164</v>
      </c>
      <c r="C27" s="1184">
        <v>46163</v>
      </c>
      <c r="D27" s="1190" t="s">
        <v>740</v>
      </c>
      <c r="E27" s="1185">
        <f t="shared" ca="1" si="0"/>
        <v>18.714285714285715</v>
      </c>
      <c r="F27" s="1185" t="str">
        <f>IFERROR(VLOOKUP(G27,Recria[[Granja Recria]:[Emp+CC]],4,0),"")</f>
        <v>227_3022</v>
      </c>
      <c r="G27" s="1190" t="s">
        <v>741</v>
      </c>
      <c r="H27" s="844" t="str">
        <f>IFERROR(VLOOKUP(G27,Recria[[Granja Recria]:[Núcleo]],2,0),"")</f>
        <v>(N8)</v>
      </c>
      <c r="I27" s="1185">
        <v>17000</v>
      </c>
      <c r="J27" s="1186" t="s">
        <v>60</v>
      </c>
      <c r="K27" s="832">
        <v>0</v>
      </c>
      <c r="L27" s="803" t="str">
        <f>VLOOKUP(M27,Raca_Linhagem[],2,0)</f>
        <v>COBB</v>
      </c>
      <c r="M27" s="816" t="s">
        <v>21</v>
      </c>
      <c r="N27" s="856">
        <f t="shared" si="10"/>
        <v>46324</v>
      </c>
      <c r="O27" s="857"/>
      <c r="P27" s="858" t="str">
        <f>IFERROR(VLOOKUP(Q27,Producao[[Granja Produção]:[Emp+CC]],4,0),"")</f>
        <v>227_3044</v>
      </c>
      <c r="Q27" s="859" t="str">
        <f t="shared" si="3"/>
        <v>Pina - 08</v>
      </c>
      <c r="R27" s="860" t="str">
        <f>IFERROR(VLOOKUP(Q27,Producao[[Granja Produção]:[Núcleo]],2,0),"")</f>
        <v>(N8)</v>
      </c>
      <c r="S27" s="861">
        <f t="shared" si="11"/>
        <v>16320</v>
      </c>
      <c r="T27" s="846">
        <f t="shared" si="4"/>
        <v>46638</v>
      </c>
      <c r="U27" s="847">
        <v>68</v>
      </c>
      <c r="V27" s="848">
        <f>C50-T27</f>
        <v>75</v>
      </c>
      <c r="W27" s="849">
        <f t="shared" si="6"/>
        <v>46713</v>
      </c>
      <c r="X27" s="891">
        <f t="shared" si="20"/>
        <v>46693</v>
      </c>
      <c r="Y27" s="892" t="str">
        <f t="shared" si="21"/>
        <v>Pina - 08</v>
      </c>
    </row>
    <row r="28" spans="1:25">
      <c r="A28" s="832" t="s">
        <v>708</v>
      </c>
      <c r="B28" s="1183">
        <v>46159</v>
      </c>
      <c r="C28" s="1184">
        <v>46156</v>
      </c>
      <c r="D28" s="1190" t="s">
        <v>742</v>
      </c>
      <c r="E28" s="1185">
        <f t="shared" ca="1" si="0"/>
        <v>19.714285714285715</v>
      </c>
      <c r="F28" s="1185" t="str">
        <f>IFERROR(VLOOKUP(G28,Recria[[Granja Recria]:[Emp+CC]],4,0),"")</f>
        <v>221_3010</v>
      </c>
      <c r="G28" s="1190" t="s">
        <v>713</v>
      </c>
      <c r="H28" s="844" t="str">
        <f>IFERROR(VLOOKUP(G28,Recria[[Granja Recria]:[Núcleo]],2,0),"")</f>
        <v>(N3)</v>
      </c>
      <c r="I28" s="1185">
        <v>32000</v>
      </c>
      <c r="J28" s="1186" t="s">
        <v>60</v>
      </c>
      <c r="K28" s="832">
        <v>0</v>
      </c>
      <c r="L28" s="803" t="str">
        <f>VLOOKUP(M28,Raca_Linhagem[],2,0)</f>
        <v>ROSS</v>
      </c>
      <c r="M28" s="816" t="s">
        <v>26</v>
      </c>
      <c r="N28" s="856">
        <f t="shared" si="10"/>
        <v>46317</v>
      </c>
      <c r="O28" s="857"/>
      <c r="P28" s="858" t="str">
        <f>IFERROR(VLOOKUP(Q28,Producao[[Granja Produção]:[Emp+CC]],4,0),"")</f>
        <v>221_3032</v>
      </c>
      <c r="Q28" s="859" t="str">
        <f t="shared" si="3"/>
        <v>Pesqueira - 03</v>
      </c>
      <c r="R28" s="860" t="str">
        <f>IFERROR(VLOOKUP(Q28,Producao[[Granja Produção]:[Núcleo]],2,0),"")</f>
        <v>(N3)</v>
      </c>
      <c r="S28" s="861">
        <f t="shared" si="11"/>
        <v>30720</v>
      </c>
      <c r="T28" s="846">
        <f t="shared" si="4"/>
        <v>46631</v>
      </c>
      <c r="U28" s="847">
        <v>68</v>
      </c>
      <c r="V28" s="848">
        <f>C49-T28</f>
        <v>54</v>
      </c>
      <c r="W28" s="849">
        <f t="shared" si="6"/>
        <v>46685</v>
      </c>
      <c r="X28" s="891">
        <f t="shared" si="20"/>
        <v>46686</v>
      </c>
      <c r="Y28" s="892" t="str">
        <f t="shared" si="21"/>
        <v>Pesqueira - 03</v>
      </c>
    </row>
    <row r="29" spans="1:25">
      <c r="A29" s="862" t="s">
        <v>708</v>
      </c>
      <c r="B29" s="863">
        <v>46218</v>
      </c>
      <c r="C29" s="864">
        <v>46219</v>
      </c>
      <c r="D29" s="865"/>
      <c r="E29" s="866">
        <f t="shared" ca="1" si="0"/>
        <v>10.714285714285714</v>
      </c>
      <c r="F29" s="866" t="str">
        <f>IFERROR(VLOOKUP(G29,Recria[[Granja Recria]:[Emp+CC]],4,0),"")</f>
        <v>220_3014</v>
      </c>
      <c r="G29" s="868" t="s">
        <v>715</v>
      </c>
      <c r="H29" s="869" t="str">
        <f>IFERROR(VLOOKUP(G29,Recria[[Granja Recria]:[Núcleo]],2,0),"")</f>
        <v>(N7-8)</v>
      </c>
      <c r="I29" s="870">
        <v>56000</v>
      </c>
      <c r="J29" s="867" t="s">
        <v>60</v>
      </c>
      <c r="K29" s="862">
        <v>0</v>
      </c>
      <c r="L29" s="803" t="str">
        <f>VLOOKUP(M29,Raca_Linhagem[],2,0)</f>
        <v>COBB</v>
      </c>
      <c r="M29" s="816" t="s">
        <v>21</v>
      </c>
      <c r="N29" s="856">
        <f t="shared" si="10"/>
        <v>46380</v>
      </c>
      <c r="O29" s="857"/>
      <c r="P29" s="858" t="str">
        <f>IFERROR(VLOOKUP(Q29,Producao[[Granja Produção]:[Emp+CC]],4,0),"")</f>
        <v>220_3036</v>
      </c>
      <c r="Q29" s="859" t="str">
        <f t="shared" si="3"/>
        <v>Riacho - 04</v>
      </c>
      <c r="R29" s="860" t="str">
        <f>IFERROR(VLOOKUP(Q29,Producao[[Granja Produção]:[Núcleo]],2,0),"")</f>
        <v>(N7-8)</v>
      </c>
      <c r="S29" s="861">
        <f t="shared" si="11"/>
        <v>53760</v>
      </c>
      <c r="T29" s="846">
        <f t="shared" si="4"/>
        <v>46694</v>
      </c>
      <c r="U29" s="847">
        <v>68</v>
      </c>
      <c r="V29" s="848">
        <f>C51-T29</f>
        <v>40</v>
      </c>
      <c r="W29" s="849">
        <f t="shared" si="6"/>
        <v>46734</v>
      </c>
      <c r="X29" s="891">
        <f t="shared" si="20"/>
        <v>46749</v>
      </c>
      <c r="Y29" s="892" t="str">
        <f t="shared" si="21"/>
        <v>Riacho - 04</v>
      </c>
    </row>
    <row r="30" spans="1:25">
      <c r="A30" s="862" t="s">
        <v>708</v>
      </c>
      <c r="B30" s="863">
        <v>46232</v>
      </c>
      <c r="C30" s="864">
        <v>46233</v>
      </c>
      <c r="D30" s="865"/>
      <c r="E30" s="866">
        <f t="shared" ca="1" si="0"/>
        <v>8.7142857142857135</v>
      </c>
      <c r="F30" s="866" t="str">
        <f>IFERROR(VLOOKUP(G30,Recria[[Granja Recria]:[Emp+CC]],4,0),"")</f>
        <v>227_3020</v>
      </c>
      <c r="G30" s="859" t="s">
        <v>714</v>
      </c>
      <c r="H30" s="860" t="str">
        <f>IFERROR(VLOOKUP(G30,Recria[[Granja Recria]:[Núcleo]],2,0),"")</f>
        <v>(N6)</v>
      </c>
      <c r="I30" s="866">
        <v>17000</v>
      </c>
      <c r="J30" s="867" t="s">
        <v>60</v>
      </c>
      <c r="K30" s="862">
        <v>0</v>
      </c>
      <c r="L30" s="803" t="str">
        <f>VLOOKUP(M30,Raca_Linhagem[],2,0)</f>
        <v>COBB</v>
      </c>
      <c r="M30" s="816" t="s">
        <v>21</v>
      </c>
      <c r="N30" s="856">
        <f t="shared" si="10"/>
        <v>46394</v>
      </c>
      <c r="O30" s="857"/>
      <c r="P30" s="858" t="str">
        <f>IFERROR(VLOOKUP(Q30,Producao[[Granja Produção]:[Emp+CC]],4,0),"")</f>
        <v>227_3042</v>
      </c>
      <c r="Q30" s="859" t="str">
        <f t="shared" si="3"/>
        <v>Pina - 06</v>
      </c>
      <c r="R30" s="860" t="str">
        <f>IFERROR(VLOOKUP(Q30,Producao[[Granja Produção]:[Núcleo]],2,0),"")</f>
        <v>(N6)</v>
      </c>
      <c r="S30" s="861">
        <f t="shared" si="11"/>
        <v>16320</v>
      </c>
      <c r="T30" s="846">
        <f t="shared" si="4"/>
        <v>46708</v>
      </c>
      <c r="U30" s="847">
        <v>68</v>
      </c>
      <c r="V30" s="848"/>
      <c r="W30" s="849">
        <f t="shared" si="6"/>
        <v>46708</v>
      </c>
      <c r="X30" s="891">
        <f t="shared" si="20"/>
        <v>46763</v>
      </c>
      <c r="Y30" s="892" t="str">
        <f t="shared" si="21"/>
        <v>Pina - 06</v>
      </c>
    </row>
    <row r="31" spans="1:25">
      <c r="A31" s="862" t="s">
        <v>708</v>
      </c>
      <c r="B31" s="863">
        <v>46253</v>
      </c>
      <c r="C31" s="864">
        <v>46254</v>
      </c>
      <c r="D31" s="865"/>
      <c r="E31" s="866">
        <f t="shared" ca="1" si="0"/>
        <v>5.7142857142857144</v>
      </c>
      <c r="F31" s="866" t="str">
        <f>IFERROR(VLOOKUP(G31,Recria[[Granja Recria]:[Emp+CC]],4,0),"")</f>
        <v>220_3012</v>
      </c>
      <c r="G31" s="868" t="s">
        <v>716</v>
      </c>
      <c r="H31" s="869" t="str">
        <f>IFERROR(VLOOKUP(G31,Recria[[Granja Recria]:[Núcleo]],2,0),"")</f>
        <v>(N3-4)</v>
      </c>
      <c r="I31" s="870">
        <v>56000</v>
      </c>
      <c r="J31" s="867" t="s">
        <v>60</v>
      </c>
      <c r="K31" s="862">
        <v>0</v>
      </c>
      <c r="L31" s="803" t="str">
        <f>VLOOKUP(M31,Raca_Linhagem[],2,0)</f>
        <v>COBB</v>
      </c>
      <c r="M31" s="816" t="s">
        <v>21</v>
      </c>
      <c r="N31" s="856">
        <f t="shared" si="10"/>
        <v>46415</v>
      </c>
      <c r="O31" s="857"/>
      <c r="P31" s="858" t="str">
        <f>IFERROR(VLOOKUP(Q31,Producao[[Granja Produção]:[Emp+CC]],4,0),"")</f>
        <v>220_3034</v>
      </c>
      <c r="Q31" s="859" t="str">
        <f t="shared" si="3"/>
        <v>Riacho - 02</v>
      </c>
      <c r="R31" s="860" t="str">
        <f>IFERROR(VLOOKUP(Q31,Producao[[Granja Produção]:[Núcleo]],2,0),"")</f>
        <v>(N3-4)</v>
      </c>
      <c r="S31" s="861">
        <f t="shared" si="11"/>
        <v>53760</v>
      </c>
      <c r="T31" s="846">
        <f t="shared" si="4"/>
        <v>46729</v>
      </c>
      <c r="U31" s="847">
        <v>68</v>
      </c>
      <c r="V31" s="848"/>
      <c r="W31" s="849">
        <f t="shared" ref="W31:W34" si="22">IFERROR(T31+V31," ")</f>
        <v>46729</v>
      </c>
      <c r="X31" s="891">
        <f t="shared" si="20"/>
        <v>46784</v>
      </c>
      <c r="Y31" s="892" t="str">
        <f t="shared" si="21"/>
        <v>Riacho - 02</v>
      </c>
    </row>
    <row r="32" spans="1:25">
      <c r="A32" s="862" t="s">
        <v>708</v>
      </c>
      <c r="B32" s="863">
        <v>46288</v>
      </c>
      <c r="C32" s="864">
        <v>46289</v>
      </c>
      <c r="D32" s="865"/>
      <c r="E32" s="866">
        <f t="shared" ca="1" si="0"/>
        <v>0.7142857142857143</v>
      </c>
      <c r="F32" s="866" t="str">
        <f>IFERROR(VLOOKUP(G32,Recria[[Granja Recria]:[Emp+CC]],4,0),"")</f>
        <v>220_3013</v>
      </c>
      <c r="G32" s="868" t="s">
        <v>718</v>
      </c>
      <c r="H32" s="869" t="str">
        <f>IFERROR(VLOOKUP(G32,Recria[[Granja Recria]:[Núcleo]],2,0),"")</f>
        <v>(N5-6)</v>
      </c>
      <c r="I32" s="870">
        <v>56000</v>
      </c>
      <c r="J32" s="867" t="s">
        <v>60</v>
      </c>
      <c r="K32" s="862">
        <v>0</v>
      </c>
      <c r="L32" s="803" t="str">
        <f>VLOOKUP(M32,Raca_Linhagem[],2,0)</f>
        <v>COBB</v>
      </c>
      <c r="M32" s="816" t="s">
        <v>21</v>
      </c>
      <c r="N32" s="856">
        <f t="shared" si="10"/>
        <v>46450</v>
      </c>
      <c r="O32" s="857"/>
      <c r="P32" s="858" t="str">
        <f>IFERROR(VLOOKUP(Q32,Producao[[Granja Produção]:[Emp+CC]],4,0),"")</f>
        <v>220_3035</v>
      </c>
      <c r="Q32" s="859" t="str">
        <f t="shared" si="3"/>
        <v>Riacho - 03</v>
      </c>
      <c r="R32" s="860" t="str">
        <f>IFERROR(VLOOKUP(Q32,Producao[[Granja Produção]:[Núcleo]],2,0),"")</f>
        <v>(N5-6)</v>
      </c>
      <c r="S32" s="861">
        <f t="shared" si="11"/>
        <v>53760</v>
      </c>
      <c r="T32" s="846">
        <f t="shared" si="4"/>
        <v>46764</v>
      </c>
      <c r="U32" s="847">
        <v>68</v>
      </c>
      <c r="V32" s="848"/>
      <c r="W32" s="849">
        <f t="shared" si="22"/>
        <v>46764</v>
      </c>
      <c r="X32" s="891">
        <f t="shared" si="20"/>
        <v>46819</v>
      </c>
      <c r="Y32" s="892" t="str">
        <f t="shared" si="21"/>
        <v>Riacho - 03</v>
      </c>
    </row>
    <row r="33" spans="1:27">
      <c r="A33" s="862" t="s">
        <v>708</v>
      </c>
      <c r="B33" s="863">
        <v>46302</v>
      </c>
      <c r="C33" s="864">
        <v>46303</v>
      </c>
      <c r="D33" s="865"/>
      <c r="E33" s="866">
        <f t="shared" ca="1" si="0"/>
        <v>-1.2857142857142858</v>
      </c>
      <c r="F33" s="866" t="str">
        <f>IFERROR(VLOOKUP(G33,Recria[[Granja Recria]:[Emp+CC]],4,0),"")</f>
        <v>227_3021</v>
      </c>
      <c r="G33" s="859" t="s">
        <v>717</v>
      </c>
      <c r="H33" s="860" t="str">
        <f>IFERROR(VLOOKUP(G33,Recria[[Granja Recria]:[Núcleo]],2,0),"")</f>
        <v>(N7)</v>
      </c>
      <c r="I33" s="866">
        <v>17000</v>
      </c>
      <c r="J33" s="867" t="s">
        <v>60</v>
      </c>
      <c r="K33" s="862">
        <v>0</v>
      </c>
      <c r="L33" s="803" t="str">
        <f>VLOOKUP(M33,Raca_Linhagem[],2,0)</f>
        <v>COBB</v>
      </c>
      <c r="M33" s="816" t="s">
        <v>21</v>
      </c>
      <c r="N33" s="856">
        <f t="shared" si="10"/>
        <v>46464</v>
      </c>
      <c r="O33" s="857"/>
      <c r="P33" s="858" t="str">
        <f>IFERROR(VLOOKUP(Q33,Producao[[Granja Produção]:[Emp+CC]],4,0),"")</f>
        <v>227_3043</v>
      </c>
      <c r="Q33" s="859" t="str">
        <f t="shared" si="3"/>
        <v>Pina - 07</v>
      </c>
      <c r="R33" s="860" t="str">
        <f>IFERROR(VLOOKUP(Q33,Producao[[Granja Produção]:[Núcleo]],2,0),"")</f>
        <v>(N7)</v>
      </c>
      <c r="S33" s="861">
        <f t="shared" si="11"/>
        <v>16320</v>
      </c>
      <c r="T33" s="846">
        <f t="shared" si="4"/>
        <v>46778</v>
      </c>
      <c r="U33" s="847">
        <v>68</v>
      </c>
      <c r="V33" s="848"/>
      <c r="W33" s="849">
        <f t="shared" si="22"/>
        <v>46778</v>
      </c>
      <c r="X33" s="891">
        <f t="shared" si="20"/>
        <v>46833</v>
      </c>
      <c r="Y33" s="892" t="str">
        <f t="shared" si="21"/>
        <v>Pina - 07</v>
      </c>
    </row>
    <row r="34" spans="1:27">
      <c r="A34" s="862" t="s">
        <v>708</v>
      </c>
      <c r="B34" s="863">
        <v>46321</v>
      </c>
      <c r="C34" s="864">
        <v>46324</v>
      </c>
      <c r="D34" s="865"/>
      <c r="E34" s="866">
        <f t="shared" ca="1" si="0"/>
        <v>-4.2857142857142856</v>
      </c>
      <c r="F34" s="866" t="str">
        <f>IFERROR(VLOOKUP(G34,Recria[[Granja Recria]:[Emp+CC]],4,0),"")</f>
        <v>220_3011</v>
      </c>
      <c r="G34" s="868" t="s">
        <v>719</v>
      </c>
      <c r="H34" s="869" t="str">
        <f>IFERROR(VLOOKUP(G34,Recria[[Granja Recria]:[Núcleo]],2,0),"")</f>
        <v>(N1-2)</v>
      </c>
      <c r="I34" s="870">
        <v>56000</v>
      </c>
      <c r="J34" s="867" t="s">
        <v>60</v>
      </c>
      <c r="K34" s="862">
        <v>0</v>
      </c>
      <c r="L34" s="803" t="str">
        <f>VLOOKUP(M34,Raca_Linhagem[],2,0)</f>
        <v>ROSS</v>
      </c>
      <c r="M34" s="816" t="s">
        <v>26</v>
      </c>
      <c r="N34" s="856">
        <f t="shared" si="10"/>
        <v>46485</v>
      </c>
      <c r="O34" s="857"/>
      <c r="P34" s="858" t="str">
        <f>IFERROR(VLOOKUP(Q34,Producao[[Granja Produção]:[Emp+CC]],4,0),"")</f>
        <v>220_3033</v>
      </c>
      <c r="Q34" s="859" t="str">
        <f t="shared" si="3"/>
        <v>Riacho - 01</v>
      </c>
      <c r="R34" s="860" t="str">
        <f>IFERROR(VLOOKUP(Q34,Producao[[Granja Produção]:[Núcleo]],2,0),"")</f>
        <v>(N1-2)</v>
      </c>
      <c r="S34" s="861">
        <f t="shared" si="11"/>
        <v>53760</v>
      </c>
      <c r="T34" s="846">
        <f t="shared" si="4"/>
        <v>46799</v>
      </c>
      <c r="U34" s="847">
        <v>68</v>
      </c>
      <c r="V34" s="848"/>
      <c r="W34" s="849">
        <f t="shared" si="22"/>
        <v>46799</v>
      </c>
      <c r="X34" s="891">
        <f t="shared" si="20"/>
        <v>46854</v>
      </c>
      <c r="Y34" s="892" t="str">
        <f t="shared" si="21"/>
        <v>Riacho - 01</v>
      </c>
    </row>
    <row r="35" spans="1:27">
      <c r="A35" s="862" t="s">
        <v>708</v>
      </c>
      <c r="B35" s="863">
        <v>46370</v>
      </c>
      <c r="C35" s="864">
        <v>46373</v>
      </c>
      <c r="D35" s="865"/>
      <c r="E35" s="866">
        <f t="shared" ref="E35:E51" ca="1" si="23">IF((TODAY()-C35)/7&gt;T35,T35,(TODAY()-C35)/7)</f>
        <v>-11.285714285714286</v>
      </c>
      <c r="F35" s="866" t="str">
        <f>IFERROR(VLOOKUP(G35,Recria[[Granja Recria]:[Emp+CC]],4,0),"")</f>
        <v>227_3017</v>
      </c>
      <c r="G35" s="836" t="s">
        <v>720</v>
      </c>
      <c r="H35" s="860" t="str">
        <f>IFERROR(VLOOKUP(G35,Recria[[Granja Recria]:[Núcleo]],2,0),"")</f>
        <v>(N3)</v>
      </c>
      <c r="I35" s="866">
        <v>17000</v>
      </c>
      <c r="J35" s="867" t="s">
        <v>60</v>
      </c>
      <c r="K35" s="862">
        <v>0</v>
      </c>
      <c r="L35" s="803" t="str">
        <f>VLOOKUP(M35,Raca_Linhagem[],2,0)</f>
        <v>ROSS</v>
      </c>
      <c r="M35" s="816" t="s">
        <v>26</v>
      </c>
      <c r="N35" s="856">
        <f t="shared" ref="N35:N51" si="24">C35+(24*7)-7</f>
        <v>46534</v>
      </c>
      <c r="O35" s="857"/>
      <c r="P35" s="858" t="str">
        <f>IFERROR(VLOOKUP(Q35,Producao[[Granja Produção]:[Emp+CC]],4,0),"")</f>
        <v>227_3039</v>
      </c>
      <c r="Q35" s="859" t="str">
        <f t="shared" ref="Q35:Q51" si="25">G35</f>
        <v>Pina - 03</v>
      </c>
      <c r="R35" s="860" t="str">
        <f>IFERROR(VLOOKUP(Q35,Producao[[Granja Produção]:[Núcleo]],2,0),"")</f>
        <v>(N3)</v>
      </c>
      <c r="S35" s="861">
        <f t="shared" ref="S35:S51" si="26">I35*0.96</f>
        <v>16320</v>
      </c>
      <c r="T35" s="846">
        <f t="shared" ref="T35:T51" si="27">C35+(U35*7)-1</f>
        <v>46848</v>
      </c>
      <c r="U35" s="847">
        <v>68</v>
      </c>
      <c r="V35" s="848"/>
      <c r="W35" s="849">
        <f t="shared" ref="W35:W51" si="28">IFERROR(T35+V35," ")</f>
        <v>46848</v>
      </c>
      <c r="X35" s="1144">
        <f>T35+55</f>
        <v>46903</v>
      </c>
      <c r="Y35" s="1145" t="str">
        <f>Q35</f>
        <v>Pina - 03</v>
      </c>
      <c r="Z35" s="1146"/>
      <c r="AA35" s="1146"/>
    </row>
    <row r="36" spans="1:27">
      <c r="A36" s="1147" t="s">
        <v>708</v>
      </c>
      <c r="B36" s="1148">
        <v>46398</v>
      </c>
      <c r="C36" s="1149">
        <f t="shared" ref="C36:C51" si="29">B36</f>
        <v>46398</v>
      </c>
      <c r="D36" s="1150"/>
      <c r="E36" s="1151">
        <f t="shared" ca="1" si="23"/>
        <v>-14.857142857142858</v>
      </c>
      <c r="F36" s="1151" t="str">
        <f>IFERROR(VLOOKUP(G36,Recria[[Granja Recria]:[Emp+CC]],4,0),"")</f>
        <v>229_3006</v>
      </c>
      <c r="G36" s="1152" t="s">
        <v>722</v>
      </c>
      <c r="H36" s="1153" t="str">
        <f>IFERROR(VLOOKUP(G36,Recria[[Granja Recria]:[Núcleo]],2,0),"")</f>
        <v>(N1)</v>
      </c>
      <c r="I36" s="1151">
        <v>28000</v>
      </c>
      <c r="J36" s="1154" t="s">
        <v>60</v>
      </c>
      <c r="K36" s="1147">
        <v>0</v>
      </c>
      <c r="L36" s="1155" t="str">
        <f>VLOOKUP(M36,Raca_Linhagem[],2,0)</f>
        <v>COBB</v>
      </c>
      <c r="M36" s="1156" t="s">
        <v>743</v>
      </c>
      <c r="N36" s="1157">
        <f t="shared" si="24"/>
        <v>46559</v>
      </c>
      <c r="O36" s="1158"/>
      <c r="P36" s="1159" t="str">
        <f>IFERROR(VLOOKUP(Q36,Producao[[Granja Produção]:[Emp+CC]],4,0),"")</f>
        <v>229_3028</v>
      </c>
      <c r="Q36" s="1152" t="str">
        <f t="shared" si="25"/>
        <v>Ereu - 01</v>
      </c>
      <c r="R36" s="1153" t="str">
        <f>IFERROR(VLOOKUP(Q36,Producao[[Granja Produção]:[Núcleo]],2,0),"")</f>
        <v>(N1)</v>
      </c>
      <c r="S36" s="1160">
        <f t="shared" si="26"/>
        <v>26880</v>
      </c>
      <c r="T36" s="1161">
        <f t="shared" si="27"/>
        <v>46873</v>
      </c>
      <c r="U36" s="1162">
        <v>68</v>
      </c>
      <c r="V36" s="1163"/>
      <c r="W36" s="1164">
        <f t="shared" si="28"/>
        <v>46873</v>
      </c>
      <c r="X36" s="1144"/>
      <c r="Y36" s="1145"/>
      <c r="Z36" s="1146"/>
      <c r="AA36" s="1146"/>
    </row>
    <row r="37" spans="1:27">
      <c r="A37" s="1147" t="s">
        <v>708</v>
      </c>
      <c r="B37" s="1148">
        <v>46405</v>
      </c>
      <c r="C37" s="1149">
        <f t="shared" si="29"/>
        <v>46405</v>
      </c>
      <c r="D37" s="1150"/>
      <c r="E37" s="1151">
        <f t="shared" ca="1" si="23"/>
        <v>-15.857142857142858</v>
      </c>
      <c r="F37" s="1151" t="str">
        <f>IFERROR(VLOOKUP(G37,Recria[[Granja Recria]:[Emp+CC]],4,0),"")</f>
        <v>229_3006</v>
      </c>
      <c r="G37" s="1152" t="s">
        <v>722</v>
      </c>
      <c r="H37" s="1153" t="str">
        <f>IFERROR(VLOOKUP(G37,Recria[[Granja Recria]:[Núcleo]],2,0),"")</f>
        <v>(N1)</v>
      </c>
      <c r="I37" s="1151">
        <v>26500</v>
      </c>
      <c r="J37" s="1154" t="s">
        <v>60</v>
      </c>
      <c r="K37" s="1147">
        <v>0</v>
      </c>
      <c r="L37" s="1155" t="str">
        <f>VLOOKUP(M37,Raca_Linhagem[],2,0)</f>
        <v>COBB</v>
      </c>
      <c r="M37" s="1156" t="s">
        <v>21</v>
      </c>
      <c r="N37" s="1157">
        <f t="shared" si="24"/>
        <v>46566</v>
      </c>
      <c r="O37" s="1158"/>
      <c r="P37" s="1159" t="str">
        <f>IFERROR(VLOOKUP(Q37,Producao[[Granja Produção]:[Emp+CC]],4,0),"")</f>
        <v>229_3028</v>
      </c>
      <c r="Q37" s="1152" t="str">
        <f t="shared" si="25"/>
        <v>Ereu - 01</v>
      </c>
      <c r="R37" s="1153" t="str">
        <f>IFERROR(VLOOKUP(Q37,Producao[[Granja Produção]:[Núcleo]],2,0),"")</f>
        <v>(N1)</v>
      </c>
      <c r="S37" s="1160">
        <f t="shared" si="26"/>
        <v>25440</v>
      </c>
      <c r="T37" s="1161">
        <f t="shared" si="27"/>
        <v>46880</v>
      </c>
      <c r="U37" s="1162">
        <v>68</v>
      </c>
      <c r="V37" s="1163"/>
      <c r="W37" s="1164">
        <f t="shared" si="28"/>
        <v>46880</v>
      </c>
      <c r="X37" s="1144"/>
      <c r="Y37" s="1145"/>
      <c r="Z37" s="1146"/>
      <c r="AA37" s="1146"/>
    </row>
    <row r="38" spans="1:27">
      <c r="A38" s="1147" t="s">
        <v>708</v>
      </c>
      <c r="B38" s="1148">
        <v>46440</v>
      </c>
      <c r="C38" s="1149">
        <f t="shared" si="29"/>
        <v>46440</v>
      </c>
      <c r="D38" s="1150"/>
      <c r="E38" s="1151">
        <f t="shared" ca="1" si="23"/>
        <v>-20.857142857142858</v>
      </c>
      <c r="F38" s="1151" t="str">
        <f>IFERROR(VLOOKUP(G38,Recria[[Granja Recria]:[Emp+CC]],4,0),"")</f>
        <v>227_3015</v>
      </c>
      <c r="G38" s="1165" t="s">
        <v>724</v>
      </c>
      <c r="H38" s="1153" t="str">
        <f>IFERROR(VLOOKUP(G38,Recria[[Granja Recria]:[Núcleo]],2,0),"")</f>
        <v>(N1)</v>
      </c>
      <c r="I38" s="1151">
        <v>17000</v>
      </c>
      <c r="J38" s="1154" t="s">
        <v>60</v>
      </c>
      <c r="K38" s="1147">
        <v>0</v>
      </c>
      <c r="L38" s="1155" t="str">
        <f>VLOOKUP(M38,Raca_Linhagem[],2,0)</f>
        <v>COBB</v>
      </c>
      <c r="M38" s="1156" t="s">
        <v>21</v>
      </c>
      <c r="N38" s="1157">
        <f t="shared" si="24"/>
        <v>46601</v>
      </c>
      <c r="O38" s="1158"/>
      <c r="P38" s="1159" t="str">
        <f>IFERROR(VLOOKUP(Q38,Producao[[Granja Produção]:[Emp+CC]],4,0),"")</f>
        <v>227_3037</v>
      </c>
      <c r="Q38" s="1152" t="str">
        <f t="shared" si="25"/>
        <v>Pina - 01</v>
      </c>
      <c r="R38" s="1153" t="str">
        <f>IFERROR(VLOOKUP(Q38,Producao[[Granja Produção]:[Núcleo]],2,0),"")</f>
        <v>(N1)</v>
      </c>
      <c r="S38" s="1160">
        <f t="shared" si="26"/>
        <v>16320</v>
      </c>
      <c r="T38" s="1161">
        <f t="shared" si="27"/>
        <v>46915</v>
      </c>
      <c r="U38" s="1162">
        <v>68</v>
      </c>
      <c r="V38" s="1163"/>
      <c r="W38" s="1164">
        <f t="shared" si="28"/>
        <v>46915</v>
      </c>
      <c r="X38" s="1144"/>
      <c r="Y38" s="1145"/>
      <c r="Z38" s="1146"/>
      <c r="AA38" s="1146"/>
    </row>
    <row r="39" spans="1:27">
      <c r="A39" s="1147" t="s">
        <v>708</v>
      </c>
      <c r="B39" s="1148">
        <v>46447</v>
      </c>
      <c r="C39" s="1149">
        <f t="shared" si="29"/>
        <v>46447</v>
      </c>
      <c r="D39" s="1150"/>
      <c r="E39" s="1151">
        <f t="shared" ca="1" si="23"/>
        <v>-21.857142857142858</v>
      </c>
      <c r="F39" s="1151" t="str">
        <f>IFERROR(VLOOKUP(G39,Recria[[Granja Recria]:[Emp+CC]],4,0),"")</f>
        <v>222_3005</v>
      </c>
      <c r="G39" s="1152" t="s">
        <v>725</v>
      </c>
      <c r="H39" s="1153" t="str">
        <f>IFERROR(VLOOKUP(G39,Recria[[Granja Recria]:[Núcleo]],2,0),"")</f>
        <v>(N2)</v>
      </c>
      <c r="I39" s="1151">
        <v>32000</v>
      </c>
      <c r="J39" s="1154" t="s">
        <v>60</v>
      </c>
      <c r="K39" s="1147">
        <v>0</v>
      </c>
      <c r="L39" s="1155" t="str">
        <f>VLOOKUP(M39,Raca_Linhagem[],2,0)</f>
        <v>COBB</v>
      </c>
      <c r="M39" s="1156" t="s">
        <v>21</v>
      </c>
      <c r="N39" s="1157">
        <f t="shared" si="24"/>
        <v>46608</v>
      </c>
      <c r="O39" s="1158"/>
      <c r="P39" s="1159" t="str">
        <f>IFERROR(VLOOKUP(Q39,Producao[[Granja Produção]:[Emp+CC]],4,0),"")</f>
        <v>222_3027</v>
      </c>
      <c r="Q39" s="1152" t="str">
        <f t="shared" si="25"/>
        <v>Cachoeirinha - 02</v>
      </c>
      <c r="R39" s="1153" t="str">
        <f>IFERROR(VLOOKUP(Q39,Producao[[Granja Produção]:[Núcleo]],2,0),"")</f>
        <v>(N2)</v>
      </c>
      <c r="S39" s="1160">
        <f t="shared" si="26"/>
        <v>30720</v>
      </c>
      <c r="T39" s="1161">
        <f t="shared" si="27"/>
        <v>46922</v>
      </c>
      <c r="U39" s="1162">
        <v>68</v>
      </c>
      <c r="V39" s="1163"/>
      <c r="W39" s="1164">
        <f t="shared" si="28"/>
        <v>46922</v>
      </c>
      <c r="X39" s="1144"/>
      <c r="Y39" s="1145"/>
      <c r="Z39" s="1146"/>
      <c r="AA39" s="1146"/>
    </row>
    <row r="40" spans="1:27">
      <c r="A40" s="1147" t="s">
        <v>708</v>
      </c>
      <c r="B40" s="1148">
        <v>46454</v>
      </c>
      <c r="C40" s="1149">
        <f t="shared" si="29"/>
        <v>46454</v>
      </c>
      <c r="D40" s="1150"/>
      <c r="E40" s="1151">
        <f t="shared" ca="1" si="23"/>
        <v>-22.857142857142858</v>
      </c>
      <c r="F40" s="1151" t="str">
        <f>IFERROR(VLOOKUP(G40,Recria[[Granja Recria]:[Emp+CC]],4,0),"")</f>
        <v>222_3004</v>
      </c>
      <c r="G40" s="1152" t="s">
        <v>726</v>
      </c>
      <c r="H40" s="1153" t="str">
        <f>IFERROR(VLOOKUP(G40,Recria[[Granja Recria]:[Núcleo]],2,0),"")</f>
        <v>(N1)</v>
      </c>
      <c r="I40" s="1151">
        <v>32000</v>
      </c>
      <c r="J40" s="1154" t="s">
        <v>60</v>
      </c>
      <c r="K40" s="1147">
        <v>0</v>
      </c>
      <c r="L40" s="1155" t="str">
        <f>VLOOKUP(M40,Raca_Linhagem[],2,0)</f>
        <v>ROSS</v>
      </c>
      <c r="M40" s="1156" t="s">
        <v>26</v>
      </c>
      <c r="N40" s="1157">
        <f t="shared" si="24"/>
        <v>46615</v>
      </c>
      <c r="O40" s="1158"/>
      <c r="P40" s="1159" t="str">
        <f>IFERROR(VLOOKUP(Q40,Producao[[Granja Produção]:[Emp+CC]],4,0),"")</f>
        <v>222_3026</v>
      </c>
      <c r="Q40" s="1152" t="str">
        <f t="shared" si="25"/>
        <v>Cachoeirinha - 01</v>
      </c>
      <c r="R40" s="1153" t="str">
        <f>IFERROR(VLOOKUP(Q40,Producao[[Granja Produção]:[Núcleo]],2,0),"")</f>
        <v>(N1)</v>
      </c>
      <c r="S40" s="1160">
        <f t="shared" si="26"/>
        <v>30720</v>
      </c>
      <c r="T40" s="1161">
        <f t="shared" si="27"/>
        <v>46929</v>
      </c>
      <c r="U40" s="1162">
        <v>68</v>
      </c>
      <c r="V40" s="1163"/>
      <c r="W40" s="1164">
        <f t="shared" si="28"/>
        <v>46929</v>
      </c>
      <c r="X40" s="1144"/>
      <c r="Y40" s="1145"/>
      <c r="Z40" s="1146"/>
      <c r="AA40" s="1146"/>
    </row>
    <row r="41" spans="1:27">
      <c r="A41" s="1147" t="s">
        <v>708</v>
      </c>
      <c r="B41" s="1148">
        <v>46496</v>
      </c>
      <c r="C41" s="1149">
        <f t="shared" si="29"/>
        <v>46496</v>
      </c>
      <c r="D41" s="1150"/>
      <c r="E41" s="1151">
        <f t="shared" ca="1" si="23"/>
        <v>-28.857142857142858</v>
      </c>
      <c r="F41" s="1151" t="str">
        <f>IFERROR(VLOOKUP(G41,Recria[[Granja Recria]:[Emp+CC]],4,0),"")</f>
        <v>225_3003</v>
      </c>
      <c r="G41" s="1152" t="s">
        <v>728</v>
      </c>
      <c r="H41" s="1153" t="str">
        <f>IFERROR(VLOOKUP(G41,Recria[[Granja Recria]:[Núcleo]],2,0),"")</f>
        <v>(N3)</v>
      </c>
      <c r="I41" s="1151">
        <v>41000</v>
      </c>
      <c r="J41" s="1154" t="s">
        <v>60</v>
      </c>
      <c r="K41" s="1147">
        <v>0</v>
      </c>
      <c r="L41" s="1155" t="str">
        <f>VLOOKUP(M41,Raca_Linhagem[],2,0)</f>
        <v>COBB</v>
      </c>
      <c r="M41" s="1156" t="s">
        <v>21</v>
      </c>
      <c r="N41" s="1157">
        <f t="shared" si="24"/>
        <v>46657</v>
      </c>
      <c r="O41" s="1158"/>
      <c r="P41" s="1159" t="str">
        <f>IFERROR(VLOOKUP(Q41,Producao[[Granja Produção]:[Emp+CC]],4,0),"")</f>
        <v>225_3025</v>
      </c>
      <c r="Q41" s="1152" t="str">
        <f t="shared" si="25"/>
        <v>Bezerros - 03</v>
      </c>
      <c r="R41" s="1153" t="str">
        <f>IFERROR(VLOOKUP(Q41,Producao[[Granja Produção]:[Núcleo]],2,0),"")</f>
        <v>(N3)</v>
      </c>
      <c r="S41" s="1160">
        <f t="shared" si="26"/>
        <v>39360</v>
      </c>
      <c r="T41" s="1161">
        <f t="shared" si="27"/>
        <v>46971</v>
      </c>
      <c r="U41" s="1162">
        <v>68</v>
      </c>
      <c r="V41" s="1163"/>
      <c r="W41" s="1164">
        <f t="shared" si="28"/>
        <v>46971</v>
      </c>
      <c r="X41" s="1144"/>
      <c r="Y41" s="1145"/>
      <c r="Z41" s="1146"/>
      <c r="AA41" s="1146"/>
    </row>
    <row r="42" spans="1:27">
      <c r="A42" s="1147" t="s">
        <v>708</v>
      </c>
      <c r="B42" s="1148">
        <v>46503</v>
      </c>
      <c r="C42" s="1149">
        <f t="shared" si="29"/>
        <v>46503</v>
      </c>
      <c r="D42" s="1150"/>
      <c r="E42" s="1151">
        <f t="shared" ca="1" si="23"/>
        <v>-29.857142857142858</v>
      </c>
      <c r="F42" s="1151" t="str">
        <f>IFERROR(VLOOKUP(G42,Recria[[Granja Recria]:[Emp+CC]],4,0),"")</f>
        <v>227_3022</v>
      </c>
      <c r="G42" s="1152" t="s">
        <v>741</v>
      </c>
      <c r="H42" s="1153" t="str">
        <f>IFERROR(VLOOKUP(G42,Recria[[Granja Recria]:[Núcleo]],2,0),"")</f>
        <v>(N8)</v>
      </c>
      <c r="I42" s="1151">
        <v>17000</v>
      </c>
      <c r="J42" s="1154" t="s">
        <v>60</v>
      </c>
      <c r="K42" s="1147">
        <v>0</v>
      </c>
      <c r="L42" s="1155" t="str">
        <f>VLOOKUP(M42,Raca_Linhagem[],2,0)</f>
        <v>HUBB</v>
      </c>
      <c r="M42" s="1156" t="s">
        <v>242</v>
      </c>
      <c r="N42" s="1157">
        <f t="shared" si="24"/>
        <v>46664</v>
      </c>
      <c r="O42" s="1158"/>
      <c r="P42" s="1159" t="str">
        <f>IFERROR(VLOOKUP(Q42,Producao[[Granja Produção]:[Emp+CC]],4,0),"")</f>
        <v>227_3044</v>
      </c>
      <c r="Q42" s="1152" t="str">
        <f t="shared" si="25"/>
        <v>Pina - 08</v>
      </c>
      <c r="R42" s="1153" t="str">
        <f>IFERROR(VLOOKUP(Q42,Producao[[Granja Produção]:[Núcleo]],2,0),"")</f>
        <v>(N8)</v>
      </c>
      <c r="S42" s="1160">
        <f t="shared" si="26"/>
        <v>16320</v>
      </c>
      <c r="T42" s="1161">
        <f t="shared" si="27"/>
        <v>46978</v>
      </c>
      <c r="U42" s="1162">
        <v>68</v>
      </c>
      <c r="V42" s="1163"/>
      <c r="W42" s="1164">
        <f t="shared" si="28"/>
        <v>46978</v>
      </c>
      <c r="X42" s="1144"/>
      <c r="Y42" s="1145"/>
      <c r="Z42" s="1146"/>
      <c r="AA42" s="1146"/>
    </row>
    <row r="43" spans="1:27">
      <c r="A43" s="1147" t="s">
        <v>708</v>
      </c>
      <c r="B43" s="1148">
        <v>46524</v>
      </c>
      <c r="C43" s="1149">
        <f t="shared" si="29"/>
        <v>46524</v>
      </c>
      <c r="D43" s="1150"/>
      <c r="E43" s="1151">
        <f t="shared" ca="1" si="23"/>
        <v>-32.857142857142854</v>
      </c>
      <c r="F43" s="1151" t="str">
        <f>IFERROR(VLOOKUP(G43,Recria[[Granja Recria]:[Emp+CC]],4,0),"")</f>
        <v>225_3002</v>
      </c>
      <c r="G43" s="1152" t="s">
        <v>730</v>
      </c>
      <c r="H43" s="1153" t="str">
        <f>IFERROR(VLOOKUP(G43,Recria[[Granja Recria]:[Núcleo]],2,0),"")</f>
        <v>(N2)</v>
      </c>
      <c r="I43" s="1151">
        <v>32000</v>
      </c>
      <c r="J43" s="1154" t="s">
        <v>60</v>
      </c>
      <c r="K43" s="1147">
        <v>0</v>
      </c>
      <c r="L43" s="1155" t="str">
        <f>VLOOKUP(M43,Raca_Linhagem[],2,0)</f>
        <v>COBB</v>
      </c>
      <c r="M43" s="1156" t="s">
        <v>21</v>
      </c>
      <c r="N43" s="1157">
        <f t="shared" si="24"/>
        <v>46685</v>
      </c>
      <c r="O43" s="1158"/>
      <c r="P43" s="1159" t="str">
        <f>IFERROR(VLOOKUP(Q43,Producao[[Granja Produção]:[Emp+CC]],4,0),"")</f>
        <v>225_3024</v>
      </c>
      <c r="Q43" s="1152" t="str">
        <f t="shared" si="25"/>
        <v>Bezerros - 02</v>
      </c>
      <c r="R43" s="1153" t="str">
        <f>IFERROR(VLOOKUP(Q43,Producao[[Granja Produção]:[Núcleo]],2,0),"")</f>
        <v>(N2)</v>
      </c>
      <c r="S43" s="1160">
        <f t="shared" si="26"/>
        <v>30720</v>
      </c>
      <c r="T43" s="1161">
        <f t="shared" si="27"/>
        <v>46999</v>
      </c>
      <c r="U43" s="1162">
        <v>68</v>
      </c>
      <c r="V43" s="1163"/>
      <c r="W43" s="1164">
        <f t="shared" si="28"/>
        <v>46999</v>
      </c>
      <c r="X43" s="1144"/>
      <c r="Y43" s="1145"/>
      <c r="Z43" s="1146"/>
      <c r="AA43" s="1146"/>
    </row>
    <row r="44" spans="1:27">
      <c r="A44" s="1147" t="s">
        <v>708</v>
      </c>
      <c r="B44" s="1148">
        <v>46573</v>
      </c>
      <c r="C44" s="1149">
        <f t="shared" si="29"/>
        <v>46573</v>
      </c>
      <c r="D44" s="1150"/>
      <c r="E44" s="1151">
        <f t="shared" ca="1" si="23"/>
        <v>-39.857142857142854</v>
      </c>
      <c r="F44" s="1151" t="str">
        <f>IFERROR(VLOOKUP(G44,Recria[[Granja Recria]:[Emp+CC]],4,0),"")</f>
        <v>227_3016</v>
      </c>
      <c r="G44" s="1152" t="s">
        <v>732</v>
      </c>
      <c r="H44" s="1153" t="str">
        <f>IFERROR(VLOOKUP(G44,Recria[[Granja Recria]:[Núcleo]],2,0),"")</f>
        <v>(N2)</v>
      </c>
      <c r="I44" s="1151">
        <v>17000</v>
      </c>
      <c r="J44" s="1154" t="s">
        <v>60</v>
      </c>
      <c r="K44" s="1147">
        <v>0</v>
      </c>
      <c r="L44" s="1155" t="str">
        <f>VLOOKUP(M44,Raca_Linhagem[],2,0)</f>
        <v>COBB</v>
      </c>
      <c r="M44" s="1156" t="s">
        <v>21</v>
      </c>
      <c r="N44" s="1157">
        <f t="shared" si="24"/>
        <v>46734</v>
      </c>
      <c r="O44" s="1158"/>
      <c r="P44" s="1159" t="str">
        <f>IFERROR(VLOOKUP(Q44,Producao[[Granja Produção]:[Emp+CC]],4,0),"")</f>
        <v>227_3038</v>
      </c>
      <c r="Q44" s="1152" t="str">
        <f t="shared" si="25"/>
        <v>Pina - 02</v>
      </c>
      <c r="R44" s="1153" t="str">
        <f>IFERROR(VLOOKUP(Q44,Producao[[Granja Produção]:[Núcleo]],2,0),"")</f>
        <v>(N2)</v>
      </c>
      <c r="S44" s="1160">
        <f t="shared" si="26"/>
        <v>16320</v>
      </c>
      <c r="T44" s="1161">
        <f t="shared" si="27"/>
        <v>47048</v>
      </c>
      <c r="U44" s="1162">
        <v>68</v>
      </c>
      <c r="V44" s="1163"/>
      <c r="W44" s="1164">
        <f t="shared" si="28"/>
        <v>47048</v>
      </c>
      <c r="X44" s="1144"/>
      <c r="Y44" s="1145"/>
      <c r="Z44" s="1146"/>
      <c r="AA44" s="1146"/>
    </row>
    <row r="45" spans="1:27">
      <c r="A45" s="1147" t="s">
        <v>708</v>
      </c>
      <c r="B45" s="1148">
        <v>46573</v>
      </c>
      <c r="C45" s="1149">
        <f t="shared" si="29"/>
        <v>46573</v>
      </c>
      <c r="D45" s="1150"/>
      <c r="E45" s="1151">
        <f t="shared" ca="1" si="23"/>
        <v>-39.857142857142854</v>
      </c>
      <c r="F45" s="1151" t="str">
        <f>IFERROR(VLOOKUP(G45,Recria[[Granja Recria]:[Emp+CC]],4,0),"")</f>
        <v>225_3001</v>
      </c>
      <c r="G45" s="1165" t="s">
        <v>735</v>
      </c>
      <c r="H45" s="1153" t="str">
        <f>IFERROR(VLOOKUP(G45,Recria[[Granja Recria]:[Núcleo]],2,0),"")</f>
        <v>(N1)</v>
      </c>
      <c r="I45" s="1151">
        <v>40000</v>
      </c>
      <c r="J45" s="1154" t="s">
        <v>60</v>
      </c>
      <c r="K45" s="1147">
        <v>0</v>
      </c>
      <c r="L45" s="1155" t="str">
        <f>VLOOKUP(M45,Raca_Linhagem[],2,0)</f>
        <v>ROSS</v>
      </c>
      <c r="M45" s="1156" t="s">
        <v>26</v>
      </c>
      <c r="N45" s="1157">
        <f t="shared" si="24"/>
        <v>46734</v>
      </c>
      <c r="O45" s="1158"/>
      <c r="P45" s="1159" t="str">
        <f>IFERROR(VLOOKUP(Q45,Producao[[Granja Produção]:[Emp+CC]],4,0),"")</f>
        <v>225_3023</v>
      </c>
      <c r="Q45" s="1152" t="str">
        <f t="shared" si="25"/>
        <v>Bezerros - 01</v>
      </c>
      <c r="R45" s="1153" t="str">
        <f>IFERROR(VLOOKUP(Q45,Producao[[Granja Produção]:[Núcleo]],2,0),"")</f>
        <v>(N1)</v>
      </c>
      <c r="S45" s="1160">
        <f t="shared" si="26"/>
        <v>38400</v>
      </c>
      <c r="T45" s="1161">
        <f t="shared" si="27"/>
        <v>47048</v>
      </c>
      <c r="U45" s="1162">
        <v>68</v>
      </c>
      <c r="V45" s="1163"/>
      <c r="W45" s="1164">
        <f t="shared" si="28"/>
        <v>47048</v>
      </c>
      <c r="X45" s="1144"/>
      <c r="Y45" s="1145"/>
      <c r="Z45" s="1146"/>
      <c r="AA45" s="1146"/>
    </row>
    <row r="46" spans="1:27">
      <c r="A46" s="1147" t="s">
        <v>708</v>
      </c>
      <c r="B46" s="1148">
        <v>46622</v>
      </c>
      <c r="C46" s="1149">
        <f t="shared" si="29"/>
        <v>46622</v>
      </c>
      <c r="D46" s="1150"/>
      <c r="E46" s="1151">
        <f t="shared" ca="1" si="23"/>
        <v>-46.857142857142854</v>
      </c>
      <c r="F46" s="1151" t="str">
        <f>IFERROR(VLOOKUP(G46,Recria[[Granja Recria]:[Emp+CC]],4,0),"")</f>
        <v>221_3008</v>
      </c>
      <c r="G46" s="1165" t="s">
        <v>710</v>
      </c>
      <c r="H46" s="1153" t="str">
        <f>IFERROR(VLOOKUP(G46,Recria[[Granja Recria]:[Núcleo]],2,0),"")</f>
        <v>(N1)</v>
      </c>
      <c r="I46" s="1151">
        <v>32000</v>
      </c>
      <c r="J46" s="1154" t="s">
        <v>60</v>
      </c>
      <c r="K46" s="1147">
        <v>0</v>
      </c>
      <c r="L46" s="1155" t="str">
        <f>VLOOKUP(M46,Raca_Linhagem[],2,0)</f>
        <v>COBB</v>
      </c>
      <c r="M46" s="1156" t="s">
        <v>21</v>
      </c>
      <c r="N46" s="1157">
        <f t="shared" si="24"/>
        <v>46783</v>
      </c>
      <c r="O46" s="1158"/>
      <c r="P46" s="1159" t="str">
        <f>IFERROR(VLOOKUP(Q46,Producao[[Granja Produção]:[Emp+CC]],4,0),"")</f>
        <v>221_3030</v>
      </c>
      <c r="Q46" s="1152" t="str">
        <f t="shared" si="25"/>
        <v>Pesqueira - 01</v>
      </c>
      <c r="R46" s="1153" t="str">
        <f>IFERROR(VLOOKUP(Q46,Producao[[Granja Produção]:[Núcleo]],2,0),"")</f>
        <v>(N1)</v>
      </c>
      <c r="S46" s="1160">
        <f t="shared" si="26"/>
        <v>30720</v>
      </c>
      <c r="T46" s="1161">
        <f t="shared" si="27"/>
        <v>47097</v>
      </c>
      <c r="U46" s="1162">
        <v>68</v>
      </c>
      <c r="V46" s="1163"/>
      <c r="W46" s="1164">
        <f t="shared" si="28"/>
        <v>47097</v>
      </c>
      <c r="X46" s="1144"/>
      <c r="Y46" s="1145"/>
      <c r="Z46" s="1146"/>
      <c r="AA46" s="1146"/>
    </row>
    <row r="47" spans="1:27">
      <c r="A47" s="1147" t="s">
        <v>708</v>
      </c>
      <c r="B47" s="1148">
        <v>46643</v>
      </c>
      <c r="C47" s="1149">
        <f t="shared" si="29"/>
        <v>46643</v>
      </c>
      <c r="D47" s="1150"/>
      <c r="E47" s="1151">
        <f t="shared" ca="1" si="23"/>
        <v>-49.857142857142854</v>
      </c>
      <c r="F47" s="1151" t="str">
        <f>IFERROR(VLOOKUP(G47,Recria[[Granja Recria]:[Emp+CC]],4,0),"")</f>
        <v>227_3015</v>
      </c>
      <c r="G47" s="1165" t="s">
        <v>724</v>
      </c>
      <c r="H47" s="1153" t="str">
        <f>IFERROR(VLOOKUP(G47,Recria[[Granja Recria]:[Núcleo]],2,0),"")</f>
        <v>(N1)</v>
      </c>
      <c r="I47" s="1151">
        <v>17000</v>
      </c>
      <c r="J47" s="1154" t="s">
        <v>60</v>
      </c>
      <c r="K47" s="1147">
        <v>0</v>
      </c>
      <c r="L47" s="1155" t="str">
        <f>VLOOKUP(M47,Raca_Linhagem[],2,0)</f>
        <v>ROSS</v>
      </c>
      <c r="M47" s="1156" t="s">
        <v>26</v>
      </c>
      <c r="N47" s="1157">
        <f t="shared" si="24"/>
        <v>46804</v>
      </c>
      <c r="O47" s="1158"/>
      <c r="P47" s="1159" t="str">
        <f>IFERROR(VLOOKUP(Q47,Producao[[Granja Produção]:[Emp+CC]],4,0),"")</f>
        <v>227_3037</v>
      </c>
      <c r="Q47" s="1152" t="str">
        <f t="shared" si="25"/>
        <v>Pina - 01</v>
      </c>
      <c r="R47" s="1153" t="str">
        <f>IFERROR(VLOOKUP(Q47,Producao[[Granja Produção]:[Núcleo]],2,0),"")</f>
        <v>(N1)</v>
      </c>
      <c r="S47" s="1160">
        <f t="shared" si="26"/>
        <v>16320</v>
      </c>
      <c r="T47" s="1161">
        <f t="shared" si="27"/>
        <v>47118</v>
      </c>
      <c r="U47" s="1162">
        <v>68</v>
      </c>
      <c r="V47" s="1163"/>
      <c r="W47" s="1164">
        <f t="shared" si="28"/>
        <v>47118</v>
      </c>
      <c r="X47" s="1144"/>
      <c r="Y47" s="1145"/>
      <c r="Z47" s="1146"/>
      <c r="AA47" s="1146"/>
    </row>
    <row r="48" spans="1:27">
      <c r="A48" s="1147" t="s">
        <v>708</v>
      </c>
      <c r="B48" s="1148">
        <v>46650</v>
      </c>
      <c r="C48" s="1149">
        <f t="shared" si="29"/>
        <v>46650</v>
      </c>
      <c r="D48" s="1150"/>
      <c r="E48" s="1151">
        <f t="shared" ca="1" si="23"/>
        <v>-50.857142857142854</v>
      </c>
      <c r="F48" s="1151" t="str">
        <f>IFERROR(VLOOKUP(G48,Recria[[Granja Recria]:[Emp+CC]],4,0),"")</f>
        <v>221_3009</v>
      </c>
      <c r="G48" s="1165" t="s">
        <v>711</v>
      </c>
      <c r="H48" s="1153" t="str">
        <f>IFERROR(VLOOKUP(G48,Recria[[Granja Recria]:[Núcleo]],2,0),"")</f>
        <v>(N2)</v>
      </c>
      <c r="I48" s="1151">
        <v>16000</v>
      </c>
      <c r="J48" s="1154" t="s">
        <v>60</v>
      </c>
      <c r="K48" s="1147">
        <v>0</v>
      </c>
      <c r="L48" s="1155" t="str">
        <f>VLOOKUP(M48,Raca_Linhagem[],2,0)</f>
        <v>COBB</v>
      </c>
      <c r="M48" s="1156" t="s">
        <v>21</v>
      </c>
      <c r="N48" s="1157">
        <f t="shared" si="24"/>
        <v>46811</v>
      </c>
      <c r="O48" s="1158"/>
      <c r="P48" s="1159" t="str">
        <f>IFERROR(VLOOKUP(Q48,Producao[[Granja Produção]:[Emp+CC]],4,0),"")</f>
        <v>221_3031</v>
      </c>
      <c r="Q48" s="1152" t="str">
        <f t="shared" si="25"/>
        <v>Pesqueira - 02</v>
      </c>
      <c r="R48" s="1153" t="str">
        <f>IFERROR(VLOOKUP(Q48,Producao[[Granja Produção]:[Núcleo]],2,0),"")</f>
        <v>(N2)</v>
      </c>
      <c r="S48" s="1160">
        <f t="shared" si="26"/>
        <v>15360</v>
      </c>
      <c r="T48" s="1161">
        <f t="shared" si="27"/>
        <v>47125</v>
      </c>
      <c r="U48" s="1162">
        <v>68</v>
      </c>
      <c r="V48" s="1163"/>
      <c r="W48" s="1164">
        <f t="shared" si="28"/>
        <v>47125</v>
      </c>
      <c r="X48" s="1144"/>
      <c r="Y48" s="1145"/>
      <c r="Z48" s="1146"/>
      <c r="AA48" s="1146"/>
    </row>
    <row r="49" spans="1:27">
      <c r="A49" s="1147" t="s">
        <v>708</v>
      </c>
      <c r="B49" s="1148">
        <v>46685</v>
      </c>
      <c r="C49" s="1149">
        <f t="shared" si="29"/>
        <v>46685</v>
      </c>
      <c r="D49" s="1150"/>
      <c r="E49" s="1151">
        <f t="shared" ca="1" si="23"/>
        <v>-55.857142857142854</v>
      </c>
      <c r="F49" s="1151" t="str">
        <f>IFERROR(VLOOKUP(G49,Recria[[Granja Recria]:[Emp+CC]],4,0),"")</f>
        <v>221_3010</v>
      </c>
      <c r="G49" s="1165" t="s">
        <v>713</v>
      </c>
      <c r="H49" s="1153" t="str">
        <f>IFERROR(VLOOKUP(G49,Recria[[Granja Recria]:[Núcleo]],2,0),"")</f>
        <v>(N3)</v>
      </c>
      <c r="I49" s="1151">
        <v>32000</v>
      </c>
      <c r="J49" s="1154" t="s">
        <v>60</v>
      </c>
      <c r="K49" s="1147">
        <v>0</v>
      </c>
      <c r="L49" s="1155" t="str">
        <f>VLOOKUP(M49,Raca_Linhagem[],2,0)</f>
        <v>ROSS</v>
      </c>
      <c r="M49" s="1156" t="s">
        <v>26</v>
      </c>
      <c r="N49" s="1157">
        <f t="shared" si="24"/>
        <v>46846</v>
      </c>
      <c r="O49" s="1158"/>
      <c r="P49" s="1159" t="str">
        <f>IFERROR(VLOOKUP(Q49,Producao[[Granja Produção]:[Emp+CC]],4,0),"")</f>
        <v>221_3032</v>
      </c>
      <c r="Q49" s="1152" t="str">
        <f t="shared" si="25"/>
        <v>Pesqueira - 03</v>
      </c>
      <c r="R49" s="1153" t="str">
        <f>IFERROR(VLOOKUP(Q49,Producao[[Granja Produção]:[Núcleo]],2,0),"")</f>
        <v>(N3)</v>
      </c>
      <c r="S49" s="1160">
        <f t="shared" si="26"/>
        <v>30720</v>
      </c>
      <c r="T49" s="1161">
        <f t="shared" si="27"/>
        <v>47160</v>
      </c>
      <c r="U49" s="1162">
        <v>68</v>
      </c>
      <c r="V49" s="1163"/>
      <c r="W49" s="1164">
        <f t="shared" si="28"/>
        <v>47160</v>
      </c>
      <c r="X49" s="1144"/>
      <c r="Y49" s="1145"/>
      <c r="Z49" s="1146"/>
      <c r="AA49" s="1146"/>
    </row>
    <row r="50" spans="1:27">
      <c r="A50" s="1147" t="s">
        <v>708</v>
      </c>
      <c r="B50" s="1148">
        <v>46713</v>
      </c>
      <c r="C50" s="1149">
        <f t="shared" si="29"/>
        <v>46713</v>
      </c>
      <c r="D50" s="1150"/>
      <c r="E50" s="1151">
        <f t="shared" ca="1" si="23"/>
        <v>-59.857142857142854</v>
      </c>
      <c r="F50" s="1151" t="str">
        <f>IFERROR(VLOOKUP(G50,Recria[[Granja Recria]:[Emp+CC]],4,0),"")</f>
        <v>227_3019</v>
      </c>
      <c r="G50" s="1152" t="s">
        <v>712</v>
      </c>
      <c r="H50" s="1153" t="str">
        <f>IFERROR(VLOOKUP(G50,Recria[[Granja Recria]:[Núcleo]],2,0),"")</f>
        <v>(N5)</v>
      </c>
      <c r="I50" s="1151">
        <v>17000</v>
      </c>
      <c r="J50" s="1154" t="s">
        <v>60</v>
      </c>
      <c r="K50" s="1147">
        <v>0</v>
      </c>
      <c r="L50" s="1155" t="str">
        <f>VLOOKUP(M50,Raca_Linhagem[],2,0)</f>
        <v>HUBB</v>
      </c>
      <c r="M50" s="1156" t="s">
        <v>242</v>
      </c>
      <c r="N50" s="1157">
        <f t="shared" si="24"/>
        <v>46874</v>
      </c>
      <c r="O50" s="1158"/>
      <c r="P50" s="1159" t="str">
        <f>IFERROR(VLOOKUP(Q50,Producao[[Granja Produção]:[Emp+CC]],4,0),"")</f>
        <v>227_3041</v>
      </c>
      <c r="Q50" s="1152" t="str">
        <f t="shared" si="25"/>
        <v>Pina - 05</v>
      </c>
      <c r="R50" s="1153" t="str">
        <f>IFERROR(VLOOKUP(Q50,Producao[[Granja Produção]:[Núcleo]],2,0),"")</f>
        <v>(N5)</v>
      </c>
      <c r="S50" s="1160">
        <f t="shared" si="26"/>
        <v>16320</v>
      </c>
      <c r="T50" s="1161">
        <f t="shared" si="27"/>
        <v>47188</v>
      </c>
      <c r="U50" s="1162">
        <v>68</v>
      </c>
      <c r="V50" s="1163"/>
      <c r="W50" s="1164">
        <f t="shared" si="28"/>
        <v>47188</v>
      </c>
      <c r="X50" s="1144"/>
      <c r="Y50" s="1145"/>
      <c r="Z50" s="1146"/>
      <c r="AA50" s="1146"/>
    </row>
    <row r="51" spans="1:27">
      <c r="A51" s="1147" t="s">
        <v>708</v>
      </c>
      <c r="B51" s="1148">
        <v>46734</v>
      </c>
      <c r="C51" s="1149">
        <f t="shared" si="29"/>
        <v>46734</v>
      </c>
      <c r="D51" s="1150"/>
      <c r="E51" s="1151">
        <f t="shared" ca="1" si="23"/>
        <v>-62.857142857142854</v>
      </c>
      <c r="F51" s="1151" t="str">
        <f>IFERROR(VLOOKUP(G51,Recria[[Granja Recria]:[Emp+CC]],4,0),"")</f>
        <v>220_3014</v>
      </c>
      <c r="G51" s="1152" t="s">
        <v>715</v>
      </c>
      <c r="H51" s="1153" t="str">
        <f>IFERROR(VLOOKUP(G51,Recria[[Granja Recria]:[Núcleo]],2,0),"")</f>
        <v>(N7-8)</v>
      </c>
      <c r="I51" s="1151">
        <v>56000</v>
      </c>
      <c r="J51" s="1154" t="s">
        <v>60</v>
      </c>
      <c r="K51" s="1147">
        <v>0</v>
      </c>
      <c r="L51" s="1155" t="str">
        <f>VLOOKUP(M51,Raca_Linhagem[],2,0)</f>
        <v>COBB</v>
      </c>
      <c r="M51" s="1156" t="s">
        <v>21</v>
      </c>
      <c r="N51" s="1157">
        <f t="shared" si="24"/>
        <v>46895</v>
      </c>
      <c r="O51" s="1158"/>
      <c r="P51" s="1159" t="str">
        <f>IFERROR(VLOOKUP(Q51,Producao[[Granja Produção]:[Emp+CC]],4,0),"")</f>
        <v>220_3036</v>
      </c>
      <c r="Q51" s="1152" t="str">
        <f t="shared" si="25"/>
        <v>Riacho - 04</v>
      </c>
      <c r="R51" s="1153" t="str">
        <f>IFERROR(VLOOKUP(Q51,Producao[[Granja Produção]:[Núcleo]],2,0),"")</f>
        <v>(N7-8)</v>
      </c>
      <c r="S51" s="1160">
        <f t="shared" si="26"/>
        <v>53760</v>
      </c>
      <c r="T51" s="1161">
        <f t="shared" si="27"/>
        <v>47209</v>
      </c>
      <c r="U51" s="1162">
        <v>68</v>
      </c>
      <c r="V51" s="1163"/>
      <c r="W51" s="1164">
        <f t="shared" si="28"/>
        <v>47209</v>
      </c>
      <c r="X51" s="1144"/>
      <c r="Y51" s="1145"/>
      <c r="Z51" s="1146"/>
      <c r="AA51" s="1146"/>
    </row>
    <row r="71" spans="1:27">
      <c r="O71"/>
      <c r="P71"/>
      <c r="Q71"/>
    </row>
    <row r="72" spans="1:27">
      <c r="O72"/>
      <c r="P72"/>
      <c r="Q72"/>
    </row>
    <row r="73" spans="1:27">
      <c r="O73"/>
      <c r="P73"/>
      <c r="Q73"/>
    </row>
    <row r="74" spans="1:27">
      <c r="O74"/>
      <c r="P74"/>
      <c r="Q74"/>
    </row>
    <row r="75" spans="1:27">
      <c r="O75"/>
    </row>
    <row r="76" spans="1:27" s="67" customFormat="1" ht="17.399999999999999">
      <c r="A76"/>
      <c r="B76"/>
      <c r="C76"/>
      <c r="D76"/>
      <c r="E76"/>
      <c r="F76"/>
      <c r="H76" s="68"/>
      <c r="I76" s="68"/>
      <c r="N76" s="68"/>
      <c r="Q76" s="250" t="s">
        <v>342</v>
      </c>
      <c r="R76" s="112" t="s">
        <v>266</v>
      </c>
      <c r="S76" s="250" t="s">
        <v>342</v>
      </c>
      <c r="T76" s="112" t="s">
        <v>267</v>
      </c>
      <c r="U76"/>
      <c r="V76" s="44"/>
      <c r="W76" s="31"/>
      <c r="X76" s="31"/>
      <c r="Y76" s="31"/>
      <c r="Z76" s="31"/>
      <c r="AA76" s="31"/>
    </row>
    <row r="77" spans="1:27" s="67" customFormat="1" ht="17.399999999999999">
      <c r="A77" s="250" t="s">
        <v>345</v>
      </c>
      <c r="B77" s="112"/>
      <c r="C77" s="250" t="s">
        <v>342</v>
      </c>
      <c r="D77" s="263"/>
      <c r="E77" s="263"/>
      <c r="F77"/>
      <c r="G77"/>
      <c r="H77" s="68"/>
      <c r="I77" s="250" t="s">
        <v>345</v>
      </c>
      <c r="J77" s="250" t="s">
        <v>342</v>
      </c>
      <c r="K77" s="112"/>
      <c r="L77" s="112"/>
      <c r="M77"/>
      <c r="N77"/>
      <c r="Q77" s="478"/>
      <c r="R77" s="478"/>
      <c r="S77" s="478"/>
      <c r="T77" s="478"/>
      <c r="U77"/>
      <c r="V77" s="44"/>
      <c r="W77" s="31"/>
      <c r="X77" s="31"/>
      <c r="Y77" s="31"/>
      <c r="Z77" s="31"/>
      <c r="AA77" s="31"/>
    </row>
    <row r="78" spans="1:27" s="67" customFormat="1" ht="17.399999999999999">
      <c r="A78" s="250" t="s">
        <v>11</v>
      </c>
      <c r="B78" s="250" t="s">
        <v>12</v>
      </c>
      <c r="C78" s="263" t="s">
        <v>344</v>
      </c>
      <c r="D78" s="263" t="s">
        <v>266</v>
      </c>
      <c r="E78" s="263" t="s">
        <v>267</v>
      </c>
      <c r="F78"/>
      <c r="G78"/>
      <c r="H78" s="68"/>
      <c r="I78" s="250" t="s">
        <v>11</v>
      </c>
      <c r="J78" s="112" t="s">
        <v>344</v>
      </c>
      <c r="K78" s="112" t="s">
        <v>266</v>
      </c>
      <c r="L78" s="112" t="s">
        <v>267</v>
      </c>
      <c r="M78"/>
      <c r="N78"/>
      <c r="Q78" s="250" t="s">
        <v>343</v>
      </c>
      <c r="R78" s="112" t="s">
        <v>341</v>
      </c>
      <c r="S78" s="250" t="s">
        <v>343</v>
      </c>
      <c r="T78" s="112" t="s">
        <v>341</v>
      </c>
      <c r="U78"/>
      <c r="V78" s="44"/>
      <c r="W78" s="31"/>
      <c r="X78" s="31"/>
      <c r="Y78" s="31"/>
      <c r="Z78" s="31"/>
      <c r="AA78" s="31"/>
    </row>
    <row r="79" spans="1:27" s="67" customFormat="1" ht="17.399999999999999">
      <c r="A79" s="112" t="s">
        <v>283</v>
      </c>
      <c r="B79" s="112" t="s">
        <v>21</v>
      </c>
      <c r="C79" s="890">
        <v>65000</v>
      </c>
      <c r="D79" s="890">
        <v>314500</v>
      </c>
      <c r="E79" s="890">
        <v>362140</v>
      </c>
      <c r="F79"/>
      <c r="G79"/>
      <c r="H79" s="68"/>
      <c r="I79" s="251" t="s">
        <v>283</v>
      </c>
      <c r="J79" s="256">
        <v>65000</v>
      </c>
      <c r="K79" s="256">
        <v>331500</v>
      </c>
      <c r="L79" s="256">
        <v>362140</v>
      </c>
      <c r="M79"/>
      <c r="N79"/>
      <c r="Q79" s="112" t="s">
        <v>270</v>
      </c>
      <c r="R79" s="256">
        <v>61000</v>
      </c>
      <c r="S79" s="112" t="s">
        <v>270</v>
      </c>
      <c r="T79" s="256">
        <v>40000</v>
      </c>
      <c r="U79"/>
      <c r="V79" s="44"/>
      <c r="W79" s="31"/>
      <c r="X79" s="31"/>
      <c r="Y79" s="31"/>
      <c r="Z79" s="31"/>
      <c r="AA79" s="31"/>
    </row>
    <row r="80" spans="1:27" s="67" customFormat="1" ht="17.399999999999999">
      <c r="A80" s="112" t="s">
        <v>283</v>
      </c>
      <c r="B80" s="112" t="s">
        <v>169</v>
      </c>
      <c r="C80" s="890"/>
      <c r="D80" s="890">
        <v>17000</v>
      </c>
      <c r="E80" s="890"/>
      <c r="F80"/>
      <c r="G80"/>
      <c r="H80" s="68"/>
      <c r="I80" s="251" t="s">
        <v>285</v>
      </c>
      <c r="J80" s="256">
        <v>32000</v>
      </c>
      <c r="K80" s="256">
        <v>137500</v>
      </c>
      <c r="L80" s="256">
        <v>105000</v>
      </c>
      <c r="M80"/>
      <c r="N80"/>
      <c r="Q80" s="112" t="s">
        <v>271</v>
      </c>
      <c r="R80" s="256">
        <v>44000</v>
      </c>
      <c r="S80" s="112" t="s">
        <v>272</v>
      </c>
      <c r="T80" s="256">
        <v>49640</v>
      </c>
      <c r="U80"/>
      <c r="V80" s="44"/>
      <c r="W80" s="31"/>
      <c r="X80" s="31"/>
      <c r="Y80" s="31"/>
      <c r="Z80" s="31"/>
      <c r="AA80" s="31"/>
    </row>
    <row r="81" spans="1:27" s="67" customFormat="1" ht="17.399999999999999">
      <c r="A81" s="112" t="s">
        <v>285</v>
      </c>
      <c r="B81" s="112" t="s">
        <v>26</v>
      </c>
      <c r="C81" s="890">
        <v>32000</v>
      </c>
      <c r="D81" s="890">
        <v>137500</v>
      </c>
      <c r="E81" s="890">
        <v>105000</v>
      </c>
      <c r="F81"/>
      <c r="G81"/>
      <c r="H81" s="68"/>
      <c r="I81" s="251" t="s">
        <v>284</v>
      </c>
      <c r="J81" s="256">
        <v>17000</v>
      </c>
      <c r="K81" s="256"/>
      <c r="L81" s="256">
        <v>17000</v>
      </c>
      <c r="M81"/>
      <c r="N81"/>
      <c r="P81"/>
      <c r="Q81" s="112" t="s">
        <v>272</v>
      </c>
      <c r="R81" s="256">
        <v>44000</v>
      </c>
      <c r="S81" s="112" t="s">
        <v>273</v>
      </c>
      <c r="T81" s="256">
        <v>16000</v>
      </c>
      <c r="U81"/>
      <c r="V81" s="44"/>
      <c r="W81" s="31"/>
      <c r="X81" s="31"/>
      <c r="Y81" s="31"/>
      <c r="Z81" s="31"/>
      <c r="AA81" s="31"/>
    </row>
    <row r="82" spans="1:27" s="67" customFormat="1" ht="17.399999999999999">
      <c r="A82" s="112" t="s">
        <v>284</v>
      </c>
      <c r="B82" s="112" t="s">
        <v>242</v>
      </c>
      <c r="C82" s="890">
        <v>17000</v>
      </c>
      <c r="D82" s="890"/>
      <c r="E82" s="890">
        <v>17000</v>
      </c>
      <c r="F82"/>
      <c r="G82"/>
      <c r="H82" s="68"/>
      <c r="I82" s="251" t="s">
        <v>282</v>
      </c>
      <c r="J82" s="256">
        <v>114000</v>
      </c>
      <c r="K82" s="256">
        <v>469000</v>
      </c>
      <c r="L82" s="256">
        <v>484140</v>
      </c>
      <c r="M82"/>
      <c r="N82"/>
      <c r="P82"/>
      <c r="Q82" s="112" t="s">
        <v>273</v>
      </c>
      <c r="R82" s="256">
        <v>17000</v>
      </c>
      <c r="S82" s="112" t="s">
        <v>274</v>
      </c>
      <c r="T82" s="256">
        <v>49000</v>
      </c>
      <c r="U82"/>
      <c r="V82" s="44"/>
      <c r="W82" s="31"/>
      <c r="X82" s="31"/>
      <c r="Y82" s="31"/>
      <c r="Z82" s="31"/>
      <c r="AA82" s="31"/>
    </row>
    <row r="83" spans="1:27" s="67" customFormat="1" ht="17.399999999999999">
      <c r="A83" s="112" t="s">
        <v>282</v>
      </c>
      <c r="B83" s="112"/>
      <c r="C83" s="890">
        <v>114000</v>
      </c>
      <c r="D83" s="890">
        <v>469000</v>
      </c>
      <c r="E83" s="890">
        <v>484140</v>
      </c>
      <c r="F83"/>
      <c r="G83"/>
      <c r="H83" s="68"/>
      <c r="I83"/>
      <c r="J83"/>
      <c r="K83"/>
      <c r="L83"/>
      <c r="M83"/>
      <c r="N83"/>
      <c r="O83" s="112"/>
      <c r="P83"/>
      <c r="Q83" s="112" t="s">
        <v>274</v>
      </c>
      <c r="R83" s="256">
        <v>44000</v>
      </c>
      <c r="S83" s="112" t="s">
        <v>276</v>
      </c>
      <c r="T83" s="256">
        <v>73000</v>
      </c>
      <c r="U83" s="31"/>
      <c r="V83" s="44"/>
      <c r="W83" s="31"/>
      <c r="X83" s="31"/>
      <c r="Y83" s="31"/>
      <c r="Z83" s="31"/>
      <c r="AA83" s="31"/>
    </row>
    <row r="84" spans="1:27" s="67" customFormat="1" ht="17.399999999999999">
      <c r="A84"/>
      <c r="B84"/>
      <c r="C84"/>
      <c r="D84"/>
      <c r="E84"/>
      <c r="F84"/>
      <c r="G84"/>
      <c r="H84" s="68"/>
      <c r="I84"/>
      <c r="J84"/>
      <c r="K84"/>
      <c r="L84"/>
      <c r="M84"/>
      <c r="N84"/>
      <c r="O84" s="112"/>
      <c r="P84"/>
      <c r="Q84" s="112" t="s">
        <v>275</v>
      </c>
      <c r="R84" s="256">
        <v>17000</v>
      </c>
      <c r="S84" s="112" t="s">
        <v>277</v>
      </c>
      <c r="T84" s="256">
        <v>56000</v>
      </c>
      <c r="U84" s="31"/>
      <c r="V84" s="44"/>
      <c r="W84" s="31"/>
      <c r="X84" s="31"/>
      <c r="Y84" s="31"/>
      <c r="Z84" s="31"/>
      <c r="AA84" s="31"/>
    </row>
    <row r="85" spans="1:27" s="67" customFormat="1" ht="17.399999999999999">
      <c r="A85"/>
      <c r="B85"/>
      <c r="C85"/>
      <c r="D85"/>
      <c r="E85"/>
      <c r="F85"/>
      <c r="G85"/>
      <c r="H85" s="68"/>
      <c r="I85"/>
      <c r="J85"/>
      <c r="K85"/>
      <c r="L85"/>
      <c r="M85"/>
      <c r="N85"/>
      <c r="O85" s="478"/>
      <c r="P85" s="478"/>
      <c r="Q85" s="112" t="s">
        <v>276</v>
      </c>
      <c r="R85" s="256">
        <v>54500</v>
      </c>
      <c r="S85" s="112" t="s">
        <v>278</v>
      </c>
      <c r="T85" s="256">
        <v>56000</v>
      </c>
      <c r="U85" s="482"/>
      <c r="V85" s="478"/>
      <c r="W85" s="31"/>
      <c r="X85" s="31"/>
      <c r="Y85" s="31"/>
      <c r="Z85" s="31"/>
      <c r="AA85" s="31"/>
    </row>
    <row r="86" spans="1:27" s="67" customFormat="1" ht="17.399999999999999">
      <c r="A86"/>
      <c r="B86"/>
      <c r="C86"/>
      <c r="D86"/>
      <c r="E86"/>
      <c r="F86"/>
      <c r="G86"/>
      <c r="H86"/>
      <c r="I86" s="250" t="s">
        <v>345</v>
      </c>
      <c r="J86" s="250" t="s">
        <v>342</v>
      </c>
      <c r="K86" s="112"/>
      <c r="L86" s="112"/>
      <c r="M86"/>
      <c r="N86"/>
      <c r="Q86" s="112" t="s">
        <v>277</v>
      </c>
      <c r="R86" s="256">
        <v>17000</v>
      </c>
      <c r="S86" s="112" t="s">
        <v>279</v>
      </c>
      <c r="T86" s="256">
        <v>73000</v>
      </c>
      <c r="W86" s="31"/>
      <c r="X86" s="31"/>
      <c r="Y86" s="31"/>
      <c r="Z86" s="31"/>
      <c r="AA86" s="31"/>
    </row>
    <row r="87" spans="1:27" s="67" customFormat="1" ht="17.399999999999999">
      <c r="A87"/>
      <c r="B87"/>
      <c r="C87"/>
      <c r="D87"/>
      <c r="E87"/>
      <c r="F87"/>
      <c r="G87"/>
      <c r="H87"/>
      <c r="I87" s="250" t="s">
        <v>11</v>
      </c>
      <c r="J87" s="112" t="s">
        <v>344</v>
      </c>
      <c r="K87" s="112" t="s">
        <v>266</v>
      </c>
      <c r="L87" s="112" t="s">
        <v>267</v>
      </c>
      <c r="M87"/>
      <c r="N87"/>
      <c r="Q87" s="112" t="s">
        <v>278</v>
      </c>
      <c r="R87" s="256">
        <v>64000</v>
      </c>
      <c r="S87" s="112" t="s">
        <v>281</v>
      </c>
      <c r="T87" s="256">
        <v>71500</v>
      </c>
      <c r="W87" s="31"/>
      <c r="X87" s="31"/>
      <c r="Y87" s="31"/>
      <c r="Z87" s="31"/>
      <c r="AA87" s="31"/>
    </row>
    <row r="88" spans="1:27" s="67" customFormat="1" ht="17.399999999999999">
      <c r="A88" s="31"/>
      <c r="B88"/>
      <c r="C88"/>
      <c r="D88"/>
      <c r="E88"/>
      <c r="F88"/>
      <c r="G88"/>
      <c r="H88"/>
      <c r="I88" s="251" t="s">
        <v>283</v>
      </c>
      <c r="J88" s="883">
        <v>0.57017543859649122</v>
      </c>
      <c r="K88" s="883">
        <v>0.7068230277185501</v>
      </c>
      <c r="L88" s="883">
        <v>0.74800677489982237</v>
      </c>
      <c r="M88"/>
      <c r="N88"/>
      <c r="Q88" s="112" t="s">
        <v>279</v>
      </c>
      <c r="R88" s="256">
        <v>17000</v>
      </c>
      <c r="S88" s="112" t="s">
        <v>282</v>
      </c>
      <c r="T88" s="256">
        <v>484140</v>
      </c>
      <c r="W88"/>
      <c r="X88"/>
      <c r="Y88" s="31"/>
      <c r="Z88" s="31"/>
      <c r="AA88" s="31"/>
    </row>
    <row r="89" spans="1:27" s="67" customFormat="1" ht="17.399999999999999">
      <c r="A89" s="31"/>
      <c r="B89"/>
      <c r="C89"/>
      <c r="D89"/>
      <c r="E89"/>
      <c r="F89"/>
      <c r="G89"/>
      <c r="H89"/>
      <c r="I89" s="251" t="s">
        <v>285</v>
      </c>
      <c r="J89" s="883">
        <v>0.2807017543859649</v>
      </c>
      <c r="K89" s="883">
        <v>0.2931769722814499</v>
      </c>
      <c r="L89" s="883">
        <v>0.21687941504523484</v>
      </c>
      <c r="M89"/>
      <c r="N89"/>
      <c r="Q89" s="112" t="s">
        <v>280</v>
      </c>
      <c r="R89" s="256">
        <v>41000</v>
      </c>
      <c r="S89"/>
      <c r="T89"/>
      <c r="W89"/>
      <c r="X89"/>
      <c r="Y89" s="31"/>
      <c r="Z89" s="31"/>
      <c r="AA89" s="31"/>
    </row>
    <row r="90" spans="1:27" s="67" customFormat="1" ht="17.399999999999999">
      <c r="A90" s="31"/>
      <c r="B90"/>
      <c r="C90"/>
      <c r="D90"/>
      <c r="E90"/>
      <c r="F90"/>
      <c r="G90"/>
      <c r="H90"/>
      <c r="I90" s="251" t="s">
        <v>284</v>
      </c>
      <c r="J90" s="883">
        <v>0.14912280701754385</v>
      </c>
      <c r="K90" s="883">
        <v>0</v>
      </c>
      <c r="L90" s="883">
        <v>3.5113810054942782E-2</v>
      </c>
      <c r="M90"/>
      <c r="N90"/>
      <c r="Q90" s="112" t="s">
        <v>281</v>
      </c>
      <c r="R90" s="256">
        <v>48500</v>
      </c>
      <c r="S90"/>
      <c r="T90"/>
      <c r="W90"/>
      <c r="X90"/>
      <c r="Y90" s="31"/>
      <c r="Z90" s="31"/>
      <c r="AA90" s="31"/>
    </row>
    <row r="91" spans="1:27" ht="17.399999999999999">
      <c r="I91" s="251" t="s">
        <v>282</v>
      </c>
      <c r="J91" s="883">
        <v>1</v>
      </c>
      <c r="K91" s="883">
        <v>1</v>
      </c>
      <c r="L91" s="883">
        <v>1</v>
      </c>
      <c r="Q91" s="112" t="s">
        <v>282</v>
      </c>
      <c r="R91" s="256">
        <v>469000</v>
      </c>
    </row>
  </sheetData>
  <sheetProtection algorithmName="SHA-512" hashValue="D6gNKFr28zauNkVzgcAMnY9qXpeHX0Wi8rxXz2jQHtuG3ojR+7qH6JZAl+PnUeqJza5j0mo5Nz/6YchGsfdcqw==" saltValue="swnsgk/FPKoI4laf7AtMeA==" spinCount="100000" sheet="1" formatColumns="0" autoFilter="0"/>
  <conditionalFormatting sqref="L2:L51">
    <cfRule type="cellIs" dxfId="240" priority="27" operator="equal">
      <formula>"HUBB"</formula>
    </cfRule>
    <cfRule type="cellIs" dxfId="239" priority="31" operator="equal">
      <formula>"ROSS"</formula>
    </cfRule>
    <cfRule type="cellIs" dxfId="238" priority="33" operator="equal">
      <formula>"COBB"</formula>
    </cfRule>
  </conditionalFormatting>
  <conditionalFormatting sqref="M2:M51">
    <cfRule type="cellIs" dxfId="237" priority="4" operator="equal">
      <formula>"500 SLOW - MV"</formula>
    </cfRule>
    <cfRule type="cellIs" dxfId="236" priority="5" operator="equal">
      <formula>"500 FAST - MALE"</formula>
    </cfRule>
    <cfRule type="cellIs" dxfId="235" priority="6" operator="equal">
      <formula>"500 SLOW - MX"</formula>
    </cfRule>
    <cfRule type="cellIs" dxfId="234" priority="7" operator="equal">
      <formula>"EFFICIENCY PLUS_M77"</formula>
    </cfRule>
    <cfRule type="cellIs" dxfId="233" priority="8" operator="equal">
      <formula>"AP95 - 344  JBS"</formula>
    </cfRule>
    <cfRule type="cellIs" dxfId="232" priority="9" operator="equal">
      <formula>"500 SLOW - MALE JBS"</formula>
    </cfRule>
    <cfRule type="cellIs" dxfId="231" priority="10" operator="equal">
      <formula>"AP95 - 344"</formula>
    </cfRule>
    <cfRule type="cellIs" dxfId="230" priority="11" operator="equal">
      <formula>"800 SLOW CDP4 - MALE"</formula>
    </cfRule>
    <cfRule type="cellIs" dxfId="229" priority="12" operator="equal">
      <formula>"800 SLOW CDP4 - MX"</formula>
    </cfRule>
    <cfRule type="cellIs" dxfId="228" priority="13" operator="equal">
      <formula>"500 SLOW - MALE"</formula>
    </cfRule>
  </conditionalFormatting>
  <pageMargins left="0.51181102362204722" right="0.51181102362204722" top="0.78740157480314965" bottom="0.78740157480314965" header="0.31496062992125984" footer="0.31496062992125984"/>
  <pageSetup paperSize="9" scale="76" orientation="landscape" horizontalDpi="4294967293"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94C2-395C-473C-A8C9-EF93EC460286}">
  <sheetPr codeName="Planilha14">
    <tabColor theme="8" tint="0.79998168889431442"/>
    <pageSetUpPr fitToPage="1"/>
  </sheetPr>
  <dimension ref="A1:V36"/>
  <sheetViews>
    <sheetView showGridLines="0" zoomScale="60" zoomScaleNormal="60" workbookViewId="0">
      <selection activeCell="K38" sqref="K38"/>
    </sheetView>
  </sheetViews>
  <sheetFormatPr defaultColWidth="9.09765625" defaultRowHeight="15.6"/>
  <cols>
    <col min="1" max="1" width="13" style="265" customWidth="1"/>
    <col min="2" max="2" width="16.59765625" style="265" bestFit="1" customWidth="1"/>
    <col min="3" max="3" width="12.59765625" style="265" hidden="1" customWidth="1"/>
    <col min="4" max="4" width="22.8984375" style="265" bestFit="1" customWidth="1"/>
    <col min="5" max="5" width="13.09765625" style="265" bestFit="1" customWidth="1"/>
    <col min="6" max="6" width="14.09765625" style="265" bestFit="1" customWidth="1"/>
    <col min="7" max="7" width="13" style="265" bestFit="1" customWidth="1"/>
    <col min="8" max="8" width="26" style="265" bestFit="1" customWidth="1"/>
    <col min="9" max="9" width="26.59765625" style="265" bestFit="1" customWidth="1"/>
    <col min="10" max="10" width="10.3984375" style="265" bestFit="1" customWidth="1"/>
    <col min="11" max="11" width="11.3984375" style="265" bestFit="1" customWidth="1"/>
    <col min="12" max="12" width="20.09765625" style="265" customWidth="1"/>
    <col min="13" max="13" width="15.8984375" style="265" bestFit="1" customWidth="1"/>
    <col min="14" max="14" width="19.09765625" style="265" bestFit="1" customWidth="1"/>
    <col min="15" max="15" width="13.09765625" style="265" bestFit="1" customWidth="1"/>
    <col min="16" max="16" width="13" style="265" bestFit="1" customWidth="1"/>
    <col min="17" max="17" width="26.59765625" style="265" bestFit="1" customWidth="1"/>
    <col min="18" max="18" width="14.09765625" style="265" bestFit="1" customWidth="1"/>
    <col min="19" max="19" width="20.09765625" style="265" bestFit="1" customWidth="1"/>
    <col min="20" max="20" width="8" style="265" bestFit="1" customWidth="1"/>
    <col min="21" max="21" width="8.59765625" style="265" bestFit="1" customWidth="1"/>
    <col min="22" max="22" width="12.8984375" style="265" bestFit="1" customWidth="1"/>
    <col min="23" max="16384" width="9.09765625" style="265"/>
  </cols>
  <sheetData>
    <row r="1" spans="1:22" ht="21" customHeight="1">
      <c r="A1" s="95" t="s">
        <v>0</v>
      </c>
      <c r="B1" s="95" t="s">
        <v>1</v>
      </c>
      <c r="C1" s="95" t="s">
        <v>342</v>
      </c>
      <c r="D1" s="95" t="s">
        <v>2</v>
      </c>
      <c r="E1" s="95" t="s">
        <v>3</v>
      </c>
      <c r="F1" s="7" t="s">
        <v>362</v>
      </c>
      <c r="G1" s="97" t="s">
        <v>538</v>
      </c>
      <c r="H1" s="95" t="s">
        <v>293</v>
      </c>
      <c r="I1" s="95" t="s">
        <v>8</v>
      </c>
      <c r="J1" s="95" t="s">
        <v>9</v>
      </c>
      <c r="K1" s="95" t="s">
        <v>10</v>
      </c>
      <c r="L1" s="95" t="s">
        <v>346</v>
      </c>
      <c r="M1" s="98" t="s">
        <v>744</v>
      </c>
      <c r="N1" s="98" t="s">
        <v>13</v>
      </c>
      <c r="O1" s="95" t="s">
        <v>3</v>
      </c>
      <c r="P1" s="97" t="s">
        <v>538</v>
      </c>
      <c r="Q1" s="97" t="s">
        <v>295</v>
      </c>
      <c r="R1" s="96" t="s">
        <v>8</v>
      </c>
      <c r="S1" s="95" t="s">
        <v>14</v>
      </c>
      <c r="T1" s="95" t="s">
        <v>15</v>
      </c>
      <c r="U1" s="94" t="s">
        <v>10</v>
      </c>
      <c r="V1" s="93" t="s">
        <v>16</v>
      </c>
    </row>
    <row r="2" spans="1:22" ht="16.2">
      <c r="A2" s="15" t="s">
        <v>745</v>
      </c>
      <c r="B2" s="443">
        <v>45772</v>
      </c>
      <c r="C2" s="444">
        <f t="shared" ref="C2:C14" si="0">YEAR(B2)</f>
        <v>2025</v>
      </c>
      <c r="D2" s="14">
        <v>45771</v>
      </c>
      <c r="E2" s="309"/>
      <c r="F2" s="17">
        <f t="shared" ref="F2:F14" ca="1" si="1">IF((TODAY()-D2)/7&gt;S2,S2,(TODAY()-D2)/7)</f>
        <v>74.714285714285708</v>
      </c>
      <c r="G2" s="17">
        <v>900</v>
      </c>
      <c r="H2" s="296" t="s">
        <v>746</v>
      </c>
      <c r="I2" s="552">
        <v>7000</v>
      </c>
      <c r="J2" s="15"/>
      <c r="K2" s="15">
        <f>B4-M2</f>
        <v>-294</v>
      </c>
      <c r="L2" s="590" t="s">
        <v>747</v>
      </c>
      <c r="M2" s="591">
        <f>D2+(17*7)</f>
        <v>45890</v>
      </c>
      <c r="N2" s="591">
        <f>D2+22*7</f>
        <v>45925</v>
      </c>
      <c r="O2" s="592">
        <v>93025</v>
      </c>
      <c r="P2" s="593">
        <v>900</v>
      </c>
      <c r="Q2" s="594" t="s">
        <v>748</v>
      </c>
      <c r="R2" s="595">
        <v>7000</v>
      </c>
      <c r="S2" s="596">
        <f t="shared" ref="S2:S14" si="2">D2+(T2*7)-1</f>
        <v>46351</v>
      </c>
      <c r="T2" s="597">
        <v>83</v>
      </c>
      <c r="U2" s="598"/>
      <c r="V2" s="599">
        <f t="shared" ref="V2:V14" si="3">IFERROR(S2+U2," ")</f>
        <v>46351</v>
      </c>
    </row>
    <row r="3" spans="1:22" ht="16.2">
      <c r="A3" s="15" t="s">
        <v>745</v>
      </c>
      <c r="B3" s="443">
        <v>45532</v>
      </c>
      <c r="C3" s="444">
        <f t="shared" si="0"/>
        <v>2024</v>
      </c>
      <c r="D3" s="14">
        <v>45533</v>
      </c>
      <c r="E3" s="16"/>
      <c r="F3" s="17">
        <f t="shared" ca="1" si="1"/>
        <v>108.71428571428571</v>
      </c>
      <c r="G3" s="17">
        <v>900</v>
      </c>
      <c r="H3" s="296" t="s">
        <v>749</v>
      </c>
      <c r="I3" s="552">
        <v>5800</v>
      </c>
      <c r="J3" s="15"/>
      <c r="K3" s="15">
        <f>B5-M3</f>
        <v>-56</v>
      </c>
      <c r="L3" s="590" t="s">
        <v>747</v>
      </c>
      <c r="M3" s="591">
        <f t="shared" ref="M3:M14" si="4">D3+(17*7)</f>
        <v>45652</v>
      </c>
      <c r="N3" s="591">
        <f t="shared" ref="N3:N14" si="5">D3+22*7</f>
        <v>45687</v>
      </c>
      <c r="O3" s="592">
        <v>93125</v>
      </c>
      <c r="P3" s="593">
        <v>900</v>
      </c>
      <c r="Q3" s="594" t="s">
        <v>750</v>
      </c>
      <c r="R3" s="595">
        <v>5800</v>
      </c>
      <c r="S3" s="596">
        <f t="shared" si="2"/>
        <v>46113</v>
      </c>
      <c r="T3" s="597">
        <v>83</v>
      </c>
      <c r="U3" s="598"/>
      <c r="V3" s="599">
        <f t="shared" si="3"/>
        <v>46113</v>
      </c>
    </row>
    <row r="4" spans="1:22" ht="16.2">
      <c r="A4" s="15" t="s">
        <v>745</v>
      </c>
      <c r="B4" s="443">
        <v>45596</v>
      </c>
      <c r="C4" s="444">
        <f t="shared" si="0"/>
        <v>2024</v>
      </c>
      <c r="D4" s="14">
        <v>45596</v>
      </c>
      <c r="E4" s="16"/>
      <c r="F4" s="17">
        <f t="shared" ca="1" si="1"/>
        <v>99.714285714285708</v>
      </c>
      <c r="G4" s="17">
        <v>900</v>
      </c>
      <c r="H4" s="296" t="s">
        <v>751</v>
      </c>
      <c r="I4" s="552">
        <v>4700</v>
      </c>
      <c r="J4" s="15"/>
      <c r="K4" s="15">
        <f>B6-M4</f>
        <v>-183</v>
      </c>
      <c r="L4" s="590" t="s">
        <v>747</v>
      </c>
      <c r="M4" s="591">
        <f t="shared" si="4"/>
        <v>45715</v>
      </c>
      <c r="N4" s="591">
        <f t="shared" si="5"/>
        <v>45750</v>
      </c>
      <c r="O4" s="592">
        <v>93225</v>
      </c>
      <c r="P4" s="593">
        <v>900</v>
      </c>
      <c r="Q4" s="594" t="s">
        <v>752</v>
      </c>
      <c r="R4" s="595">
        <v>4700</v>
      </c>
      <c r="S4" s="596">
        <f t="shared" si="2"/>
        <v>46176</v>
      </c>
      <c r="T4" s="597">
        <v>83</v>
      </c>
      <c r="U4" s="598"/>
      <c r="V4" s="599">
        <f t="shared" si="3"/>
        <v>46176</v>
      </c>
    </row>
    <row r="5" spans="1:22" ht="16.2">
      <c r="A5" s="15" t="s">
        <v>745</v>
      </c>
      <c r="B5" s="443">
        <v>45596</v>
      </c>
      <c r="C5" s="444">
        <f t="shared" ref="C5" si="6">YEAR(B5)</f>
        <v>2024</v>
      </c>
      <c r="D5" s="14">
        <v>45596</v>
      </c>
      <c r="E5" s="16"/>
      <c r="F5" s="17">
        <f t="shared" ref="F5" ca="1" si="7">IF((TODAY()-D5)/7&gt;S5,S5,(TODAY()-D5)/7)</f>
        <v>99.714285714285708</v>
      </c>
      <c r="G5" s="17">
        <v>900</v>
      </c>
      <c r="H5" s="296" t="s">
        <v>751</v>
      </c>
      <c r="I5" s="552">
        <v>2853</v>
      </c>
      <c r="J5" s="15"/>
      <c r="K5" s="15">
        <f>B7-M5</f>
        <v>-183</v>
      </c>
      <c r="L5" s="573" t="s">
        <v>753</v>
      </c>
      <c r="M5" s="605">
        <f t="shared" si="4"/>
        <v>45715</v>
      </c>
      <c r="N5" s="605">
        <f t="shared" si="5"/>
        <v>45750</v>
      </c>
      <c r="O5" s="606">
        <v>93325</v>
      </c>
      <c r="P5" s="607">
        <v>900</v>
      </c>
      <c r="Q5" s="608" t="s">
        <v>752</v>
      </c>
      <c r="R5" s="609">
        <v>2853</v>
      </c>
      <c r="S5" s="610">
        <f t="shared" si="2"/>
        <v>46260</v>
      </c>
      <c r="T5" s="611">
        <v>95</v>
      </c>
      <c r="U5" s="612"/>
      <c r="V5" s="613">
        <f t="shared" si="3"/>
        <v>46260</v>
      </c>
    </row>
    <row r="6" spans="1:22" ht="16.2">
      <c r="A6" s="15" t="s">
        <v>745</v>
      </c>
      <c r="B6" s="443">
        <v>45532</v>
      </c>
      <c r="C6" s="444">
        <f t="shared" si="0"/>
        <v>2024</v>
      </c>
      <c r="D6" s="14">
        <v>45533</v>
      </c>
      <c r="E6" s="16"/>
      <c r="F6" s="17">
        <f t="shared" ca="1" si="1"/>
        <v>108.71428571428571</v>
      </c>
      <c r="G6" s="17">
        <v>900</v>
      </c>
      <c r="H6" s="296" t="s">
        <v>754</v>
      </c>
      <c r="I6" s="552">
        <v>5355</v>
      </c>
      <c r="J6" s="15"/>
      <c r="K6" s="15">
        <f t="shared" ref="K6:K14" si="8">B9-M6</f>
        <v>159</v>
      </c>
      <c r="L6" s="573" t="s">
        <v>753</v>
      </c>
      <c r="M6" s="605">
        <f t="shared" si="4"/>
        <v>45652</v>
      </c>
      <c r="N6" s="605">
        <f t="shared" si="5"/>
        <v>45687</v>
      </c>
      <c r="O6" s="606">
        <v>93425</v>
      </c>
      <c r="P6" s="607">
        <v>900</v>
      </c>
      <c r="Q6" s="608" t="s">
        <v>755</v>
      </c>
      <c r="R6" s="609">
        <v>5355</v>
      </c>
      <c r="S6" s="610">
        <f t="shared" si="2"/>
        <v>46267</v>
      </c>
      <c r="T6" s="611">
        <v>105</v>
      </c>
      <c r="U6" s="612">
        <f>M18-S6</f>
        <v>113</v>
      </c>
      <c r="V6" s="613">
        <f>IFERROR(S6+U6," ")</f>
        <v>46380</v>
      </c>
    </row>
    <row r="7" spans="1:22" ht="16.2">
      <c r="A7" s="15" t="s">
        <v>745</v>
      </c>
      <c r="B7" s="443">
        <v>45532</v>
      </c>
      <c r="C7" s="444">
        <f t="shared" si="0"/>
        <v>2024</v>
      </c>
      <c r="D7" s="14">
        <v>45533</v>
      </c>
      <c r="E7" s="16"/>
      <c r="F7" s="17">
        <f t="shared" ca="1" si="1"/>
        <v>108.71428571428571</v>
      </c>
      <c r="G7" s="17">
        <v>900</v>
      </c>
      <c r="H7" s="296" t="s">
        <v>756</v>
      </c>
      <c r="I7" s="552">
        <v>5553</v>
      </c>
      <c r="J7" s="15"/>
      <c r="K7" s="15">
        <f t="shared" si="8"/>
        <v>317</v>
      </c>
      <c r="L7" s="590" t="s">
        <v>747</v>
      </c>
      <c r="M7" s="591">
        <f t="shared" si="4"/>
        <v>45652</v>
      </c>
      <c r="N7" s="591">
        <f t="shared" si="5"/>
        <v>45687</v>
      </c>
      <c r="O7" s="592">
        <v>93525</v>
      </c>
      <c r="P7" s="593">
        <v>900</v>
      </c>
      <c r="Q7" s="594" t="s">
        <v>757</v>
      </c>
      <c r="R7" s="595">
        <v>5355</v>
      </c>
      <c r="S7" s="596">
        <f t="shared" si="2"/>
        <v>46113</v>
      </c>
      <c r="T7" s="597">
        <v>83</v>
      </c>
      <c r="U7" s="598"/>
      <c r="V7" s="599">
        <f t="shared" si="3"/>
        <v>46113</v>
      </c>
    </row>
    <row r="8" spans="1:22" ht="16.2">
      <c r="A8" s="15" t="s">
        <v>745</v>
      </c>
      <c r="B8" s="443">
        <v>45811</v>
      </c>
      <c r="C8" s="444">
        <f t="shared" si="0"/>
        <v>2025</v>
      </c>
      <c r="D8" s="14">
        <v>45813</v>
      </c>
      <c r="E8" s="16"/>
      <c r="F8" s="17">
        <f t="shared" ca="1" si="1"/>
        <v>68.714285714285708</v>
      </c>
      <c r="G8" s="17">
        <v>900</v>
      </c>
      <c r="H8" s="296" t="s">
        <v>758</v>
      </c>
      <c r="I8" s="552">
        <v>5442</v>
      </c>
      <c r="J8" s="15"/>
      <c r="K8" s="15">
        <f t="shared" si="8"/>
        <v>42</v>
      </c>
      <c r="L8" s="573" t="s">
        <v>753</v>
      </c>
      <c r="M8" s="605">
        <f t="shared" si="4"/>
        <v>45932</v>
      </c>
      <c r="N8" s="605">
        <f t="shared" si="5"/>
        <v>45967</v>
      </c>
      <c r="O8" s="606"/>
      <c r="P8" s="607">
        <v>900</v>
      </c>
      <c r="Q8" s="608" t="s">
        <v>758</v>
      </c>
      <c r="R8" s="609">
        <v>5442</v>
      </c>
      <c r="S8" s="610">
        <f>D8+(T8*7)-1</f>
        <v>46393</v>
      </c>
      <c r="T8" s="611">
        <v>83</v>
      </c>
      <c r="U8" s="612"/>
      <c r="V8" s="613">
        <f t="shared" si="3"/>
        <v>46393</v>
      </c>
    </row>
    <row r="9" spans="1:22" ht="16.2">
      <c r="A9" s="15" t="s">
        <v>745</v>
      </c>
      <c r="B9" s="443">
        <v>45811</v>
      </c>
      <c r="C9" s="444">
        <f t="shared" si="0"/>
        <v>2025</v>
      </c>
      <c r="D9" s="14">
        <v>45813</v>
      </c>
      <c r="E9" s="16"/>
      <c r="F9" s="17">
        <f t="shared" ca="1" si="1"/>
        <v>68.714285714285708</v>
      </c>
      <c r="G9" s="17">
        <v>900</v>
      </c>
      <c r="H9" s="296" t="s">
        <v>758</v>
      </c>
      <c r="I9" s="552">
        <v>6800</v>
      </c>
      <c r="J9" s="15"/>
      <c r="K9" s="15">
        <f t="shared" si="8"/>
        <v>42</v>
      </c>
      <c r="L9" s="590" t="s">
        <v>747</v>
      </c>
      <c r="M9" s="591">
        <f t="shared" si="4"/>
        <v>45932</v>
      </c>
      <c r="N9" s="591">
        <f t="shared" si="5"/>
        <v>45967</v>
      </c>
      <c r="O9" s="592"/>
      <c r="P9" s="593">
        <v>900</v>
      </c>
      <c r="Q9" s="594" t="s">
        <v>758</v>
      </c>
      <c r="R9" s="595">
        <v>6800</v>
      </c>
      <c r="S9" s="596">
        <f t="shared" si="2"/>
        <v>46393</v>
      </c>
      <c r="T9" s="597">
        <v>83</v>
      </c>
      <c r="U9" s="598"/>
      <c r="V9" s="599">
        <f t="shared" si="3"/>
        <v>46393</v>
      </c>
    </row>
    <row r="10" spans="1:22" ht="16.2">
      <c r="A10" s="574" t="s">
        <v>745</v>
      </c>
      <c r="B10" s="575">
        <v>45969</v>
      </c>
      <c r="C10" s="576">
        <f t="shared" si="0"/>
        <v>2025</v>
      </c>
      <c r="D10" s="577">
        <v>45967</v>
      </c>
      <c r="E10" s="578"/>
      <c r="F10" s="579">
        <f t="shared" ca="1" si="1"/>
        <v>46.714285714285715</v>
      </c>
      <c r="G10" s="579">
        <v>900</v>
      </c>
      <c r="H10" s="580" t="s">
        <v>759</v>
      </c>
      <c r="I10" s="581">
        <v>13000</v>
      </c>
      <c r="J10" s="574"/>
      <c r="K10" s="574">
        <f t="shared" si="8"/>
        <v>-97</v>
      </c>
      <c r="L10" s="590" t="s">
        <v>747</v>
      </c>
      <c r="M10" s="591">
        <f t="shared" si="4"/>
        <v>46086</v>
      </c>
      <c r="N10" s="591">
        <f t="shared" si="5"/>
        <v>46121</v>
      </c>
      <c r="O10" s="592"/>
      <c r="P10" s="593">
        <v>900</v>
      </c>
      <c r="Q10" s="594" t="s">
        <v>760</v>
      </c>
      <c r="R10" s="595">
        <f>I10*0.96</f>
        <v>12480</v>
      </c>
      <c r="S10" s="596">
        <f t="shared" si="2"/>
        <v>46547</v>
      </c>
      <c r="T10" s="597">
        <v>83</v>
      </c>
      <c r="U10" s="598"/>
      <c r="V10" s="599">
        <f t="shared" si="3"/>
        <v>46547</v>
      </c>
    </row>
    <row r="11" spans="1:22" ht="16.2">
      <c r="A11" s="574" t="s">
        <v>745</v>
      </c>
      <c r="B11" s="575">
        <v>45974</v>
      </c>
      <c r="C11" s="576">
        <f t="shared" si="0"/>
        <v>2025</v>
      </c>
      <c r="D11" s="577">
        <f t="shared" ref="D11:D13" si="9">B11</f>
        <v>45974</v>
      </c>
      <c r="E11" s="578"/>
      <c r="F11" s="579">
        <f t="shared" ca="1" si="1"/>
        <v>45.714285714285715</v>
      </c>
      <c r="G11" s="579">
        <v>900</v>
      </c>
      <c r="H11" s="580" t="s">
        <v>761</v>
      </c>
      <c r="I11" s="581">
        <v>7000</v>
      </c>
      <c r="J11" s="574"/>
      <c r="K11" s="574">
        <f t="shared" si="8"/>
        <v>8</v>
      </c>
      <c r="L11" s="590" t="s">
        <v>747</v>
      </c>
      <c r="M11" s="591">
        <f t="shared" si="4"/>
        <v>46093</v>
      </c>
      <c r="N11" s="591">
        <f t="shared" si="5"/>
        <v>46128</v>
      </c>
      <c r="O11" s="592"/>
      <c r="P11" s="593">
        <v>900</v>
      </c>
      <c r="Q11" s="594" t="s">
        <v>762</v>
      </c>
      <c r="R11" s="595">
        <f t="shared" ref="R11:R14" si="10">I11*0.955</f>
        <v>6685</v>
      </c>
      <c r="S11" s="596">
        <f t="shared" si="2"/>
        <v>46554</v>
      </c>
      <c r="T11" s="597">
        <v>83</v>
      </c>
      <c r="U11" s="598"/>
      <c r="V11" s="599">
        <f t="shared" si="3"/>
        <v>46554</v>
      </c>
    </row>
    <row r="12" spans="1:22" ht="16.2">
      <c r="A12" s="622" t="s">
        <v>745</v>
      </c>
      <c r="B12" s="623">
        <v>45974</v>
      </c>
      <c r="C12" s="622">
        <f t="shared" si="0"/>
        <v>2025</v>
      </c>
      <c r="D12" s="624">
        <f t="shared" si="9"/>
        <v>45974</v>
      </c>
      <c r="E12" s="625"/>
      <c r="F12" s="626">
        <f t="shared" ca="1" si="1"/>
        <v>45.714285714285715</v>
      </c>
      <c r="G12" s="626">
        <v>900</v>
      </c>
      <c r="H12" s="627" t="s">
        <v>761</v>
      </c>
      <c r="I12" s="628">
        <v>6000</v>
      </c>
      <c r="J12" s="622"/>
      <c r="K12" s="622">
        <f t="shared" si="8"/>
        <v>8</v>
      </c>
      <c r="L12" s="573" t="s">
        <v>753</v>
      </c>
      <c r="M12" s="605">
        <f t="shared" si="4"/>
        <v>46093</v>
      </c>
      <c r="N12" s="605">
        <f t="shared" si="5"/>
        <v>46128</v>
      </c>
      <c r="O12" s="606"/>
      <c r="P12" s="607">
        <v>900</v>
      </c>
      <c r="Q12" s="608" t="s">
        <v>762</v>
      </c>
      <c r="R12" s="609">
        <f t="shared" si="10"/>
        <v>5730</v>
      </c>
      <c r="S12" s="610">
        <f t="shared" si="2"/>
        <v>46554</v>
      </c>
      <c r="T12" s="611">
        <v>83</v>
      </c>
      <c r="U12" s="612"/>
      <c r="V12" s="613">
        <f t="shared" si="3"/>
        <v>46554</v>
      </c>
    </row>
    <row r="13" spans="1:22" ht="16.2">
      <c r="A13" s="582" t="s">
        <v>745</v>
      </c>
      <c r="B13" s="583">
        <v>45989</v>
      </c>
      <c r="C13" s="584">
        <f t="shared" si="0"/>
        <v>2025</v>
      </c>
      <c r="D13" s="585">
        <f t="shared" si="9"/>
        <v>45989</v>
      </c>
      <c r="E13" s="586"/>
      <c r="F13" s="587">
        <f t="shared" ca="1" si="1"/>
        <v>43.571428571428569</v>
      </c>
      <c r="G13" s="587">
        <v>900</v>
      </c>
      <c r="H13" s="580" t="s">
        <v>763</v>
      </c>
      <c r="I13" s="588">
        <v>5000</v>
      </c>
      <c r="J13" s="582"/>
      <c r="K13" s="582">
        <f t="shared" si="8"/>
        <v>151</v>
      </c>
      <c r="L13" s="590" t="s">
        <v>747</v>
      </c>
      <c r="M13" s="591">
        <f t="shared" si="4"/>
        <v>46108</v>
      </c>
      <c r="N13" s="591">
        <f t="shared" si="5"/>
        <v>46143</v>
      </c>
      <c r="O13" s="600"/>
      <c r="P13" s="593">
        <v>900</v>
      </c>
      <c r="Q13" s="594" t="s">
        <v>764</v>
      </c>
      <c r="R13" s="601">
        <f t="shared" si="10"/>
        <v>4775</v>
      </c>
      <c r="S13" s="602">
        <f t="shared" si="2"/>
        <v>46569</v>
      </c>
      <c r="T13" s="597">
        <v>83</v>
      </c>
      <c r="U13" s="603"/>
      <c r="V13" s="604">
        <f t="shared" si="3"/>
        <v>46569</v>
      </c>
    </row>
    <row r="14" spans="1:22" ht="16.2">
      <c r="A14" s="614" t="s">
        <v>745</v>
      </c>
      <c r="B14" s="615">
        <v>46101</v>
      </c>
      <c r="C14" s="614">
        <f t="shared" si="0"/>
        <v>2026</v>
      </c>
      <c r="D14" s="617">
        <v>46100</v>
      </c>
      <c r="E14" s="618"/>
      <c r="F14" s="619">
        <f t="shared" ca="1" si="1"/>
        <v>27.714285714285715</v>
      </c>
      <c r="G14" s="619">
        <v>900</v>
      </c>
      <c r="H14" s="620" t="s">
        <v>765</v>
      </c>
      <c r="I14" s="621">
        <v>6000</v>
      </c>
      <c r="J14" s="614"/>
      <c r="K14" s="614">
        <f t="shared" si="8"/>
        <v>40</v>
      </c>
      <c r="L14" s="573" t="s">
        <v>753</v>
      </c>
      <c r="M14" s="605">
        <f t="shared" si="4"/>
        <v>46219</v>
      </c>
      <c r="N14" s="605">
        <f t="shared" si="5"/>
        <v>46254</v>
      </c>
      <c r="O14" s="606"/>
      <c r="P14" s="607">
        <v>900</v>
      </c>
      <c r="Q14" s="608" t="s">
        <v>766</v>
      </c>
      <c r="R14" s="609">
        <f t="shared" si="10"/>
        <v>5730</v>
      </c>
      <c r="S14" s="610">
        <f t="shared" si="2"/>
        <v>46680</v>
      </c>
      <c r="T14" s="611">
        <v>83</v>
      </c>
      <c r="U14" s="612"/>
      <c r="V14" s="613">
        <f t="shared" si="3"/>
        <v>46680</v>
      </c>
    </row>
    <row r="15" spans="1:22" ht="16.2">
      <c r="A15" s="582" t="s">
        <v>745</v>
      </c>
      <c r="B15" s="583">
        <v>46101</v>
      </c>
      <c r="C15" s="584">
        <f t="shared" ref="C15" si="11">YEAR(B15)</f>
        <v>2026</v>
      </c>
      <c r="D15" s="585">
        <v>46100</v>
      </c>
      <c r="E15" s="586"/>
      <c r="F15" s="587">
        <f t="shared" ref="F15" ca="1" si="12">IF((TODAY()-D15)/7&gt;S15,S15,(TODAY()-D15)/7)</f>
        <v>27.714285714285715</v>
      </c>
      <c r="G15" s="587">
        <v>900</v>
      </c>
      <c r="H15" s="589" t="s">
        <v>767</v>
      </c>
      <c r="I15" s="588">
        <v>7200</v>
      </c>
      <c r="J15" s="582"/>
      <c r="K15" s="582">
        <f t="shared" ref="K15" si="13">B18-M15</f>
        <v>186</v>
      </c>
      <c r="L15" s="590" t="s">
        <v>747</v>
      </c>
      <c r="M15" s="591">
        <f t="shared" ref="M15" si="14">D15+(17*7)</f>
        <v>46219</v>
      </c>
      <c r="N15" s="591">
        <f t="shared" ref="N15" si="15">D15+22*7</f>
        <v>46254</v>
      </c>
      <c r="O15" s="600"/>
      <c r="P15" s="593">
        <v>900</v>
      </c>
      <c r="Q15" s="594" t="s">
        <v>768</v>
      </c>
      <c r="R15" s="601">
        <f t="shared" ref="R15" si="16">I15*0.955</f>
        <v>6876</v>
      </c>
      <c r="S15" s="602">
        <f t="shared" ref="S15" si="17">D15+(T15*7)-1</f>
        <v>46680</v>
      </c>
      <c r="T15" s="597">
        <v>83</v>
      </c>
      <c r="U15" s="603"/>
      <c r="V15" s="604">
        <f t="shared" ref="V15" si="18">IFERROR(S15+U15," ")</f>
        <v>46680</v>
      </c>
    </row>
    <row r="16" spans="1:22" ht="16.2">
      <c r="A16" s="614" t="s">
        <v>745</v>
      </c>
      <c r="B16" s="615">
        <v>46259</v>
      </c>
      <c r="C16" s="614">
        <f t="shared" ref="C16" si="19">YEAR(B16)</f>
        <v>2026</v>
      </c>
      <c r="D16" s="617">
        <v>46261</v>
      </c>
      <c r="E16" s="618"/>
      <c r="F16" s="619">
        <f t="shared" ref="F16" ca="1" si="20">IF((TODAY()-D16)/7&gt;S16,S16,(TODAY()-D16)/7)</f>
        <v>4.7142857142857144</v>
      </c>
      <c r="G16" s="619">
        <v>900</v>
      </c>
      <c r="H16" s="620" t="s">
        <v>769</v>
      </c>
      <c r="I16" s="621">
        <v>7000</v>
      </c>
      <c r="J16" s="614">
        <v>25</v>
      </c>
      <c r="K16" s="614">
        <f t="shared" ref="K16" si="21">B19-M16</f>
        <v>25</v>
      </c>
      <c r="L16" s="573" t="s">
        <v>753</v>
      </c>
      <c r="M16" s="605">
        <f t="shared" ref="M16" si="22">D16+(17*7)</f>
        <v>46380</v>
      </c>
      <c r="N16" s="605">
        <f t="shared" ref="N16" si="23">D16+22*7</f>
        <v>46415</v>
      </c>
      <c r="O16" s="606"/>
      <c r="P16" s="607">
        <v>900</v>
      </c>
      <c r="Q16" s="608" t="s">
        <v>770</v>
      </c>
      <c r="R16" s="609">
        <f t="shared" ref="R16" si="24">I16*0.955</f>
        <v>6685</v>
      </c>
      <c r="S16" s="610">
        <f t="shared" ref="S16" si="25">D16+(T16*7)-1</f>
        <v>46841</v>
      </c>
      <c r="T16" s="611">
        <v>83</v>
      </c>
      <c r="U16" s="612"/>
      <c r="V16" s="613">
        <f t="shared" ref="V16" si="26">IFERROR(S16+U16," ")</f>
        <v>46841</v>
      </c>
    </row>
    <row r="17" spans="1:22" ht="16.2">
      <c r="A17" s="582" t="s">
        <v>745</v>
      </c>
      <c r="B17" s="583">
        <v>46259</v>
      </c>
      <c r="C17" s="584">
        <f t="shared" ref="C17" si="27">YEAR(B17)</f>
        <v>2026</v>
      </c>
      <c r="D17" s="585">
        <v>46261</v>
      </c>
      <c r="E17" s="586"/>
      <c r="F17" s="587">
        <f t="shared" ref="F17" ca="1" si="28">IF((TODAY()-D17)/7&gt;S17,S17,(TODAY()-D17)/7)</f>
        <v>4.7142857142857144</v>
      </c>
      <c r="G17" s="587">
        <v>900</v>
      </c>
      <c r="H17" s="589" t="s">
        <v>769</v>
      </c>
      <c r="I17" s="588">
        <v>14000</v>
      </c>
      <c r="J17" s="582">
        <v>25</v>
      </c>
      <c r="K17" s="582">
        <f t="shared" ref="K17" si="29">B20-M17</f>
        <v>-46380</v>
      </c>
      <c r="L17" s="590" t="s">
        <v>747</v>
      </c>
      <c r="M17" s="591">
        <f t="shared" ref="M17" si="30">D17+(17*7)</f>
        <v>46380</v>
      </c>
      <c r="N17" s="591">
        <f t="shared" ref="N17" si="31">D17+22*7</f>
        <v>46415</v>
      </c>
      <c r="O17" s="600"/>
      <c r="P17" s="593">
        <v>900</v>
      </c>
      <c r="Q17" s="594" t="s">
        <v>771</v>
      </c>
      <c r="R17" s="601">
        <f t="shared" ref="R17" si="32">I17*0.955</f>
        <v>13370</v>
      </c>
      <c r="S17" s="602">
        <f t="shared" ref="S17" si="33">D17+(T17*7)-1</f>
        <v>46841</v>
      </c>
      <c r="T17" s="597">
        <v>83</v>
      </c>
      <c r="U17" s="603"/>
      <c r="V17" s="604">
        <f t="shared" ref="V17" si="34">IFERROR(S17+U17," ")</f>
        <v>46841</v>
      </c>
    </row>
    <row r="18" spans="1:22" ht="16.2">
      <c r="A18" s="614" t="s">
        <v>745</v>
      </c>
      <c r="B18" s="615">
        <f>M16+J16</f>
        <v>46405</v>
      </c>
      <c r="C18" s="616">
        <f t="shared" ref="C18" si="35">YEAR(B18)</f>
        <v>2027</v>
      </c>
      <c r="D18" s="617">
        <v>46261</v>
      </c>
      <c r="E18" s="618"/>
      <c r="F18" s="619">
        <f t="shared" ref="F18" ca="1" si="36">IF((TODAY()-D18)/7&gt;S18,S18,(TODAY()-D18)/7)</f>
        <v>4.7142857142857144</v>
      </c>
      <c r="G18" s="619">
        <v>900</v>
      </c>
      <c r="H18" s="620" t="s">
        <v>769</v>
      </c>
      <c r="I18" s="621">
        <v>7000</v>
      </c>
      <c r="J18" s="614"/>
      <c r="K18" s="614">
        <f t="shared" ref="K18" si="37">B21-M18</f>
        <v>-46380</v>
      </c>
      <c r="L18" s="573" t="s">
        <v>753</v>
      </c>
      <c r="M18" s="605">
        <f t="shared" ref="M18" si="38">D18+(17*7)</f>
        <v>46380</v>
      </c>
      <c r="N18" s="605">
        <f t="shared" ref="N18" si="39">D18+22*7</f>
        <v>46415</v>
      </c>
      <c r="O18" s="606"/>
      <c r="P18" s="607">
        <v>900</v>
      </c>
      <c r="Q18" s="608" t="s">
        <v>772</v>
      </c>
      <c r="R18" s="609">
        <f t="shared" ref="R18" si="40">I18*0.955</f>
        <v>6685</v>
      </c>
      <c r="S18" s="610">
        <f t="shared" ref="S18" si="41">D18+(T18*7)-1</f>
        <v>46841</v>
      </c>
      <c r="T18" s="611">
        <v>83</v>
      </c>
      <c r="U18" s="612"/>
      <c r="V18" s="613">
        <f t="shared" ref="V18" si="42">IFERROR(S18+U18," ")</f>
        <v>46841</v>
      </c>
    </row>
    <row r="19" spans="1:22" ht="16.2">
      <c r="A19" s="574" t="s">
        <v>745</v>
      </c>
      <c r="B19" s="575">
        <f>M17+J17</f>
        <v>46405</v>
      </c>
      <c r="C19" s="576">
        <f t="shared" ref="C19" si="43">YEAR(B19)</f>
        <v>2027</v>
      </c>
      <c r="D19" s="577">
        <v>46261</v>
      </c>
      <c r="E19" s="578"/>
      <c r="F19" s="579">
        <f t="shared" ref="F19" ca="1" si="44">IF((TODAY()-D19)/7&gt;S19,S19,(TODAY()-D19)/7)</f>
        <v>4.7142857142857144</v>
      </c>
      <c r="G19" s="579">
        <v>900</v>
      </c>
      <c r="H19" s="580" t="s">
        <v>769</v>
      </c>
      <c r="I19" s="581">
        <v>14000</v>
      </c>
      <c r="J19" s="574"/>
      <c r="K19" s="574">
        <f t="shared" ref="K19" si="45">B22-M19</f>
        <v>-46380</v>
      </c>
      <c r="L19" s="590" t="s">
        <v>747</v>
      </c>
      <c r="M19" s="591">
        <f t="shared" ref="M19" si="46">D19+(17*7)</f>
        <v>46380</v>
      </c>
      <c r="N19" s="591">
        <f t="shared" ref="N19" si="47">D19+22*7</f>
        <v>46415</v>
      </c>
      <c r="O19" s="592"/>
      <c r="P19" s="593">
        <v>900</v>
      </c>
      <c r="Q19" s="594" t="s">
        <v>773</v>
      </c>
      <c r="R19" s="595">
        <f t="shared" ref="R19" si="48">I19*0.955</f>
        <v>13370</v>
      </c>
      <c r="S19" s="596">
        <f t="shared" ref="S19" si="49">D19+(T19*7)-1</f>
        <v>46841</v>
      </c>
      <c r="T19" s="597">
        <v>83</v>
      </c>
      <c r="U19" s="598"/>
      <c r="V19" s="599">
        <f t="shared" ref="V19" si="50">IFERROR(S19+U19," ")</f>
        <v>46841</v>
      </c>
    </row>
    <row r="20" spans="1:22">
      <c r="A20" s="1146"/>
      <c r="B20" s="1145"/>
      <c r="C20" s="1146"/>
      <c r="D20" s="1146"/>
      <c r="E20" s="1167"/>
      <c r="F20" s="1146"/>
      <c r="G20" s="1146"/>
      <c r="H20" s="1146"/>
      <c r="I20" s="1146"/>
      <c r="J20" s="1146"/>
      <c r="K20" s="1146"/>
      <c r="L20" s="1146"/>
      <c r="M20"/>
      <c r="N20" s="2"/>
      <c r="O20" s="2"/>
      <c r="P20"/>
      <c r="Q20"/>
      <c r="R20"/>
      <c r="S20" s="1146"/>
      <c r="T20" s="1146"/>
      <c r="U20" s="1146"/>
      <c r="V20" s="1146"/>
    </row>
    <row r="21" spans="1:22">
      <c r="A21" s="1146"/>
      <c r="B21" s="1145"/>
      <c r="C21" s="1146"/>
      <c r="D21" s="1146"/>
      <c r="E21" s="1167"/>
      <c r="F21" s="1146"/>
      <c r="G21" s="1146"/>
      <c r="H21" s="1146"/>
      <c r="I21" s="1146"/>
      <c r="J21" s="1146"/>
      <c r="K21" s="1146"/>
      <c r="L21" s="1146"/>
      <c r="M21"/>
      <c r="N21" s="2"/>
      <c r="O21" s="2"/>
      <c r="P21"/>
      <c r="Q21"/>
      <c r="R21"/>
      <c r="S21" s="1146"/>
      <c r="T21" s="1146"/>
      <c r="U21" s="1146"/>
      <c r="V21" s="1146"/>
    </row>
    <row r="22" spans="1:22">
      <c r="A22" s="1146"/>
      <c r="B22" s="1145"/>
      <c r="C22" s="1146"/>
      <c r="D22" s="1146"/>
      <c r="E22" s="1167"/>
      <c r="F22" s="1146"/>
      <c r="G22" s="1146"/>
      <c r="H22"/>
      <c r="I22"/>
      <c r="J22"/>
      <c r="K22"/>
      <c r="L22"/>
      <c r="M22"/>
      <c r="N22" s="2"/>
      <c r="O22" s="2"/>
      <c r="P22"/>
      <c r="Q22"/>
      <c r="R22"/>
      <c r="S22" s="1146"/>
      <c r="T22" s="1146"/>
      <c r="U22" s="1146"/>
      <c r="V22" s="1146"/>
    </row>
    <row r="23" spans="1:22">
      <c r="A23" s="1146"/>
      <c r="B23" s="1145"/>
      <c r="C23" s="1146"/>
      <c r="D23" s="1146"/>
      <c r="E23" s="1167"/>
      <c r="F23" s="1146"/>
      <c r="G23" s="1146"/>
      <c r="H23"/>
      <c r="I23"/>
      <c r="J23"/>
      <c r="K23"/>
      <c r="L23"/>
      <c r="M23"/>
      <c r="N23" s="2"/>
      <c r="O23" s="2"/>
      <c r="P23"/>
      <c r="Q23"/>
      <c r="R23"/>
      <c r="S23" s="1146"/>
      <c r="T23" s="1146"/>
      <c r="U23" s="1146"/>
      <c r="V23" s="1146"/>
    </row>
    <row r="24" spans="1:22">
      <c r="A24" s="1146"/>
      <c r="B24" s="1146"/>
      <c r="C24" s="1146"/>
      <c r="D24" s="1146"/>
      <c r="E24"/>
      <c r="F24"/>
      <c r="G24"/>
      <c r="H24"/>
      <c r="I24"/>
      <c r="J24"/>
      <c r="K24" s="2"/>
      <c r="L24" s="2"/>
      <c r="M24"/>
      <c r="N24"/>
      <c r="O24"/>
      <c r="P24" s="1146"/>
      <c r="Q24" s="1146"/>
      <c r="R24" s="1146"/>
      <c r="S24" s="1146"/>
      <c r="T24" s="1146"/>
      <c r="U24" s="1146"/>
      <c r="V24" s="1146"/>
    </row>
    <row r="25" spans="1:22">
      <c r="A25" s="1146"/>
      <c r="B25" s="1146"/>
      <c r="C25" s="1146"/>
      <c r="D25" s="1146"/>
      <c r="E25"/>
      <c r="F25"/>
      <c r="G25"/>
      <c r="H25"/>
      <c r="I25"/>
      <c r="J25"/>
      <c r="K25" s="2"/>
      <c r="L25" s="2"/>
      <c r="M25"/>
      <c r="N25"/>
      <c r="O25"/>
      <c r="P25" s="1146"/>
      <c r="Q25" s="1146"/>
      <c r="R25" s="1146"/>
      <c r="S25" s="1146"/>
      <c r="T25" s="1146"/>
      <c r="U25" s="1146"/>
      <c r="V25" s="1146"/>
    </row>
    <row r="26" spans="1:22">
      <c r="A26" s="1146"/>
      <c r="B26" s="1146"/>
      <c r="C26" s="1146"/>
      <c r="D26" s="1146"/>
      <c r="E26"/>
      <c r="F26"/>
      <c r="G26"/>
      <c r="H26"/>
      <c r="I26"/>
      <c r="J26"/>
      <c r="K26" s="2"/>
      <c r="L26" s="2"/>
      <c r="M26"/>
      <c r="N26"/>
      <c r="O26"/>
      <c r="P26" s="1146"/>
      <c r="Q26" s="1146"/>
      <c r="R26" s="1146"/>
      <c r="S26" s="1146"/>
      <c r="T26" s="1146"/>
      <c r="U26" s="1146"/>
      <c r="V26" s="1146"/>
    </row>
    <row r="27" spans="1:22">
      <c r="A27" s="1146"/>
      <c r="B27" s="1146"/>
      <c r="C27" s="1146"/>
      <c r="D27" s="1146"/>
      <c r="E27"/>
      <c r="F27" s="4"/>
      <c r="G27" s="2"/>
      <c r="H27" s="2"/>
      <c r="I27" s="2"/>
      <c r="J27" s="2"/>
      <c r="K27" s="2"/>
      <c r="L27" s="2"/>
      <c r="M27"/>
      <c r="N27"/>
      <c r="O27"/>
      <c r="P27" s="1146"/>
      <c r="Q27" s="1146"/>
      <c r="R27" s="1146"/>
      <c r="S27" s="1146"/>
      <c r="T27" s="1146"/>
      <c r="U27" s="1146"/>
      <c r="V27" s="1146"/>
    </row>
    <row r="28" spans="1:22">
      <c r="A28" s="1146"/>
      <c r="B28" s="1146"/>
      <c r="C28" s="1146"/>
      <c r="D28" s="1146"/>
      <c r="E28"/>
      <c r="F28" s="4"/>
      <c r="G28" s="2"/>
      <c r="H28" s="2"/>
      <c r="I28" s="2"/>
      <c r="J28" s="2"/>
      <c r="K28" s="2"/>
      <c r="L28" s="2"/>
      <c r="M28"/>
      <c r="N28"/>
      <c r="O28"/>
      <c r="P28" s="1146"/>
      <c r="Q28" s="1146"/>
      <c r="R28" s="1146"/>
      <c r="S28" s="1146"/>
      <c r="T28" s="1146"/>
      <c r="U28" s="1146"/>
      <c r="V28" s="1146"/>
    </row>
    <row r="29" spans="1:22">
      <c r="A29" s="1146"/>
      <c r="B29" s="1146"/>
      <c r="C29" s="1146"/>
      <c r="D29" s="1146"/>
      <c r="E29"/>
      <c r="F29" s="4"/>
      <c r="G29" s="2"/>
      <c r="H29" s="2"/>
      <c r="I29" s="2"/>
      <c r="J29" s="2"/>
      <c r="K29" s="2"/>
      <c r="L29" s="2"/>
      <c r="M29"/>
      <c r="N29"/>
      <c r="O29"/>
      <c r="P29" s="1146"/>
      <c r="Q29" s="1146"/>
      <c r="R29" s="1146"/>
      <c r="S29" s="1146"/>
      <c r="T29" s="1146"/>
      <c r="U29" s="1146"/>
      <c r="V29" s="1146"/>
    </row>
    <row r="30" spans="1:22">
      <c r="A30" s="1146"/>
      <c r="B30" s="1146"/>
      <c r="C30" s="1146"/>
      <c r="D30" s="1146"/>
      <c r="E30" s="1146"/>
      <c r="F30" s="1146"/>
      <c r="G30" s="1146"/>
      <c r="H30" s="1146"/>
      <c r="I30" s="1146"/>
      <c r="J30" s="1146"/>
      <c r="K30" s="1146"/>
      <c r="L30" s="1146"/>
      <c r="M30"/>
      <c r="N30"/>
      <c r="O30"/>
      <c r="P30" s="1146"/>
      <c r="Q30" s="1146"/>
      <c r="R30" s="1146"/>
      <c r="S30" s="1146"/>
      <c r="T30" s="1146"/>
      <c r="U30" s="1146"/>
      <c r="V30" s="1146"/>
    </row>
    <row r="31" spans="1:22">
      <c r="A31" s="1146"/>
      <c r="B31" s="1146"/>
      <c r="C31" s="1146"/>
      <c r="D31" s="1146"/>
      <c r="E31" s="1146"/>
      <c r="F31" s="1146"/>
      <c r="G31" s="1146"/>
      <c r="H31" s="1146"/>
      <c r="I31" s="1146"/>
      <c r="J31" s="1146"/>
      <c r="K31" s="1146"/>
      <c r="L31" s="1146"/>
      <c r="M31"/>
      <c r="N31"/>
      <c r="O31"/>
      <c r="P31" s="1146"/>
      <c r="Q31" s="1146"/>
      <c r="R31" s="1146"/>
      <c r="S31" s="1146"/>
      <c r="T31" s="1146"/>
      <c r="U31" s="1146"/>
      <c r="V31" s="1146"/>
    </row>
    <row r="32" spans="1:22" ht="17.399999999999999">
      <c r="A32" s="1146"/>
      <c r="B32" s="1146"/>
      <c r="C32" s="1146"/>
      <c r="D32" s="1146"/>
      <c r="E32" s="1146"/>
      <c r="F32" s="1146"/>
      <c r="G32" s="1146"/>
      <c r="H32" s="250" t="s">
        <v>774</v>
      </c>
      <c r="I32" s="250" t="s">
        <v>264</v>
      </c>
      <c r="J32" s="112"/>
      <c r="K32" s="112"/>
      <c r="L32" s="112"/>
      <c r="M32"/>
      <c r="N32"/>
      <c r="O32"/>
      <c r="P32" s="1146"/>
      <c r="Q32" s="1146"/>
      <c r="R32" s="1146"/>
      <c r="S32" s="1146"/>
      <c r="T32" s="1146"/>
      <c r="U32" s="1146"/>
      <c r="V32" s="1146"/>
    </row>
    <row r="33" spans="8:15" ht="17.399999999999999">
      <c r="H33" s="250" t="s">
        <v>265</v>
      </c>
      <c r="I33" s="112">
        <v>2024</v>
      </c>
      <c r="J33" s="112">
        <v>2025</v>
      </c>
      <c r="K33" s="112">
        <v>2026</v>
      </c>
      <c r="L33" s="112">
        <v>2027</v>
      </c>
      <c r="M33"/>
      <c r="N33"/>
      <c r="O33"/>
    </row>
    <row r="34" spans="8:15" ht="17.399999999999999">
      <c r="H34" s="251" t="s">
        <v>747</v>
      </c>
      <c r="I34" s="256">
        <v>16053</v>
      </c>
      <c r="J34" s="256">
        <v>38800</v>
      </c>
      <c r="K34" s="256">
        <v>21200</v>
      </c>
      <c r="L34" s="256">
        <v>14000</v>
      </c>
      <c r="M34"/>
      <c r="N34" s="1146"/>
      <c r="O34" s="1146"/>
    </row>
    <row r="35" spans="8:15" ht="17.399999999999999">
      <c r="H35" s="251" t="s">
        <v>753</v>
      </c>
      <c r="I35" s="256">
        <v>8208</v>
      </c>
      <c r="J35" s="256">
        <v>11442</v>
      </c>
      <c r="K35" s="256">
        <v>13000</v>
      </c>
      <c r="L35" s="256">
        <v>7000</v>
      </c>
      <c r="M35"/>
      <c r="N35" s="1146"/>
      <c r="O35" s="1146"/>
    </row>
    <row r="36" spans="8:15" ht="17.399999999999999">
      <c r="H36" s="251" t="s">
        <v>282</v>
      </c>
      <c r="I36" s="256">
        <v>24261</v>
      </c>
      <c r="J36" s="256">
        <v>50242</v>
      </c>
      <c r="K36" s="256">
        <v>34200</v>
      </c>
      <c r="L36" s="256">
        <v>21000</v>
      </c>
      <c r="M36" s="1146"/>
      <c r="N36" s="1146"/>
      <c r="O36" s="1146"/>
    </row>
  </sheetData>
  <sheetProtection formatColumns="0" autoFilter="0"/>
  <pageMargins left="0.51181102362204722" right="0.51181102362204722" top="0.78740157480314965" bottom="0.78740157480314965" header="0.31496062992125984" footer="0.31496062992125984"/>
  <pageSetup paperSize="9" scale="93" orientation="landscape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1415-1FBB-4093-935A-0CDB3D03C346}">
  <sheetPr codeName="Planilha2">
    <tabColor rgb="FF7030A0"/>
    <pageSetUpPr fitToPage="1"/>
  </sheetPr>
  <dimension ref="A1:X96"/>
  <sheetViews>
    <sheetView showGridLines="0" zoomScale="70" zoomScaleNormal="70" workbookViewId="0">
      <pane xSplit="1" ySplit="1" topLeftCell="B2" activePane="bottomRight" state="frozen"/>
      <selection pane="topRight" activeCell="H260" sqref="H260"/>
      <selection pane="bottomLeft" activeCell="H260" sqref="H260"/>
      <selection pane="bottomRight" activeCell="H41" sqref="H41"/>
    </sheetView>
  </sheetViews>
  <sheetFormatPr defaultColWidth="18.09765625" defaultRowHeight="15.6"/>
  <cols>
    <col min="1" max="1" width="22.59765625" style="81" bestFit="1" customWidth="1"/>
    <col min="2" max="2" width="19.3984375" style="81" bestFit="1" customWidth="1"/>
    <col min="3" max="3" width="21.09765625" style="81" bestFit="1" customWidth="1"/>
    <col min="4" max="4" width="11.8984375" style="81" bestFit="1" customWidth="1"/>
    <col min="5" max="5" width="13" style="81" bestFit="1" customWidth="1"/>
    <col min="6" max="6" width="16.09765625" style="81" bestFit="1" customWidth="1"/>
    <col min="7" max="7" width="17.69921875" style="81" bestFit="1" customWidth="1"/>
    <col min="8" max="8" width="14.69921875" style="81" bestFit="1" customWidth="1"/>
    <col min="9" max="9" width="12.69921875" style="81" bestFit="1" customWidth="1"/>
    <col min="10" max="10" width="13.09765625" style="81" bestFit="1" customWidth="1"/>
    <col min="11" max="11" width="9.8984375" style="81" bestFit="1" customWidth="1"/>
    <col min="12" max="12" width="18.09765625" style="81" bestFit="1" customWidth="1"/>
    <col min="13" max="13" width="26.8984375" style="81" bestFit="1" customWidth="1"/>
    <col min="14" max="14" width="17.8984375" style="81" customWidth="1"/>
    <col min="15" max="15" width="13.09765625" style="81" bestFit="1" customWidth="1"/>
    <col min="16" max="16" width="17.3984375" style="81" bestFit="1" customWidth="1"/>
    <col min="17" max="17" width="19.09765625" style="81" bestFit="1" customWidth="1"/>
    <col min="18" max="18" width="16" style="81" bestFit="1" customWidth="1"/>
    <col min="19" max="19" width="14" style="81" bestFit="1" customWidth="1"/>
    <col min="20" max="20" width="18.8984375" style="81" bestFit="1" customWidth="1"/>
    <col min="21" max="21" width="13.09765625" style="81" bestFit="1" customWidth="1"/>
    <col min="22" max="22" width="11.09765625" style="81" bestFit="1" customWidth="1"/>
    <col min="23" max="23" width="17.8984375" style="81" bestFit="1" customWidth="1"/>
    <col min="24" max="16384" width="18.09765625" style="81"/>
  </cols>
  <sheetData>
    <row r="1" spans="1:24" s="454" customFormat="1" ht="18.75" customHeight="1">
      <c r="A1" s="448" t="s">
        <v>0</v>
      </c>
      <c r="B1" s="448" t="s">
        <v>1</v>
      </c>
      <c r="C1" s="448" t="s">
        <v>2</v>
      </c>
      <c r="D1" s="448" t="s">
        <v>3</v>
      </c>
      <c r="E1" s="448" t="s">
        <v>362</v>
      </c>
      <c r="F1" s="449" t="s">
        <v>5</v>
      </c>
      <c r="G1" s="448" t="s">
        <v>6</v>
      </c>
      <c r="H1" s="448" t="s">
        <v>7</v>
      </c>
      <c r="I1" s="448" t="s">
        <v>8</v>
      </c>
      <c r="J1" s="448" t="s">
        <v>9</v>
      </c>
      <c r="K1" s="448" t="s">
        <v>10</v>
      </c>
      <c r="L1" s="448" t="s">
        <v>11</v>
      </c>
      <c r="M1" s="448" t="s">
        <v>12</v>
      </c>
      <c r="N1" s="450" t="s">
        <v>13</v>
      </c>
      <c r="O1" s="448" t="s">
        <v>3</v>
      </c>
      <c r="P1" s="449" t="s">
        <v>5</v>
      </c>
      <c r="Q1" s="448" t="s">
        <v>775</v>
      </c>
      <c r="R1" s="448" t="s">
        <v>7</v>
      </c>
      <c r="S1" s="451" t="s">
        <v>8</v>
      </c>
      <c r="T1" s="448" t="s">
        <v>14</v>
      </c>
      <c r="U1" s="448" t="s">
        <v>15</v>
      </c>
      <c r="V1" s="452" t="s">
        <v>10</v>
      </c>
      <c r="W1" s="453" t="s">
        <v>16</v>
      </c>
    </row>
    <row r="2" spans="1:24" ht="16.2">
      <c r="A2" s="82" t="s">
        <v>220</v>
      </c>
      <c r="B2" s="88">
        <v>45821</v>
      </c>
      <c r="C2" s="87">
        <v>45820</v>
      </c>
      <c r="D2" s="165" t="s">
        <v>776</v>
      </c>
      <c r="E2" s="165">
        <f t="shared" ref="E2:E26" ca="1" si="0">IF((TODAY()-C2)/7&gt;T2,T2,(TODAY()-C2)/7)</f>
        <v>67.714285714285708</v>
      </c>
      <c r="F2" s="85" t="str">
        <f>IFERROR(VLOOKUP(G2,Recria[[Granja Recria]:[Emp+CC]],4,0),"")</f>
        <v>12_122</v>
      </c>
      <c r="G2" s="166" t="s">
        <v>777</v>
      </c>
      <c r="H2" s="511" t="str">
        <f>IFERROR(VLOOKUP(G2,Recria[[Granja Recria]:[Núcleo]],2,0),"")</f>
        <v>(N1)</v>
      </c>
      <c r="I2" s="83">
        <v>54000</v>
      </c>
      <c r="J2" s="82" t="s">
        <v>20</v>
      </c>
      <c r="K2" s="181">
        <f>B6-N2</f>
        <v>15</v>
      </c>
      <c r="L2" s="807" t="s">
        <v>285</v>
      </c>
      <c r="M2" s="803" t="s">
        <v>26</v>
      </c>
      <c r="N2" s="445">
        <f t="shared" ref="N2:N16" si="1">C2+(21*7)</f>
        <v>45967</v>
      </c>
      <c r="O2" s="309">
        <v>530025</v>
      </c>
      <c r="P2" s="167" t="str">
        <f>IFERROR(VLOOKUP(Q2,Producao[[Granja Produção]:[Emp+CC]],4,0),"")</f>
        <v>18_95</v>
      </c>
      <c r="Q2" s="537" t="s">
        <v>778</v>
      </c>
      <c r="R2" s="167" t="str">
        <f>IFERROR(VLOOKUP(Q2,Producao[[Granja Produção]:[Núcleo]],2,0),"")</f>
        <v>(N1)</v>
      </c>
      <c r="S2" s="83">
        <v>52605</v>
      </c>
      <c r="T2" s="103">
        <f t="shared" ref="T2:T26" si="2">C2+(U2*7)-1</f>
        <v>46309</v>
      </c>
      <c r="U2" s="104">
        <v>70</v>
      </c>
      <c r="V2" s="105">
        <f>N12-T2</f>
        <v>50</v>
      </c>
      <c r="W2" s="106">
        <f t="shared" ref="W2:W16" si="3">IFERROR(T2+V2," ")</f>
        <v>46359</v>
      </c>
    </row>
    <row r="3" spans="1:24" ht="16.2">
      <c r="A3" s="82" t="s">
        <v>220</v>
      </c>
      <c r="B3" s="88">
        <v>45846</v>
      </c>
      <c r="C3" s="87">
        <v>45848</v>
      </c>
      <c r="D3" s="110" t="s">
        <v>779</v>
      </c>
      <c r="E3" s="110">
        <f t="shared" ca="1" si="0"/>
        <v>63.714285714285715</v>
      </c>
      <c r="F3" s="85" t="str">
        <f>IFERROR(VLOOKUP(G3,Recria[[Granja Recria]:[Emp+CC]],4,0),"")</f>
        <v>12_99</v>
      </c>
      <c r="G3" s="84" t="s">
        <v>221</v>
      </c>
      <c r="H3" s="484" t="str">
        <f>IFERROR(VLOOKUP(G3,Recria[[Granja Recria]:[Núcleo]],2,0),"")</f>
        <v>(N3)</v>
      </c>
      <c r="I3" s="83">
        <v>54000</v>
      </c>
      <c r="J3" s="82" t="s">
        <v>20</v>
      </c>
      <c r="K3" s="85">
        <f>B7-N3</f>
        <v>19</v>
      </c>
      <c r="L3" s="807" t="s">
        <v>285</v>
      </c>
      <c r="M3" s="803" t="s">
        <v>26</v>
      </c>
      <c r="N3" s="445">
        <f t="shared" si="1"/>
        <v>45995</v>
      </c>
      <c r="O3" s="309">
        <v>530125</v>
      </c>
      <c r="P3" s="167" t="str">
        <f>IFERROR(VLOOKUP(Q3,Producao[[Granja Produção]:[Emp+CC]],4,0),"")</f>
        <v>10_280</v>
      </c>
      <c r="Q3" s="537" t="s">
        <v>780</v>
      </c>
      <c r="R3" s="167" t="str">
        <f>IFERROR(VLOOKUP(Q3,Producao[[Granja Produção]:[Núcleo]],2,0),"")</f>
        <v>(N1)</v>
      </c>
      <c r="S3" s="83">
        <v>52406</v>
      </c>
      <c r="T3" s="1261">
        <f t="shared" si="2"/>
        <v>46239</v>
      </c>
      <c r="U3" s="1262">
        <v>56</v>
      </c>
      <c r="V3" s="1263">
        <f>N11-T3</f>
        <v>85</v>
      </c>
      <c r="W3" s="1264">
        <f t="shared" si="3"/>
        <v>46324</v>
      </c>
    </row>
    <row r="4" spans="1:24" ht="16.2">
      <c r="A4" s="82" t="s">
        <v>220</v>
      </c>
      <c r="B4" s="88">
        <v>45877</v>
      </c>
      <c r="C4" s="87">
        <v>45876</v>
      </c>
      <c r="D4" s="110" t="s">
        <v>781</v>
      </c>
      <c r="E4" s="110">
        <f t="shared" ca="1" si="0"/>
        <v>59.714285714285715</v>
      </c>
      <c r="F4" s="85" t="str">
        <f>IFERROR(VLOOKUP(G4,Recria[[Granja Recria]:[Emp+CC]],4,0),"")</f>
        <v>12_98</v>
      </c>
      <c r="G4" s="84" t="s">
        <v>782</v>
      </c>
      <c r="H4" s="484" t="str">
        <f>IFERROR(VLOOKUP(G4,Recria[[Granja Recria]:[Núcleo]],2,0),"")</f>
        <v>(N4)</v>
      </c>
      <c r="I4" s="83">
        <v>54000</v>
      </c>
      <c r="J4" s="82" t="s">
        <v>60</v>
      </c>
      <c r="K4" s="278">
        <v>34</v>
      </c>
      <c r="L4" s="803" t="s">
        <v>283</v>
      </c>
      <c r="M4" s="803" t="s">
        <v>112</v>
      </c>
      <c r="N4" s="445">
        <f t="shared" si="1"/>
        <v>46023</v>
      </c>
      <c r="O4" s="309">
        <v>530026</v>
      </c>
      <c r="P4" s="167" t="str">
        <f>IFERROR(VLOOKUP(Q4,Producao[[Granja Produção]:[Emp+CC]],4,0),"")</f>
        <v>11_134</v>
      </c>
      <c r="Q4" s="537" t="s">
        <v>783</v>
      </c>
      <c r="R4" s="167" t="str">
        <f>IFERROR(VLOOKUP(Q4,Producao[[Granja Produção]:[Núcleo]],2,0),"")</f>
        <v>(N1)</v>
      </c>
      <c r="S4" s="83">
        <v>51811</v>
      </c>
      <c r="T4" s="103">
        <f t="shared" si="2"/>
        <v>46351</v>
      </c>
      <c r="U4" s="104">
        <v>68</v>
      </c>
      <c r="V4" s="105">
        <f t="shared" ref="V4:V16" si="4">N13-T4</f>
        <v>64</v>
      </c>
      <c r="W4" s="106">
        <f t="shared" si="3"/>
        <v>46415</v>
      </c>
    </row>
    <row r="5" spans="1:24" ht="16.2">
      <c r="A5" s="82" t="s">
        <v>220</v>
      </c>
      <c r="B5" s="88">
        <v>45931</v>
      </c>
      <c r="C5" s="87">
        <v>45932</v>
      </c>
      <c r="D5" s="309">
        <v>500025</v>
      </c>
      <c r="E5" s="110">
        <f t="shared" ca="1" si="0"/>
        <v>51.714285714285715</v>
      </c>
      <c r="F5" s="85" t="str">
        <f>IFERROR(VLOOKUP(G5,Recria[[Granja Recria]:[Emp+CC]],4,0),"")</f>
        <v>12_100</v>
      </c>
      <c r="G5" s="84" t="s">
        <v>784</v>
      </c>
      <c r="H5" s="484" t="str">
        <f>IFERROR(VLOOKUP(G5,Recria[[Granja Recria]:[Núcleo]],2,0),"")</f>
        <v>(N2)</v>
      </c>
      <c r="I5" s="83">
        <v>54000</v>
      </c>
      <c r="J5" s="82" t="s">
        <v>45</v>
      </c>
      <c r="K5" s="278">
        <v>49</v>
      </c>
      <c r="L5" s="803" t="s">
        <v>283</v>
      </c>
      <c r="M5" s="803" t="s">
        <v>169</v>
      </c>
      <c r="N5" s="101">
        <f t="shared" si="1"/>
        <v>46079</v>
      </c>
      <c r="O5" s="304">
        <v>530126</v>
      </c>
      <c r="P5" s="100" t="str">
        <f>IFERROR(VLOOKUP(Q5,Producao[[Granja Produção]:[Emp+CC]],4,0),"")</f>
        <v>6_205</v>
      </c>
      <c r="Q5" s="102" t="s">
        <v>785</v>
      </c>
      <c r="R5" s="100" t="str">
        <f>IFERROR(VLOOKUP(Q5,Producao[[Granja Produção]:[Núcleo]],2,0),"")</f>
        <v>(N1)</v>
      </c>
      <c r="S5" s="99">
        <v>49955</v>
      </c>
      <c r="T5" s="103">
        <f t="shared" si="2"/>
        <v>46400</v>
      </c>
      <c r="U5" s="104">
        <v>67</v>
      </c>
      <c r="V5" s="105">
        <f t="shared" si="4"/>
        <v>69</v>
      </c>
      <c r="W5" s="106">
        <f t="shared" si="3"/>
        <v>46469</v>
      </c>
    </row>
    <row r="6" spans="1:24" ht="16.2">
      <c r="A6" s="82" t="s">
        <v>220</v>
      </c>
      <c r="B6" s="88">
        <v>45982</v>
      </c>
      <c r="C6" s="87">
        <v>45981</v>
      </c>
      <c r="D6" s="309">
        <v>500125</v>
      </c>
      <c r="E6" s="110">
        <f t="shared" ca="1" si="0"/>
        <v>44.714285714285715</v>
      </c>
      <c r="F6" s="85" t="str">
        <f>IFERROR(VLOOKUP(G6,Recria[[Granja Recria]:[Emp+CC]],4,0),"")</f>
        <v>12_122</v>
      </c>
      <c r="G6" s="84" t="s">
        <v>777</v>
      </c>
      <c r="H6" s="484" t="str">
        <f>IFERROR(VLOOKUP(G6,Recria[[Granja Recria]:[Núcleo]],2,0),"")</f>
        <v>(N1)</v>
      </c>
      <c r="I6" s="83">
        <v>54000</v>
      </c>
      <c r="J6" s="82" t="s">
        <v>45</v>
      </c>
      <c r="K6" s="278">
        <v>48</v>
      </c>
      <c r="L6" s="807" t="str">
        <f>VLOOKUP(M6,Raca_Linhagem[],2,0)</f>
        <v>ROSS</v>
      </c>
      <c r="M6" s="803" t="s">
        <v>26</v>
      </c>
      <c r="N6" s="101">
        <f t="shared" si="1"/>
        <v>46128</v>
      </c>
      <c r="O6" s="304">
        <v>530226</v>
      </c>
      <c r="P6" s="100" t="str">
        <f>IFERROR(VLOOKUP(Q6,Producao[[Granja Produção]:[Emp+CC]],4,0),"")</f>
        <v>20_204</v>
      </c>
      <c r="Q6" s="102" t="s">
        <v>786</v>
      </c>
      <c r="R6" s="100" t="str">
        <f>IFERROR(VLOOKUP(Q6,Producao[[Granja Produção]:[Núcleo]],2,0),"")</f>
        <v>(N1)</v>
      </c>
      <c r="S6" s="99">
        <v>52268</v>
      </c>
      <c r="T6" s="103">
        <f t="shared" si="2"/>
        <v>46442</v>
      </c>
      <c r="U6" s="104">
        <v>66</v>
      </c>
      <c r="V6" s="105">
        <f t="shared" si="4"/>
        <v>58</v>
      </c>
      <c r="W6" s="106">
        <f t="shared" si="3"/>
        <v>46500</v>
      </c>
    </row>
    <row r="7" spans="1:24" ht="16.2">
      <c r="A7" s="82" t="s">
        <v>220</v>
      </c>
      <c r="B7" s="88">
        <v>46014</v>
      </c>
      <c r="C7" s="87">
        <v>46016</v>
      </c>
      <c r="D7" s="309">
        <v>500225</v>
      </c>
      <c r="E7" s="110">
        <f t="shared" ca="1" si="0"/>
        <v>39.714285714285715</v>
      </c>
      <c r="F7" s="85" t="str">
        <f>IFERROR(VLOOKUP(G7,Recria[[Granja Recria]:[Emp+CC]],4,0),"")</f>
        <v>12_99</v>
      </c>
      <c r="G7" s="84" t="s">
        <v>221</v>
      </c>
      <c r="H7" s="484" t="str">
        <f>IFERROR(VLOOKUP(G7,Recria[[Granja Recria]:[Núcleo]],2,0),"")</f>
        <v>(N3)</v>
      </c>
      <c r="I7" s="83">
        <v>54000</v>
      </c>
      <c r="J7" s="82" t="s">
        <v>45</v>
      </c>
      <c r="K7" s="278">
        <v>50</v>
      </c>
      <c r="L7" s="807" t="str">
        <f>VLOOKUP(M7,Raca_Linhagem[],2,0)</f>
        <v>COBB</v>
      </c>
      <c r="M7" s="803" t="s">
        <v>21</v>
      </c>
      <c r="N7" s="101">
        <f t="shared" si="1"/>
        <v>46163</v>
      </c>
      <c r="O7" s="304">
        <v>530326</v>
      </c>
      <c r="P7" s="100" t="str">
        <f>IFERROR(VLOOKUP(Q7,Producao[[Granja Produção]:[Emp+CC]],4,0),"")</f>
        <v>10_34</v>
      </c>
      <c r="Q7" s="537" t="s">
        <v>223</v>
      </c>
      <c r="R7" s="100" t="str">
        <f>IFERROR(VLOOKUP(Q7,Producao[[Granja Produção]:[Núcleo]],2,0),"")</f>
        <v>(N1)</v>
      </c>
      <c r="S7" s="99">
        <v>26247</v>
      </c>
      <c r="T7" s="103">
        <f t="shared" si="2"/>
        <v>46477</v>
      </c>
      <c r="U7" s="104">
        <v>66</v>
      </c>
      <c r="V7" s="105">
        <f t="shared" si="4"/>
        <v>50</v>
      </c>
      <c r="W7" s="106">
        <f t="shared" si="3"/>
        <v>46527</v>
      </c>
    </row>
    <row r="8" spans="1:24" ht="16.2">
      <c r="A8" s="82" t="s">
        <v>220</v>
      </c>
      <c r="B8" s="88">
        <v>46014</v>
      </c>
      <c r="C8" s="87">
        <v>46016</v>
      </c>
      <c r="D8" s="309">
        <v>500225</v>
      </c>
      <c r="E8" s="110">
        <f t="shared" ca="1" si="0"/>
        <v>39.714285714285715</v>
      </c>
      <c r="F8" s="85" t="str">
        <f>IFERROR(VLOOKUP(G8,Recria[[Granja Recria]:[Emp+CC]],4,0),"")</f>
        <v>12_99</v>
      </c>
      <c r="G8" s="84" t="s">
        <v>221</v>
      </c>
      <c r="H8" s="484" t="str">
        <f>IFERROR(VLOOKUP(G8,Recria[[Granja Recria]:[Núcleo]],2,0),"")</f>
        <v>(N3)</v>
      </c>
      <c r="I8" s="83">
        <v>0</v>
      </c>
      <c r="J8" s="82" t="s">
        <v>45</v>
      </c>
      <c r="K8" s="278">
        <v>36</v>
      </c>
      <c r="L8" s="807" t="str">
        <f>VLOOKUP(M8,Raca_Linhagem[],2,0)</f>
        <v>COBB</v>
      </c>
      <c r="M8" s="803" t="s">
        <v>21</v>
      </c>
      <c r="N8" s="101">
        <f t="shared" si="1"/>
        <v>46163</v>
      </c>
      <c r="O8" s="304">
        <v>530426</v>
      </c>
      <c r="P8" s="100" t="str">
        <f>IFERROR(VLOOKUP(Q8,Producao[[Granja Produção]:[Emp+CC]],4,0),"")</f>
        <v>19_362</v>
      </c>
      <c r="Q8" s="102" t="s">
        <v>787</v>
      </c>
      <c r="R8" s="100" t="str">
        <f>IFERROR(VLOOKUP(Q8,Producao[[Granja Produção]:[Núcleo]],2,0),"")</f>
        <v>(N1)</v>
      </c>
      <c r="S8" s="99">
        <v>26000</v>
      </c>
      <c r="T8" s="103">
        <f t="shared" si="2"/>
        <v>46477</v>
      </c>
      <c r="U8" s="104">
        <v>66</v>
      </c>
      <c r="V8" s="105">
        <f t="shared" si="4"/>
        <v>50</v>
      </c>
      <c r="W8" s="106">
        <f t="shared" si="3"/>
        <v>46527</v>
      </c>
    </row>
    <row r="9" spans="1:24" ht="16.2">
      <c r="A9" s="15" t="s">
        <v>220</v>
      </c>
      <c r="B9" s="443">
        <f>N4+K4</f>
        <v>46057</v>
      </c>
      <c r="C9" s="14">
        <v>46058</v>
      </c>
      <c r="D9" s="309">
        <v>500026</v>
      </c>
      <c r="E9" s="17">
        <f t="shared" ca="1" si="0"/>
        <v>33.714285714285715</v>
      </c>
      <c r="F9" s="17" t="str">
        <f>IFERROR(VLOOKUP(G9,Recria[[Granja Recria]:[Emp+CC]],4,0),"")</f>
        <v>12_98</v>
      </c>
      <c r="G9" s="296" t="s">
        <v>782</v>
      </c>
      <c r="H9" s="551" t="str">
        <f>IFERROR(VLOOKUP(G9,Recria[[Granja Recria]:[Núcleo]],2,0),"")</f>
        <v>(N4)</v>
      </c>
      <c r="I9" s="552">
        <v>54000</v>
      </c>
      <c r="J9" s="15" t="s">
        <v>45</v>
      </c>
      <c r="K9" s="15">
        <v>64</v>
      </c>
      <c r="L9" s="807" t="str">
        <f>VLOOKUP(M9,Raca_Linhagem[],2,0)</f>
        <v>HUBB</v>
      </c>
      <c r="M9" s="803" t="s">
        <v>242</v>
      </c>
      <c r="N9" s="139">
        <f t="shared" si="1"/>
        <v>46205</v>
      </c>
      <c r="O9" s="303">
        <v>530526</v>
      </c>
      <c r="P9" s="140" t="str">
        <f>IFERROR(VLOOKUP(Q9,Producao[[Granja Produção]:[Emp+CC]],4,0),"")</f>
        <v>21_207</v>
      </c>
      <c r="Q9" s="141" t="s">
        <v>788</v>
      </c>
      <c r="R9" s="140" t="str">
        <f>IFERROR(VLOOKUP(Q9,Producao[[Granja Produção]:[Núcleo]],2,0),"")</f>
        <v>(N1)</v>
      </c>
      <c r="S9" s="138">
        <f t="shared" ref="S9:S15" si="5">I9*0.955</f>
        <v>51570</v>
      </c>
      <c r="T9" s="142">
        <f t="shared" si="2"/>
        <v>46526</v>
      </c>
      <c r="U9" s="143">
        <v>67</v>
      </c>
      <c r="V9" s="105">
        <f t="shared" si="4"/>
        <v>62</v>
      </c>
      <c r="W9" s="145">
        <f t="shared" si="3"/>
        <v>46588</v>
      </c>
    </row>
    <row r="10" spans="1:24" ht="16.2">
      <c r="A10" s="15" t="s">
        <v>220</v>
      </c>
      <c r="B10" s="443">
        <f>N5+K5</f>
        <v>46128</v>
      </c>
      <c r="C10" s="14">
        <v>46128</v>
      </c>
      <c r="D10" s="309">
        <v>500126</v>
      </c>
      <c r="E10" s="17">
        <f t="shared" ca="1" si="0"/>
        <v>23.714285714285715</v>
      </c>
      <c r="F10" s="17" t="str">
        <f>IFERROR(VLOOKUP(G10,Recria[[Granja Recria]:[Emp+CC]],4,0),"")</f>
        <v>12_100</v>
      </c>
      <c r="G10" s="296" t="s">
        <v>784</v>
      </c>
      <c r="H10" s="551" t="str">
        <f>IFERROR(VLOOKUP(G10,Recria[[Granja Recria]:[Núcleo]],2,0),"")</f>
        <v>(N2)</v>
      </c>
      <c r="I10" s="552">
        <v>54000</v>
      </c>
      <c r="J10" s="15" t="s">
        <v>60</v>
      </c>
      <c r="K10" s="15">
        <v>47</v>
      </c>
      <c r="L10" s="807" t="str">
        <f>VLOOKUP(M10,Raca_Linhagem[],2,0)</f>
        <v>COBB</v>
      </c>
      <c r="M10" s="803" t="s">
        <v>21</v>
      </c>
      <c r="N10" s="139">
        <f t="shared" si="1"/>
        <v>46275</v>
      </c>
      <c r="O10" s="303">
        <v>530626</v>
      </c>
      <c r="P10" s="140" t="str">
        <f>IFERROR(VLOOKUP(Q10,Producao[[Granja Produção]:[Emp+CC]],4,0),"")</f>
        <v>14_94</v>
      </c>
      <c r="Q10" s="141" t="s">
        <v>789</v>
      </c>
      <c r="R10" s="140" t="str">
        <f>IFERROR(VLOOKUP(Q10,Producao[[Granja Produção]:[Núcleo]],2,0),"")</f>
        <v>(N1)</v>
      </c>
      <c r="S10" s="138">
        <f t="shared" si="5"/>
        <v>51570</v>
      </c>
      <c r="T10" s="142">
        <f t="shared" si="2"/>
        <v>46596</v>
      </c>
      <c r="U10" s="143">
        <v>67</v>
      </c>
      <c r="V10" s="105">
        <f t="shared" si="4"/>
        <v>70</v>
      </c>
      <c r="W10" s="145">
        <f t="shared" si="3"/>
        <v>46666</v>
      </c>
    </row>
    <row r="11" spans="1:24" ht="16.2">
      <c r="A11" s="15" t="s">
        <v>220</v>
      </c>
      <c r="B11" s="443">
        <f>N6+K6</f>
        <v>46176</v>
      </c>
      <c r="C11" s="14">
        <v>46177</v>
      </c>
      <c r="D11" s="1265" t="s">
        <v>790</v>
      </c>
      <c r="E11" s="17">
        <f t="shared" ca="1" si="0"/>
        <v>16.714285714285715</v>
      </c>
      <c r="F11" s="17" t="str">
        <f>IFERROR(VLOOKUP(G11,Recria[[Granja Recria]:[Emp+CC]],4,0),"")</f>
        <v>12_122</v>
      </c>
      <c r="G11" s="296" t="s">
        <v>777</v>
      </c>
      <c r="H11" s="551" t="str">
        <f>IFERROR(VLOOKUP(G11,Recria[[Granja Recria]:[Núcleo]],2,0),"")</f>
        <v>(N1)</v>
      </c>
      <c r="I11" s="552">
        <v>54000</v>
      </c>
      <c r="J11" s="15" t="s">
        <v>60</v>
      </c>
      <c r="K11" s="15">
        <v>29</v>
      </c>
      <c r="L11" s="807" t="str">
        <f>VLOOKUP(M11,Raca_Linhagem[],2,0)</f>
        <v>ROSS</v>
      </c>
      <c r="M11" s="804" t="s">
        <v>229</v>
      </c>
      <c r="N11" s="139">
        <f t="shared" si="1"/>
        <v>46324</v>
      </c>
      <c r="O11" s="303">
        <v>530726</v>
      </c>
      <c r="P11" s="140" t="str">
        <f>IFERROR(VLOOKUP(Q11,Producao[[Granja Produção]:[Emp+CC]],4,0),"")</f>
        <v>10_280</v>
      </c>
      <c r="Q11" s="141" t="s">
        <v>780</v>
      </c>
      <c r="R11" s="140" t="str">
        <f>IFERROR(VLOOKUP(Q11,Producao[[Granja Produção]:[Núcleo]],2,0),"")</f>
        <v>(N1)</v>
      </c>
      <c r="S11" s="138">
        <v>33500</v>
      </c>
      <c r="T11" s="142">
        <f t="shared" si="2"/>
        <v>46645</v>
      </c>
      <c r="U11" s="143">
        <v>67</v>
      </c>
      <c r="V11" s="105">
        <f>N20-T11</f>
        <v>52</v>
      </c>
      <c r="W11" s="145">
        <f t="shared" si="3"/>
        <v>46697</v>
      </c>
      <c r="X11" s="1146"/>
    </row>
    <row r="12" spans="1:24" ht="16.2">
      <c r="A12" s="15" t="s">
        <v>220</v>
      </c>
      <c r="B12" s="443">
        <f>N7+K7</f>
        <v>46213</v>
      </c>
      <c r="C12" s="14">
        <v>46212</v>
      </c>
      <c r="D12" s="1265" t="s">
        <v>791</v>
      </c>
      <c r="E12" s="17">
        <f t="shared" ca="1" si="0"/>
        <v>11.714285714285714</v>
      </c>
      <c r="F12" s="17" t="str">
        <f>IFERROR(VLOOKUP(G12,Recria[[Granja Recria]:[Emp+CC]],4,0),"")</f>
        <v>12_99</v>
      </c>
      <c r="G12" s="296" t="s">
        <v>221</v>
      </c>
      <c r="H12" s="551" t="str">
        <f>IFERROR(VLOOKUP(G12,Recria[[Granja Recria]:[Núcleo]],2,0),"")</f>
        <v>(N3)</v>
      </c>
      <c r="I12" s="552">
        <v>54000</v>
      </c>
      <c r="J12" s="15" t="s">
        <v>60</v>
      </c>
      <c r="K12" s="15">
        <v>21</v>
      </c>
      <c r="L12" s="807" t="str">
        <f>VLOOKUP(M12,Raca_Linhagem[],2,0)</f>
        <v>COBB</v>
      </c>
      <c r="M12" s="803" t="s">
        <v>21</v>
      </c>
      <c r="N12" s="139">
        <f t="shared" si="1"/>
        <v>46359</v>
      </c>
      <c r="O12" s="303">
        <v>530826</v>
      </c>
      <c r="P12" s="140" t="str">
        <f>IFERROR(VLOOKUP(Q12,Producao[[Granja Produção]:[Emp+CC]],4,0),"")</f>
        <v>18_95</v>
      </c>
      <c r="Q12" s="141" t="s">
        <v>778</v>
      </c>
      <c r="R12" s="140" t="str">
        <f>IFERROR(VLOOKUP(Q12,Producao[[Granja Produção]:[Núcleo]],2,0),"")</f>
        <v>(N1)</v>
      </c>
      <c r="S12" s="138">
        <f t="shared" si="5"/>
        <v>51570</v>
      </c>
      <c r="T12" s="142">
        <f t="shared" si="2"/>
        <v>46680</v>
      </c>
      <c r="U12" s="143">
        <v>67</v>
      </c>
      <c r="V12" s="105">
        <f>N21-T12</f>
        <v>44</v>
      </c>
      <c r="W12" s="145">
        <f t="shared" si="3"/>
        <v>46724</v>
      </c>
      <c r="X12" s="1146"/>
    </row>
    <row r="13" spans="1:24" ht="16.2">
      <c r="A13" s="15" t="s">
        <v>220</v>
      </c>
      <c r="B13" s="443">
        <f>N9+K9</f>
        <v>46269</v>
      </c>
      <c r="C13" s="14">
        <v>46268</v>
      </c>
      <c r="D13" s="1265" t="s">
        <v>792</v>
      </c>
      <c r="E13" s="17">
        <f t="shared" ca="1" si="0"/>
        <v>3.7142857142857144</v>
      </c>
      <c r="F13" s="17" t="str">
        <f>IFERROR(VLOOKUP(G13,Recria[[Granja Recria]:[Emp+CC]],4,0),"")</f>
        <v>12_98</v>
      </c>
      <c r="G13" s="296" t="s">
        <v>782</v>
      </c>
      <c r="H13" s="551" t="str">
        <f>IFERROR(VLOOKUP(G13,Recria[[Granja Recria]:[Núcleo]],2,0),"")</f>
        <v>(N4)</v>
      </c>
      <c r="I13" s="552">
        <v>54000</v>
      </c>
      <c r="J13" s="15" t="s">
        <v>60</v>
      </c>
      <c r="K13" s="15">
        <v>26</v>
      </c>
      <c r="L13" s="807" t="str">
        <f>VLOOKUP(M13,Raca_Linhagem[],2,0)</f>
        <v>ROSS</v>
      </c>
      <c r="M13" s="803" t="s">
        <v>26</v>
      </c>
      <c r="N13" s="139">
        <f t="shared" si="1"/>
        <v>46415</v>
      </c>
      <c r="O13" s="303">
        <v>530127</v>
      </c>
      <c r="P13" s="140" t="str">
        <f>IFERROR(VLOOKUP(Q13,Producao[[Granja Produção]:[Emp+CC]],4,0),"")</f>
        <v>11_134</v>
      </c>
      <c r="Q13" s="141" t="s">
        <v>783</v>
      </c>
      <c r="R13" s="140" t="str">
        <f>IFERROR(VLOOKUP(Q13,Producao[[Granja Produção]:[Núcleo]],2,0),"")</f>
        <v>(N1)</v>
      </c>
      <c r="S13" s="138">
        <f t="shared" si="5"/>
        <v>51570</v>
      </c>
      <c r="T13" s="142">
        <f t="shared" si="2"/>
        <v>46736</v>
      </c>
      <c r="U13" s="143">
        <v>67</v>
      </c>
      <c r="V13" s="105">
        <f t="shared" si="4"/>
        <v>49</v>
      </c>
      <c r="W13" s="145">
        <f t="shared" si="3"/>
        <v>46785</v>
      </c>
    </row>
    <row r="14" spans="1:24" ht="16.2">
      <c r="A14" s="310" t="s">
        <v>220</v>
      </c>
      <c r="B14" s="311">
        <f>N10+K10</f>
        <v>46322</v>
      </c>
      <c r="C14" s="313">
        <f t="shared" ref="C14:C16" si="6">B14</f>
        <v>46322</v>
      </c>
      <c r="D14" s="1279" t="s">
        <v>793</v>
      </c>
      <c r="E14" s="314">
        <f t="shared" ca="1" si="0"/>
        <v>-4</v>
      </c>
      <c r="F14" s="314" t="str">
        <f>IFERROR(VLOOKUP(G14,Recria[[Granja Recria]:[Emp+CC]],4,0),"")</f>
        <v>12_100</v>
      </c>
      <c r="G14" s="295" t="s">
        <v>784</v>
      </c>
      <c r="H14" s="1101" t="str">
        <f>IFERROR(VLOOKUP(G14,Recria[[Granja Recria]:[Núcleo]],2,0),"")</f>
        <v>(N2)</v>
      </c>
      <c r="I14" s="315">
        <v>54000</v>
      </c>
      <c r="J14" s="310" t="s">
        <v>45</v>
      </c>
      <c r="K14" s="310">
        <v>50</v>
      </c>
      <c r="L14" s="807" t="str">
        <f>VLOOKUP(M14,Raca_Linhagem[],2,0)</f>
        <v>COBB</v>
      </c>
      <c r="M14" s="803" t="s">
        <v>232</v>
      </c>
      <c r="N14" s="139">
        <f t="shared" si="1"/>
        <v>46469</v>
      </c>
      <c r="O14" s="303">
        <v>530227</v>
      </c>
      <c r="P14" s="140" t="str">
        <f>IFERROR(VLOOKUP(Q14,Producao[[Granja Produção]:[Emp+CC]],4,0),"")</f>
        <v>6_205</v>
      </c>
      <c r="Q14" s="141" t="s">
        <v>785</v>
      </c>
      <c r="R14" s="140" t="str">
        <f>IFERROR(VLOOKUP(Q14,Producao[[Granja Produção]:[Núcleo]],2,0),"")</f>
        <v>(N1)</v>
      </c>
      <c r="S14" s="138">
        <f t="shared" si="5"/>
        <v>51570</v>
      </c>
      <c r="T14" s="142">
        <f t="shared" si="2"/>
        <v>46790</v>
      </c>
      <c r="U14" s="143">
        <v>67</v>
      </c>
      <c r="V14" s="105">
        <f t="shared" si="4"/>
        <v>48</v>
      </c>
      <c r="W14" s="145">
        <f t="shared" si="3"/>
        <v>46838</v>
      </c>
    </row>
    <row r="15" spans="1:24" ht="16.2">
      <c r="A15" s="173" t="s">
        <v>220</v>
      </c>
      <c r="B15" s="174">
        <f>N11+K11</f>
        <v>46353</v>
      </c>
      <c r="C15" s="176">
        <f t="shared" si="6"/>
        <v>46353</v>
      </c>
      <c r="D15" s="1087" t="s">
        <v>794</v>
      </c>
      <c r="E15" s="177">
        <v>153535</v>
      </c>
      <c r="F15" s="177" t="str">
        <f>IFERROR(VLOOKUP(G15,Recria[[Granja Recria]:[Emp+CC]],4,0),"")</f>
        <v>12_122</v>
      </c>
      <c r="G15" s="178" t="s">
        <v>777</v>
      </c>
      <c r="H15" s="512" t="str">
        <f>IFERROR(VLOOKUP(G15,Recria[[Granja Recria]:[Núcleo]],2,0),"")</f>
        <v>(N1)</v>
      </c>
      <c r="I15" s="179">
        <v>54000</v>
      </c>
      <c r="J15" s="173" t="s">
        <v>45</v>
      </c>
      <c r="K15" s="173">
        <v>50</v>
      </c>
      <c r="L15" s="807" t="str">
        <f>VLOOKUP(M15,Raca_Linhagem[],2,0)</f>
        <v>COBB</v>
      </c>
      <c r="M15" s="803" t="s">
        <v>232</v>
      </c>
      <c r="N15" s="139">
        <f t="shared" si="1"/>
        <v>46500</v>
      </c>
      <c r="O15" s="303">
        <v>530327</v>
      </c>
      <c r="P15" s="140" t="str">
        <f>IFERROR(VLOOKUP(Q15,Producao[[Granja Produção]:[Emp+CC]],4,0),"")</f>
        <v>20_204</v>
      </c>
      <c r="Q15" s="141" t="s">
        <v>786</v>
      </c>
      <c r="R15" s="140" t="str">
        <f>IFERROR(VLOOKUP(Q15,Producao[[Granja Produção]:[Núcleo]],2,0),"")</f>
        <v>(N1)</v>
      </c>
      <c r="S15" s="138">
        <f t="shared" si="5"/>
        <v>51570</v>
      </c>
      <c r="T15" s="142">
        <f t="shared" si="2"/>
        <v>46821</v>
      </c>
      <c r="U15" s="143">
        <v>67</v>
      </c>
      <c r="V15" s="105">
        <f t="shared" si="4"/>
        <v>48</v>
      </c>
      <c r="W15" s="145">
        <f t="shared" si="3"/>
        <v>46869</v>
      </c>
    </row>
    <row r="16" spans="1:24" ht="16.2">
      <c r="A16" s="173" t="s">
        <v>220</v>
      </c>
      <c r="B16" s="174">
        <f>N12+K12</f>
        <v>46380</v>
      </c>
      <c r="C16" s="176">
        <f t="shared" si="6"/>
        <v>46380</v>
      </c>
      <c r="D16" s="1087" t="s">
        <v>795</v>
      </c>
      <c r="E16" s="177">
        <v>158634</v>
      </c>
      <c r="F16" s="177" t="str">
        <f>IFERROR(VLOOKUP(G16,Recria[[Granja Recria]:[Emp+CC]],4,0),"")</f>
        <v>12_99</v>
      </c>
      <c r="G16" s="178" t="s">
        <v>221</v>
      </c>
      <c r="H16" s="512" t="str">
        <f>IFERROR(VLOOKUP(G16,Recria[[Granja Recria]:[Núcleo]],2,0),"")</f>
        <v>(N3)</v>
      </c>
      <c r="I16" s="179">
        <v>54000</v>
      </c>
      <c r="J16" s="173" t="s">
        <v>45</v>
      </c>
      <c r="K16" s="173">
        <v>50</v>
      </c>
      <c r="L16" s="807" t="str">
        <f>VLOOKUP(M16,Raca_Linhagem[],2,0)</f>
        <v>COBB</v>
      </c>
      <c r="M16" s="803" t="s">
        <v>232</v>
      </c>
      <c r="N16" s="139">
        <f t="shared" si="1"/>
        <v>46527</v>
      </c>
      <c r="O16" s="303"/>
      <c r="P16" s="140" t="str">
        <f>IFERROR(VLOOKUP(Q16,Producao[[Granja Produção]:[Emp+CC]],4,0),"")</f>
        <v/>
      </c>
      <c r="Q16" s="537" t="s">
        <v>796</v>
      </c>
      <c r="R16" s="140" t="str">
        <f>IFERROR(VLOOKUP(Q16,Producao[[Granja Produção]:[Núcleo]],2,0),"")</f>
        <v/>
      </c>
      <c r="S16" s="138">
        <v>26000</v>
      </c>
      <c r="T16" s="142">
        <f t="shared" si="2"/>
        <v>46848</v>
      </c>
      <c r="U16" s="143">
        <v>67</v>
      </c>
      <c r="V16" s="105">
        <f t="shared" si="4"/>
        <v>48</v>
      </c>
      <c r="W16" s="145">
        <f t="shared" si="3"/>
        <v>46896</v>
      </c>
    </row>
    <row r="17" spans="1:23" ht="16.2">
      <c r="A17" s="173" t="s">
        <v>220</v>
      </c>
      <c r="B17" s="174">
        <f>N12+K12</f>
        <v>46380</v>
      </c>
      <c r="C17" s="176">
        <f t="shared" ref="C17:C26" si="7">B17</f>
        <v>46380</v>
      </c>
      <c r="D17" s="1087" t="s">
        <v>795</v>
      </c>
      <c r="E17" s="177">
        <v>158634</v>
      </c>
      <c r="F17" s="177" t="str">
        <f>IFERROR(VLOOKUP(G17,Recria[[Granja Recria]:[Emp+CC]],4,0),"")</f>
        <v>12_99</v>
      </c>
      <c r="G17" s="178" t="s">
        <v>221</v>
      </c>
      <c r="H17" s="512" t="str">
        <f>IFERROR(VLOOKUP(G17,Recria[[Granja Recria]:[Núcleo]],2,0),"")</f>
        <v>(N3)</v>
      </c>
      <c r="I17" s="179">
        <v>0</v>
      </c>
      <c r="J17" s="173" t="s">
        <v>45</v>
      </c>
      <c r="K17" s="173">
        <v>50</v>
      </c>
      <c r="L17" s="807" t="str">
        <f>VLOOKUP(M17,Raca_Linhagem[],2,0)</f>
        <v>COBB</v>
      </c>
      <c r="M17" s="803" t="s">
        <v>232</v>
      </c>
      <c r="N17" s="139">
        <f t="shared" ref="N17:N26" si="8">C17+(21*7)</f>
        <v>46527</v>
      </c>
      <c r="O17" s="303"/>
      <c r="P17" s="140" t="str">
        <f>IFERROR(VLOOKUP(Q17,Producao[[Granja Produção]:[Emp+CC]],4,0),"")</f>
        <v>19_362</v>
      </c>
      <c r="Q17" s="141" t="s">
        <v>787</v>
      </c>
      <c r="R17" s="140" t="str">
        <f>IFERROR(VLOOKUP(Q17,Producao[[Granja Produção]:[Núcleo]],2,0),"")</f>
        <v>(N1)</v>
      </c>
      <c r="S17" s="138">
        <v>25570</v>
      </c>
      <c r="T17" s="142">
        <f t="shared" si="2"/>
        <v>46848</v>
      </c>
      <c r="U17" s="143">
        <v>67</v>
      </c>
      <c r="V17" s="144"/>
      <c r="W17" s="145">
        <f t="shared" ref="W17:W26" si="9">IFERROR(T17+V17," ")</f>
        <v>46848</v>
      </c>
    </row>
    <row r="18" spans="1:23" ht="16.2">
      <c r="A18" s="173" t="s">
        <v>220</v>
      </c>
      <c r="B18" s="174">
        <f>N13+K13</f>
        <v>46441</v>
      </c>
      <c r="C18" s="176">
        <f t="shared" si="7"/>
        <v>46441</v>
      </c>
      <c r="D18" s="1087">
        <v>500127</v>
      </c>
      <c r="E18" s="177">
        <f t="shared" ca="1" si="0"/>
        <v>-21</v>
      </c>
      <c r="F18" s="177" t="str">
        <f>IFERROR(VLOOKUP(G18,Recria[[Granja Recria]:[Emp+CC]],4,0),"")</f>
        <v>12_98</v>
      </c>
      <c r="G18" s="178" t="s">
        <v>782</v>
      </c>
      <c r="H18" s="512" t="str">
        <f>IFERROR(VLOOKUP(G18,Recria[[Granja Recria]:[Núcleo]],2,0),"")</f>
        <v>(N4)</v>
      </c>
      <c r="I18" s="179">
        <v>54000</v>
      </c>
      <c r="J18" s="173" t="s">
        <v>45</v>
      </c>
      <c r="K18" s="173">
        <v>50</v>
      </c>
      <c r="L18" s="807" t="str">
        <f>VLOOKUP(M18,Raca_Linhagem[],2,0)</f>
        <v>ROSS</v>
      </c>
      <c r="M18" s="803" t="s">
        <v>26</v>
      </c>
      <c r="N18" s="139">
        <f t="shared" si="8"/>
        <v>46588</v>
      </c>
      <c r="O18" s="303"/>
      <c r="P18" s="140" t="str">
        <f>IFERROR(VLOOKUP(Q18,Producao[[Granja Produção]:[Emp+CC]],4,0),"")</f>
        <v>21_207</v>
      </c>
      <c r="Q18" s="141" t="s">
        <v>797</v>
      </c>
      <c r="R18" s="140" t="str">
        <f>IFERROR(VLOOKUP(Q18,Producao[[Granja Produção]:[Núcleo]],2,0),"")</f>
        <v>(N1)</v>
      </c>
      <c r="S18" s="138">
        <f>I18*0.955</f>
        <v>51570</v>
      </c>
      <c r="T18" s="142">
        <f t="shared" si="2"/>
        <v>46909</v>
      </c>
      <c r="U18" s="143">
        <v>67</v>
      </c>
      <c r="V18" s="144"/>
      <c r="W18" s="145">
        <f t="shared" si="9"/>
        <v>46909</v>
      </c>
    </row>
    <row r="19" spans="1:23" ht="16.2">
      <c r="A19" s="173" t="s">
        <v>220</v>
      </c>
      <c r="B19" s="174">
        <f>N14+K14</f>
        <v>46519</v>
      </c>
      <c r="C19" s="176">
        <f t="shared" si="7"/>
        <v>46519</v>
      </c>
      <c r="D19" s="1087" t="s">
        <v>798</v>
      </c>
      <c r="E19" s="177">
        <f t="shared" ca="1" si="0"/>
        <v>-32.142857142857146</v>
      </c>
      <c r="F19" s="177" t="str">
        <f>IFERROR(VLOOKUP(G19,Recria[[Granja Recria]:[Emp+CC]],4,0),"")</f>
        <v>12_100</v>
      </c>
      <c r="G19" s="178" t="s">
        <v>784</v>
      </c>
      <c r="H19" s="512" t="str">
        <f>IFERROR(VLOOKUP(G19,Recria[[Granja Recria]:[Núcleo]],2,0),"")</f>
        <v>(N2)</v>
      </c>
      <c r="I19" s="179">
        <v>54000</v>
      </c>
      <c r="J19" s="173" t="s">
        <v>60</v>
      </c>
      <c r="K19" s="173">
        <v>25</v>
      </c>
      <c r="L19" s="807" t="str">
        <f>VLOOKUP(M19,Raca_Linhagem[],2,0)</f>
        <v>COBB</v>
      </c>
      <c r="M19" s="803" t="s">
        <v>21</v>
      </c>
      <c r="N19" s="139">
        <f t="shared" si="8"/>
        <v>46666</v>
      </c>
      <c r="O19" s="303"/>
      <c r="P19" s="140" t="str">
        <f>IFERROR(VLOOKUP(Q19,Producao[[Granja Produção]:[Emp+CC]],4,0),"")</f>
        <v>14_94</v>
      </c>
      <c r="Q19" s="141" t="s">
        <v>789</v>
      </c>
      <c r="R19" s="140" t="str">
        <f>IFERROR(VLOOKUP(Q19,Producao[[Granja Produção]:[Núcleo]],2,0),"")</f>
        <v>(N1)</v>
      </c>
      <c r="S19" s="138">
        <f t="shared" ref="S19:S26" si="10">I19*0.955</f>
        <v>51570</v>
      </c>
      <c r="T19" s="142">
        <f t="shared" si="2"/>
        <v>46987</v>
      </c>
      <c r="U19" s="143">
        <v>67</v>
      </c>
      <c r="V19" s="144"/>
      <c r="W19" s="145">
        <f t="shared" si="9"/>
        <v>46987</v>
      </c>
    </row>
    <row r="20" spans="1:23" ht="16.2">
      <c r="A20" s="173" t="s">
        <v>220</v>
      </c>
      <c r="B20" s="174">
        <f>N15+K15</f>
        <v>46550</v>
      </c>
      <c r="C20" s="176">
        <f t="shared" si="7"/>
        <v>46550</v>
      </c>
      <c r="D20" s="1087" t="s">
        <v>799</v>
      </c>
      <c r="E20" s="177">
        <f t="shared" ca="1" si="0"/>
        <v>-36.571428571428569</v>
      </c>
      <c r="F20" s="177" t="str">
        <f>IFERROR(VLOOKUP(G20,Recria[[Granja Recria]:[Emp+CC]],4,0),"")</f>
        <v>12_122</v>
      </c>
      <c r="G20" s="178" t="s">
        <v>777</v>
      </c>
      <c r="H20" s="512" t="str">
        <f>IFERROR(VLOOKUP(G20,Recria[[Granja Recria]:[Núcleo]],2,0),"")</f>
        <v>(N1)</v>
      </c>
      <c r="I20" s="179">
        <v>54000</v>
      </c>
      <c r="J20" s="173" t="s">
        <v>60</v>
      </c>
      <c r="K20" s="173">
        <v>25</v>
      </c>
      <c r="L20" s="807" t="str">
        <f>VLOOKUP(M20,Raca_Linhagem[],2,0)</f>
        <v>ROSS</v>
      </c>
      <c r="M20" s="803" t="s">
        <v>26</v>
      </c>
      <c r="N20" s="139">
        <f t="shared" si="8"/>
        <v>46697</v>
      </c>
      <c r="O20" s="303"/>
      <c r="P20" s="140" t="str">
        <f>IFERROR(VLOOKUP(Q20,Producao[[Granja Produção]:[Emp+CC]],4,0),"")</f>
        <v>10_280</v>
      </c>
      <c r="Q20" s="141" t="s">
        <v>780</v>
      </c>
      <c r="R20" s="140" t="str">
        <f>IFERROR(VLOOKUP(Q20,Producao[[Granja Produção]:[Núcleo]],2,0),"")</f>
        <v>(N1)</v>
      </c>
      <c r="S20" s="138">
        <f t="shared" si="10"/>
        <v>51570</v>
      </c>
      <c r="T20" s="142">
        <f t="shared" si="2"/>
        <v>47018</v>
      </c>
      <c r="U20" s="143">
        <v>67</v>
      </c>
      <c r="V20" s="144"/>
      <c r="W20" s="145">
        <f t="shared" si="9"/>
        <v>47018</v>
      </c>
    </row>
    <row r="21" spans="1:23" ht="16.2">
      <c r="A21" s="173" t="s">
        <v>220</v>
      </c>
      <c r="B21" s="174">
        <f>N16+K16</f>
        <v>46577</v>
      </c>
      <c r="C21" s="176">
        <f t="shared" si="7"/>
        <v>46577</v>
      </c>
      <c r="D21" s="1087" t="s">
        <v>800</v>
      </c>
      <c r="E21" s="177">
        <f t="shared" ca="1" si="0"/>
        <v>-40.428571428571431</v>
      </c>
      <c r="F21" s="177" t="str">
        <f>IFERROR(VLOOKUP(G21,Recria[[Granja Recria]:[Emp+CC]],4,0),"")</f>
        <v>12_99</v>
      </c>
      <c r="G21" s="178" t="s">
        <v>221</v>
      </c>
      <c r="H21" s="512" t="str">
        <f>IFERROR(VLOOKUP(G21,Recria[[Granja Recria]:[Núcleo]],2,0),"")</f>
        <v>(N3)</v>
      </c>
      <c r="I21" s="179">
        <v>54000</v>
      </c>
      <c r="J21" s="173" t="s">
        <v>60</v>
      </c>
      <c r="K21" s="173">
        <v>25</v>
      </c>
      <c r="L21" s="807" t="str">
        <f>VLOOKUP(M21,Raca_Linhagem[],2,0)</f>
        <v>COBB</v>
      </c>
      <c r="M21" s="803" t="s">
        <v>21</v>
      </c>
      <c r="N21" s="139">
        <f t="shared" si="8"/>
        <v>46724</v>
      </c>
      <c r="O21" s="303"/>
      <c r="P21" s="140" t="str">
        <f>IFERROR(VLOOKUP(Q21,Producao[[Granja Produção]:[Emp+CC]],4,0),"")</f>
        <v>18_95</v>
      </c>
      <c r="Q21" s="141" t="s">
        <v>778</v>
      </c>
      <c r="R21" s="140" t="str">
        <f>IFERROR(VLOOKUP(Q21,Producao[[Granja Produção]:[Núcleo]],2,0),"")</f>
        <v>(N1)</v>
      </c>
      <c r="S21" s="138">
        <f t="shared" si="10"/>
        <v>51570</v>
      </c>
      <c r="T21" s="142">
        <f t="shared" si="2"/>
        <v>47045</v>
      </c>
      <c r="U21" s="143">
        <v>67</v>
      </c>
      <c r="V21" s="144"/>
      <c r="W21" s="145">
        <f t="shared" si="9"/>
        <v>47045</v>
      </c>
    </row>
    <row r="22" spans="1:23" ht="16.2">
      <c r="A22" s="173" t="s">
        <v>220</v>
      </c>
      <c r="B22" s="174">
        <f>N18+K18</f>
        <v>46638</v>
      </c>
      <c r="C22" s="176">
        <f t="shared" si="7"/>
        <v>46638</v>
      </c>
      <c r="D22" s="1087" t="s">
        <v>801</v>
      </c>
      <c r="E22" s="177">
        <f t="shared" ca="1" si="0"/>
        <v>-49.142857142857146</v>
      </c>
      <c r="F22" s="177" t="str">
        <f>IFERROR(VLOOKUP(G22,Recria[[Granja Recria]:[Emp+CC]],4,0),"")</f>
        <v>12_98</v>
      </c>
      <c r="G22" s="178" t="s">
        <v>782</v>
      </c>
      <c r="H22" s="512" t="str">
        <f>IFERROR(VLOOKUP(G22,Recria[[Granja Recria]:[Núcleo]],2,0),"")</f>
        <v>(N4)</v>
      </c>
      <c r="I22" s="179">
        <v>54000</v>
      </c>
      <c r="J22" s="173" t="s">
        <v>60</v>
      </c>
      <c r="K22" s="173">
        <v>25</v>
      </c>
      <c r="L22" s="807" t="str">
        <f>VLOOKUP(M22,Raca_Linhagem[],2,0)</f>
        <v>COBB</v>
      </c>
      <c r="M22" s="803" t="s">
        <v>21</v>
      </c>
      <c r="N22" s="139">
        <f t="shared" si="8"/>
        <v>46785</v>
      </c>
      <c r="O22" s="303"/>
      <c r="P22" s="140" t="str">
        <f>IFERROR(VLOOKUP(Q22,Producao[[Granja Produção]:[Emp+CC]],4,0),"")</f>
        <v>11_134</v>
      </c>
      <c r="Q22" s="141" t="s">
        <v>783</v>
      </c>
      <c r="R22" s="140" t="str">
        <f>IFERROR(VLOOKUP(Q22,Producao[[Granja Produção]:[Núcleo]],2,0),"")</f>
        <v>(N1)</v>
      </c>
      <c r="S22" s="138">
        <f t="shared" si="10"/>
        <v>51570</v>
      </c>
      <c r="T22" s="142">
        <f t="shared" si="2"/>
        <v>47106</v>
      </c>
      <c r="U22" s="143">
        <v>67</v>
      </c>
      <c r="V22" s="144"/>
      <c r="W22" s="145">
        <f t="shared" si="9"/>
        <v>47106</v>
      </c>
    </row>
    <row r="23" spans="1:23" ht="16.2">
      <c r="A23" s="173" t="s">
        <v>220</v>
      </c>
      <c r="B23" s="174">
        <f>N19+K19</f>
        <v>46691</v>
      </c>
      <c r="C23" s="176">
        <f t="shared" si="7"/>
        <v>46691</v>
      </c>
      <c r="D23" s="1087" t="s">
        <v>802</v>
      </c>
      <c r="E23" s="177">
        <f t="shared" ca="1" si="0"/>
        <v>-56.714285714285715</v>
      </c>
      <c r="F23" s="177" t="str">
        <f>IFERROR(VLOOKUP(G23,Recria[[Granja Recria]:[Emp+CC]],4,0),"")</f>
        <v>12_100</v>
      </c>
      <c r="G23" s="178" t="s">
        <v>784</v>
      </c>
      <c r="H23" s="512" t="str">
        <f>IFERROR(VLOOKUP(G23,Recria[[Granja Recria]:[Núcleo]],2,0),"")</f>
        <v>(N2)</v>
      </c>
      <c r="I23" s="179">
        <v>54000</v>
      </c>
      <c r="J23" s="173" t="s">
        <v>45</v>
      </c>
      <c r="K23" s="173">
        <v>50</v>
      </c>
      <c r="L23" s="807" t="str">
        <f>VLOOKUP(M23,Raca_Linhagem[],2,0)</f>
        <v>ROSS</v>
      </c>
      <c r="M23" s="803" t="s">
        <v>26</v>
      </c>
      <c r="N23" s="139">
        <f t="shared" si="8"/>
        <v>46838</v>
      </c>
      <c r="O23" s="303"/>
      <c r="P23" s="140" t="str">
        <f>IFERROR(VLOOKUP(Q23,Producao[[Granja Produção]:[Emp+CC]],4,0),"")</f>
        <v>6_205</v>
      </c>
      <c r="Q23" s="141" t="s">
        <v>785</v>
      </c>
      <c r="R23" s="140" t="str">
        <f>IFERROR(VLOOKUP(Q23,Producao[[Granja Produção]:[Núcleo]],2,0),"")</f>
        <v>(N1)</v>
      </c>
      <c r="S23" s="138">
        <f t="shared" si="10"/>
        <v>51570</v>
      </c>
      <c r="T23" s="142">
        <f t="shared" si="2"/>
        <v>47159</v>
      </c>
      <c r="U23" s="143">
        <v>67</v>
      </c>
      <c r="V23" s="144"/>
      <c r="W23" s="145">
        <f t="shared" si="9"/>
        <v>47159</v>
      </c>
    </row>
    <row r="24" spans="1:23" ht="16.2">
      <c r="A24" s="173" t="s">
        <v>220</v>
      </c>
      <c r="B24" s="174">
        <f>N20+K20</f>
        <v>46722</v>
      </c>
      <c r="C24" s="176">
        <f t="shared" si="7"/>
        <v>46722</v>
      </c>
      <c r="D24" s="1087" t="s">
        <v>803</v>
      </c>
      <c r="E24" s="177">
        <f t="shared" ca="1" si="0"/>
        <v>-61.142857142857146</v>
      </c>
      <c r="F24" s="177" t="str">
        <f>IFERROR(VLOOKUP(G24,Recria[[Granja Recria]:[Emp+CC]],4,0),"")</f>
        <v>12_122</v>
      </c>
      <c r="G24" s="178" t="s">
        <v>777</v>
      </c>
      <c r="H24" s="512" t="str">
        <f>IFERROR(VLOOKUP(G24,Recria[[Granja Recria]:[Núcleo]],2,0),"")</f>
        <v>(N1)</v>
      </c>
      <c r="I24" s="179">
        <v>54000</v>
      </c>
      <c r="J24" s="173" t="s">
        <v>45</v>
      </c>
      <c r="K24" s="173">
        <v>50</v>
      </c>
      <c r="L24" s="807" t="str">
        <f>VLOOKUP(M24,Raca_Linhagem[],2,0)</f>
        <v>COBB</v>
      </c>
      <c r="M24" s="803" t="s">
        <v>21</v>
      </c>
      <c r="N24" s="139">
        <f t="shared" si="8"/>
        <v>46869</v>
      </c>
      <c r="O24" s="303"/>
      <c r="P24" s="140" t="str">
        <f>IFERROR(VLOOKUP(Q24,Producao[[Granja Produção]:[Emp+CC]],4,0),"")</f>
        <v>20_204</v>
      </c>
      <c r="Q24" s="141" t="s">
        <v>786</v>
      </c>
      <c r="R24" s="140" t="str">
        <f>IFERROR(VLOOKUP(Q24,Producao[[Granja Produção]:[Núcleo]],2,0),"")</f>
        <v>(N1)</v>
      </c>
      <c r="S24" s="138">
        <f t="shared" si="10"/>
        <v>51570</v>
      </c>
      <c r="T24" s="142">
        <f t="shared" si="2"/>
        <v>47190</v>
      </c>
      <c r="U24" s="143">
        <v>67</v>
      </c>
      <c r="V24" s="144"/>
      <c r="W24" s="145">
        <f t="shared" si="9"/>
        <v>47190</v>
      </c>
    </row>
    <row r="25" spans="1:23" ht="16.2">
      <c r="A25" s="173" t="s">
        <v>220</v>
      </c>
      <c r="B25" s="174">
        <f>N21+K21</f>
        <v>46749</v>
      </c>
      <c r="C25" s="176">
        <f t="shared" si="7"/>
        <v>46749</v>
      </c>
      <c r="D25" s="1087" t="s">
        <v>804</v>
      </c>
      <c r="E25" s="177">
        <f t="shared" ca="1" si="0"/>
        <v>-65</v>
      </c>
      <c r="F25" s="177" t="str">
        <f>IFERROR(VLOOKUP(G25,Recria[[Granja Recria]:[Emp+CC]],4,0),"")</f>
        <v>12_99</v>
      </c>
      <c r="G25" s="178" t="s">
        <v>221</v>
      </c>
      <c r="H25" s="512" t="str">
        <f>IFERROR(VLOOKUP(G25,Recria[[Granja Recria]:[Núcleo]],2,0),"")</f>
        <v>(N3)</v>
      </c>
      <c r="I25" s="179">
        <v>54000</v>
      </c>
      <c r="J25" s="173" t="s">
        <v>45</v>
      </c>
      <c r="K25" s="173">
        <v>50</v>
      </c>
      <c r="L25" s="807" t="str">
        <f>VLOOKUP(M25,Raca_Linhagem[],2,0)</f>
        <v>ROSS</v>
      </c>
      <c r="M25" s="803" t="s">
        <v>26</v>
      </c>
      <c r="N25" s="139">
        <f t="shared" si="8"/>
        <v>46896</v>
      </c>
      <c r="O25" s="303"/>
      <c r="P25" s="140" t="str">
        <f>IFERROR(VLOOKUP(Q25,Producao[[Granja Produção]:[Emp+CC]],4,0),"")</f>
        <v>19_362</v>
      </c>
      <c r="Q25" s="141" t="s">
        <v>787</v>
      </c>
      <c r="R25" s="140" t="str">
        <f>IFERROR(VLOOKUP(Q25,Producao[[Granja Produção]:[Núcleo]],2,0),"")</f>
        <v>(N1)</v>
      </c>
      <c r="S25" s="138">
        <v>25570</v>
      </c>
      <c r="T25" s="142">
        <f t="shared" si="2"/>
        <v>47217</v>
      </c>
      <c r="U25" s="143">
        <v>67</v>
      </c>
      <c r="V25" s="144"/>
      <c r="W25" s="145">
        <f t="shared" si="9"/>
        <v>47217</v>
      </c>
    </row>
    <row r="26" spans="1:23" ht="16.2">
      <c r="A26" s="173" t="s">
        <v>220</v>
      </c>
      <c r="B26" s="174">
        <f>N21+K21</f>
        <v>46749</v>
      </c>
      <c r="C26" s="176">
        <f t="shared" si="7"/>
        <v>46749</v>
      </c>
      <c r="D26" s="1087" t="s">
        <v>804</v>
      </c>
      <c r="E26" s="177">
        <f t="shared" ca="1" si="0"/>
        <v>-65</v>
      </c>
      <c r="F26" s="177" t="str">
        <f>IFERROR(VLOOKUP(G26,Recria[[Granja Recria]:[Emp+CC]],4,0),"")</f>
        <v>12_99</v>
      </c>
      <c r="G26" s="178" t="s">
        <v>221</v>
      </c>
      <c r="H26" s="512" t="str">
        <f>IFERROR(VLOOKUP(G26,Recria[[Granja Recria]:[Núcleo]],2,0),"")</f>
        <v>(N3)</v>
      </c>
      <c r="I26" s="179"/>
      <c r="J26" s="173" t="s">
        <v>45</v>
      </c>
      <c r="K26" s="173">
        <v>50</v>
      </c>
      <c r="L26" s="807" t="str">
        <f>VLOOKUP(M26,Raca_Linhagem[],2,0)</f>
        <v>ROSS</v>
      </c>
      <c r="M26" s="803" t="s">
        <v>26</v>
      </c>
      <c r="N26" s="139">
        <f t="shared" si="8"/>
        <v>46896</v>
      </c>
      <c r="O26" s="303"/>
      <c r="P26" s="140" t="str">
        <f>IFERROR(VLOOKUP(Q26,Producao[[Granja Produção]:[Emp+CC]],4,0),"")</f>
        <v/>
      </c>
      <c r="Q26" s="537" t="s">
        <v>796</v>
      </c>
      <c r="R26" s="140" t="str">
        <f>IFERROR(VLOOKUP(Q26,Producao[[Granja Produção]:[Núcleo]],2,0),"")</f>
        <v/>
      </c>
      <c r="S26" s="138">
        <f t="shared" si="10"/>
        <v>0</v>
      </c>
      <c r="T26" s="142">
        <f t="shared" si="2"/>
        <v>47217</v>
      </c>
      <c r="U26" s="143">
        <v>67</v>
      </c>
      <c r="V26" s="144"/>
      <c r="W26" s="145">
        <f t="shared" si="9"/>
        <v>47217</v>
      </c>
    </row>
    <row r="34" spans="1:19" ht="17.399999999999999">
      <c r="J34"/>
      <c r="K34"/>
      <c r="L34" s="112"/>
      <c r="M34"/>
      <c r="N34" s="2"/>
      <c r="O34"/>
      <c r="P34"/>
      <c r="Q34"/>
    </row>
    <row r="35" spans="1:19" ht="17.399999999999999">
      <c r="J35"/>
      <c r="K35"/>
      <c r="L35" s="112"/>
      <c r="M35"/>
      <c r="N35" s="2"/>
      <c r="O35"/>
      <c r="P35"/>
      <c r="Q35"/>
    </row>
    <row r="36" spans="1:19" ht="17.399999999999999">
      <c r="J36"/>
      <c r="K36"/>
      <c r="L36" s="112"/>
      <c r="M36"/>
      <c r="N36" s="2"/>
      <c r="O36"/>
      <c r="P36"/>
      <c r="Q36"/>
    </row>
    <row r="37" spans="1:19" ht="17.399999999999999">
      <c r="J37"/>
      <c r="K37" s="1434" t="s">
        <v>1742</v>
      </c>
      <c r="L37" s="1435"/>
      <c r="M37"/>
      <c r="N37" s="2"/>
      <c r="O37"/>
      <c r="P37"/>
      <c r="Q37"/>
    </row>
    <row r="38" spans="1:19" ht="17.399999999999999">
      <c r="J38"/>
      <c r="K38"/>
      <c r="L38" s="112"/>
      <c r="M38"/>
      <c r="N38" s="2"/>
      <c r="O38"/>
      <c r="P38"/>
      <c r="Q38"/>
    </row>
    <row r="39" spans="1:19" ht="17.399999999999999">
      <c r="D39"/>
      <c r="E39"/>
      <c r="F39"/>
      <c r="G39"/>
      <c r="J39"/>
      <c r="K39"/>
      <c r="L39" s="112"/>
      <c r="M39"/>
      <c r="N39" s="2"/>
      <c r="O39"/>
      <c r="P39"/>
      <c r="Q39"/>
    </row>
    <row r="40" spans="1:19">
      <c r="A40" s="75" t="s">
        <v>263</v>
      </c>
      <c r="B40" s="75" t="s">
        <v>264</v>
      </c>
      <c r="C40"/>
      <c r="D40"/>
      <c r="E40"/>
      <c r="F40"/>
      <c r="G40"/>
      <c r="J40"/>
      <c r="K40"/>
      <c r="S40"/>
    </row>
    <row r="41" spans="1:19">
      <c r="A41" s="75" t="s">
        <v>265</v>
      </c>
      <c r="B41" t="s">
        <v>344</v>
      </c>
      <c r="C41" t="s">
        <v>266</v>
      </c>
      <c r="D41" t="s">
        <v>267</v>
      </c>
      <c r="E41" t="s">
        <v>268</v>
      </c>
      <c r="F41"/>
      <c r="G41"/>
      <c r="J41"/>
      <c r="K41"/>
      <c r="S41"/>
    </row>
    <row r="42" spans="1:19">
      <c r="A42" s="111" t="s">
        <v>270</v>
      </c>
      <c r="B42" s="19"/>
      <c r="C42" s="19">
        <v>54000</v>
      </c>
      <c r="D42" s="19"/>
      <c r="E42" s="19"/>
      <c r="F42"/>
      <c r="G42"/>
      <c r="J42"/>
      <c r="K42"/>
      <c r="S42"/>
    </row>
    <row r="43" spans="1:19">
      <c r="A43" s="111" t="s">
        <v>271</v>
      </c>
      <c r="B43" s="19"/>
      <c r="C43" s="19"/>
      <c r="D43" s="19">
        <v>54000</v>
      </c>
      <c r="E43" s="19">
        <v>54000</v>
      </c>
      <c r="F43"/>
      <c r="G43"/>
      <c r="J43"/>
      <c r="K43"/>
      <c r="S43"/>
    </row>
    <row r="44" spans="1:19">
      <c r="A44" s="111" t="s">
        <v>273</v>
      </c>
      <c r="B44" s="19"/>
      <c r="C44" s="19">
        <v>54000</v>
      </c>
      <c r="D44" s="19">
        <v>54000</v>
      </c>
      <c r="E44" s="19">
        <v>54000</v>
      </c>
      <c r="F44"/>
      <c r="G44"/>
      <c r="J44"/>
      <c r="K44"/>
      <c r="S44"/>
    </row>
    <row r="45" spans="1:19">
      <c r="A45" s="111" t="s">
        <v>275</v>
      </c>
      <c r="B45" s="19"/>
      <c r="C45" s="19">
        <v>54000</v>
      </c>
      <c r="D45" s="19">
        <v>108000</v>
      </c>
      <c r="E45" s="19">
        <v>54000</v>
      </c>
      <c r="F45"/>
      <c r="G45"/>
      <c r="J45"/>
      <c r="K45"/>
      <c r="S45"/>
    </row>
    <row r="46" spans="1:19">
      <c r="A46" s="111" t="s">
        <v>276</v>
      </c>
      <c r="B46" s="19"/>
      <c r="C46" s="19">
        <v>54000</v>
      </c>
      <c r="D46" s="19"/>
      <c r="E46" s="19">
        <v>54000</v>
      </c>
      <c r="F46"/>
      <c r="G46"/>
      <c r="J46"/>
      <c r="K46"/>
      <c r="S46"/>
    </row>
    <row r="47" spans="1:19">
      <c r="A47" s="111" t="s">
        <v>277</v>
      </c>
      <c r="B47" s="19"/>
      <c r="C47" s="19">
        <v>54000</v>
      </c>
      <c r="D47" s="19">
        <v>54000</v>
      </c>
      <c r="E47" s="19">
        <v>54000</v>
      </c>
      <c r="F47"/>
      <c r="G47"/>
      <c r="J47"/>
      <c r="K47"/>
      <c r="S47"/>
    </row>
    <row r="48" spans="1:19">
      <c r="A48" s="111" t="s">
        <v>279</v>
      </c>
      <c r="B48" s="19">
        <v>55400</v>
      </c>
      <c r="C48" s="19">
        <v>54000</v>
      </c>
      <c r="D48" s="19">
        <v>54000</v>
      </c>
      <c r="E48" s="19">
        <v>54000</v>
      </c>
      <c r="F48"/>
      <c r="G48"/>
      <c r="J48"/>
      <c r="K48"/>
      <c r="S48"/>
    </row>
    <row r="49" spans="1:19">
      <c r="A49" s="111" t="s">
        <v>280</v>
      </c>
      <c r="B49" s="19"/>
      <c r="C49" s="19">
        <v>54000</v>
      </c>
      <c r="D49" s="19">
        <v>54000</v>
      </c>
      <c r="E49" s="19">
        <v>54000</v>
      </c>
      <c r="F49"/>
      <c r="G49"/>
      <c r="J49"/>
      <c r="K49"/>
      <c r="S49"/>
    </row>
    <row r="50" spans="1:19">
      <c r="A50" s="111" t="s">
        <v>281</v>
      </c>
      <c r="B50" s="19">
        <v>108000</v>
      </c>
      <c r="C50" s="19">
        <v>54000</v>
      </c>
      <c r="D50" s="19">
        <v>54000</v>
      </c>
      <c r="E50" s="19">
        <v>54000</v>
      </c>
      <c r="F50"/>
      <c r="G50"/>
      <c r="J50"/>
      <c r="K50"/>
      <c r="S50"/>
    </row>
    <row r="51" spans="1:19">
      <c r="A51" s="111" t="s">
        <v>282</v>
      </c>
      <c r="B51" s="19">
        <v>163400</v>
      </c>
      <c r="C51" s="19">
        <v>432000</v>
      </c>
      <c r="D51" s="19">
        <v>432000</v>
      </c>
      <c r="E51" s="19">
        <v>432000</v>
      </c>
      <c r="F51"/>
      <c r="G51"/>
      <c r="H51"/>
      <c r="I51"/>
      <c r="J51"/>
      <c r="K51"/>
      <c r="S51"/>
    </row>
    <row r="52" spans="1:19">
      <c r="A52"/>
      <c r="B52"/>
      <c r="C52"/>
      <c r="D52"/>
      <c r="E52"/>
      <c r="F52"/>
      <c r="G52"/>
      <c r="H52"/>
      <c r="I52"/>
      <c r="J52"/>
      <c r="K52"/>
      <c r="S52"/>
    </row>
    <row r="53" spans="1:19">
      <c r="A53"/>
      <c r="B53"/>
      <c r="C53"/>
      <c r="D53"/>
      <c r="E53"/>
      <c r="F53"/>
      <c r="G53"/>
      <c r="H53"/>
      <c r="I53"/>
      <c r="J53"/>
      <c r="K53"/>
      <c r="S53"/>
    </row>
    <row r="54" spans="1:19">
      <c r="A54"/>
      <c r="B54"/>
      <c r="C54"/>
      <c r="D54"/>
      <c r="E54"/>
      <c r="F54"/>
      <c r="G54"/>
      <c r="H54"/>
      <c r="I54"/>
      <c r="J54"/>
      <c r="K54"/>
      <c r="S54"/>
    </row>
    <row r="55" spans="1:19">
      <c r="D55"/>
      <c r="G55"/>
      <c r="H55"/>
      <c r="I55"/>
      <c r="J55"/>
      <c r="K55"/>
      <c r="L55"/>
      <c r="M55"/>
      <c r="N55"/>
      <c r="O55"/>
      <c r="P55"/>
      <c r="Q55"/>
    </row>
    <row r="56" spans="1:19">
      <c r="A56"/>
      <c r="B56"/>
      <c r="C56"/>
      <c r="D56"/>
      <c r="G56"/>
      <c r="H56"/>
      <c r="I56"/>
      <c r="J56"/>
      <c r="K56"/>
      <c r="L56"/>
      <c r="M56"/>
      <c r="N56" s="2"/>
      <c r="O56"/>
      <c r="P56"/>
      <c r="Q56"/>
    </row>
    <row r="57" spans="1:19">
      <c r="A57"/>
      <c r="B57"/>
      <c r="C57"/>
      <c r="D57"/>
      <c r="G57"/>
      <c r="H57"/>
      <c r="I57"/>
      <c r="J57"/>
      <c r="K57"/>
      <c r="L57"/>
      <c r="M57"/>
      <c r="N57" s="2"/>
      <c r="O57"/>
      <c r="P57"/>
      <c r="Q57"/>
    </row>
    <row r="58" spans="1:19">
      <c r="A58" s="75" t="s">
        <v>263</v>
      </c>
      <c r="B58" s="75" t="s">
        <v>264</v>
      </c>
      <c r="C58"/>
      <c r="D58"/>
      <c r="E58"/>
      <c r="F58"/>
      <c r="G58"/>
      <c r="H58"/>
      <c r="I58"/>
      <c r="J58"/>
      <c r="K58"/>
      <c r="L58"/>
      <c r="M58"/>
      <c r="N58" s="2"/>
      <c r="O58"/>
      <c r="P58"/>
      <c r="Q58"/>
    </row>
    <row r="59" spans="1:19">
      <c r="A59" s="75" t="s">
        <v>265</v>
      </c>
      <c r="B59" t="s">
        <v>344</v>
      </c>
      <c r="C59" t="s">
        <v>266</v>
      </c>
      <c r="D59" t="s">
        <v>267</v>
      </c>
      <c r="E59" t="s">
        <v>268</v>
      </c>
      <c r="F59"/>
      <c r="G59"/>
      <c r="H59"/>
      <c r="I59"/>
      <c r="J59" s="2"/>
      <c r="K59" s="2"/>
      <c r="L59"/>
      <c r="M59" s="2"/>
      <c r="N59" s="2"/>
      <c r="O59"/>
      <c r="P59"/>
      <c r="Q59"/>
    </row>
    <row r="60" spans="1:19">
      <c r="A60" s="111" t="s">
        <v>283</v>
      </c>
      <c r="B60" s="19">
        <v>108000</v>
      </c>
      <c r="C60" s="19">
        <v>216000</v>
      </c>
      <c r="D60" s="19">
        <v>216000</v>
      </c>
      <c r="E60" s="19">
        <v>432000</v>
      </c>
      <c r="F60"/>
      <c r="G60"/>
      <c r="H60"/>
      <c r="I60"/>
      <c r="J60" s="2"/>
      <c r="K60" s="2"/>
      <c r="L60"/>
      <c r="M60" s="2"/>
      <c r="N60" s="2"/>
      <c r="O60"/>
      <c r="P60"/>
      <c r="Q60"/>
    </row>
    <row r="61" spans="1:19">
      <c r="A61" s="111" t="s">
        <v>284</v>
      </c>
      <c r="B61" s="19"/>
      <c r="C61" s="19"/>
      <c r="D61" s="19">
        <v>54000</v>
      </c>
      <c r="E61" s="19"/>
      <c r="F61"/>
      <c r="G61"/>
      <c r="H61"/>
      <c r="I61"/>
      <c r="J61" s="2"/>
      <c r="K61" s="2"/>
      <c r="L61"/>
      <c r="M61" s="2"/>
      <c r="N61" s="2"/>
      <c r="O61"/>
      <c r="P61"/>
      <c r="Q61"/>
    </row>
    <row r="62" spans="1:19">
      <c r="A62" s="111" t="s">
        <v>285</v>
      </c>
      <c r="B62" s="19">
        <v>55400</v>
      </c>
      <c r="C62" s="19">
        <v>216000</v>
      </c>
      <c r="D62" s="19">
        <v>162000</v>
      </c>
      <c r="E62" s="19"/>
      <c r="F62"/>
      <c r="G62"/>
      <c r="H62"/>
      <c r="I62"/>
      <c r="L62"/>
      <c r="O62"/>
      <c r="P62"/>
      <c r="Q62"/>
    </row>
    <row r="63" spans="1:19">
      <c r="A63" s="111" t="s">
        <v>282</v>
      </c>
      <c r="B63" s="19">
        <v>163400</v>
      </c>
      <c r="C63" s="19">
        <v>432000</v>
      </c>
      <c r="D63" s="19">
        <v>432000</v>
      </c>
      <c r="E63" s="19">
        <v>432000</v>
      </c>
      <c r="F63"/>
      <c r="G63"/>
      <c r="H63"/>
      <c r="I63"/>
      <c r="L63"/>
      <c r="O63"/>
      <c r="P63"/>
      <c r="Q63"/>
    </row>
    <row r="64" spans="1:19">
      <c r="A64"/>
      <c r="B64"/>
      <c r="C64"/>
      <c r="D64"/>
      <c r="E64"/>
      <c r="F64"/>
      <c r="G64"/>
      <c r="H64"/>
      <c r="I64"/>
      <c r="L64"/>
      <c r="O64"/>
      <c r="P64"/>
      <c r="Q64"/>
    </row>
    <row r="65" spans="1:17">
      <c r="A65"/>
      <c r="B65"/>
      <c r="C65"/>
      <c r="D65"/>
      <c r="E65"/>
      <c r="F65"/>
      <c r="G65"/>
      <c r="H65"/>
      <c r="I65"/>
      <c r="L65"/>
      <c r="O65"/>
      <c r="P65"/>
      <c r="Q65"/>
    </row>
    <row r="66" spans="1:17">
      <c r="A66"/>
      <c r="B66"/>
      <c r="C66"/>
      <c r="D66"/>
      <c r="E66"/>
      <c r="F66"/>
      <c r="G66"/>
      <c r="H66"/>
      <c r="I66"/>
      <c r="L66"/>
      <c r="O66"/>
    </row>
    <row r="67" spans="1:17">
      <c r="A67" s="75" t="s">
        <v>263</v>
      </c>
      <c r="B67" s="75" t="s">
        <v>264</v>
      </c>
      <c r="C67"/>
      <c r="D67"/>
      <c r="E67"/>
      <c r="F67"/>
      <c r="G67"/>
      <c r="H67"/>
      <c r="I67"/>
      <c r="L67"/>
    </row>
    <row r="68" spans="1:17">
      <c r="A68" s="75" t="s">
        <v>265</v>
      </c>
      <c r="B68" t="s">
        <v>344</v>
      </c>
      <c r="C68" t="s">
        <v>266</v>
      </c>
      <c r="D68" t="s">
        <v>267</v>
      </c>
      <c r="E68" t="s">
        <v>268</v>
      </c>
      <c r="F68"/>
      <c r="G68"/>
      <c r="H68"/>
      <c r="I68"/>
      <c r="L68"/>
    </row>
    <row r="69" spans="1:17">
      <c r="A69" s="111" t="s">
        <v>283</v>
      </c>
      <c r="B69" s="889">
        <v>0.66095471236230108</v>
      </c>
      <c r="C69" s="889">
        <v>0.5</v>
      </c>
      <c r="D69" s="889">
        <v>0.5</v>
      </c>
      <c r="E69" s="889">
        <v>1</v>
      </c>
      <c r="F69"/>
      <c r="G69"/>
      <c r="H69"/>
      <c r="I69"/>
      <c r="L69"/>
    </row>
    <row r="70" spans="1:17">
      <c r="A70" s="111" t="s">
        <v>284</v>
      </c>
      <c r="B70" s="889">
        <v>0</v>
      </c>
      <c r="C70" s="889">
        <v>0</v>
      </c>
      <c r="D70" s="889">
        <v>0.125</v>
      </c>
      <c r="E70" s="889">
        <v>0</v>
      </c>
      <c r="F70"/>
      <c r="G70"/>
      <c r="H70"/>
      <c r="I70"/>
      <c r="L70"/>
    </row>
    <row r="71" spans="1:17">
      <c r="A71" s="111" t="s">
        <v>285</v>
      </c>
      <c r="B71" s="889">
        <v>0.33904528763769892</v>
      </c>
      <c r="C71" s="889">
        <v>0.5</v>
      </c>
      <c r="D71" s="889">
        <v>0.375</v>
      </c>
      <c r="E71" s="889">
        <v>0</v>
      </c>
      <c r="F71"/>
      <c r="G71"/>
      <c r="H71"/>
      <c r="I71"/>
      <c r="L71"/>
    </row>
    <row r="72" spans="1:17">
      <c r="A72" s="111" t="s">
        <v>282</v>
      </c>
      <c r="B72" s="889">
        <v>1</v>
      </c>
      <c r="C72" s="889">
        <v>1</v>
      </c>
      <c r="D72" s="889">
        <v>1</v>
      </c>
      <c r="E72" s="889">
        <v>1</v>
      </c>
      <c r="F72"/>
      <c r="G72"/>
      <c r="H72"/>
      <c r="I72"/>
    </row>
    <row r="73" spans="1:17">
      <c r="A73"/>
      <c r="B73"/>
      <c r="C73"/>
      <c r="D73"/>
      <c r="E73"/>
      <c r="F73"/>
      <c r="G73"/>
      <c r="H73"/>
      <c r="I73"/>
    </row>
    <row r="74" spans="1:17">
      <c r="A74"/>
      <c r="B74"/>
      <c r="C74"/>
      <c r="D74"/>
      <c r="E74"/>
      <c r="F74"/>
      <c r="G74"/>
      <c r="H74"/>
      <c r="I74"/>
    </row>
    <row r="75" spans="1:17">
      <c r="A75"/>
      <c r="B75"/>
      <c r="C75"/>
      <c r="D75"/>
      <c r="E75"/>
      <c r="F75"/>
      <c r="G75"/>
      <c r="H75"/>
      <c r="I75"/>
    </row>
    <row r="76" spans="1:17">
      <c r="A76" s="75" t="s">
        <v>263</v>
      </c>
      <c r="B76"/>
      <c r="C76" s="75" t="s">
        <v>805</v>
      </c>
      <c r="D76"/>
      <c r="E76"/>
      <c r="F76"/>
      <c r="G76"/>
      <c r="H76"/>
      <c r="I76"/>
    </row>
    <row r="77" spans="1:17">
      <c r="A77" s="75" t="s">
        <v>11</v>
      </c>
      <c r="B77" s="75" t="s">
        <v>12</v>
      </c>
      <c r="C77" t="s">
        <v>344</v>
      </c>
      <c r="D77" t="s">
        <v>266</v>
      </c>
      <c r="E77" t="s">
        <v>267</v>
      </c>
      <c r="F77" t="s">
        <v>268</v>
      </c>
      <c r="G77"/>
      <c r="H77"/>
      <c r="I77"/>
    </row>
    <row r="78" spans="1:17">
      <c r="A78" t="s">
        <v>283</v>
      </c>
      <c r="B78" t="s">
        <v>169</v>
      </c>
      <c r="C78" s="19"/>
      <c r="D78" s="19">
        <v>108000</v>
      </c>
      <c r="E78" s="19"/>
      <c r="F78" s="19"/>
      <c r="G78"/>
      <c r="H78"/>
      <c r="I78"/>
    </row>
    <row r="79" spans="1:17">
      <c r="A79" t="s">
        <v>283</v>
      </c>
      <c r="B79" t="s">
        <v>21</v>
      </c>
      <c r="C79" s="19">
        <v>108000</v>
      </c>
      <c r="D79" s="19">
        <v>54000</v>
      </c>
      <c r="E79" s="19">
        <v>216000</v>
      </c>
      <c r="F79" s="19">
        <v>432000</v>
      </c>
      <c r="G79"/>
      <c r="H79"/>
      <c r="I79"/>
    </row>
    <row r="80" spans="1:17">
      <c r="A80" t="s">
        <v>283</v>
      </c>
      <c r="B80" t="s">
        <v>112</v>
      </c>
      <c r="C80" s="19"/>
      <c r="D80" s="19">
        <v>54000</v>
      </c>
      <c r="E80" s="19"/>
      <c r="F80" s="19"/>
      <c r="G80"/>
      <c r="H80"/>
      <c r="I80"/>
    </row>
    <row r="81" spans="1:9">
      <c r="A81" t="s">
        <v>284</v>
      </c>
      <c r="B81" t="s">
        <v>242</v>
      </c>
      <c r="C81" s="19"/>
      <c r="D81" s="19"/>
      <c r="E81" s="19">
        <v>54000</v>
      </c>
      <c r="F81" s="19"/>
      <c r="G81"/>
      <c r="H81"/>
      <c r="I81"/>
    </row>
    <row r="82" spans="1:9">
      <c r="A82" t="s">
        <v>285</v>
      </c>
      <c r="B82" t="s">
        <v>26</v>
      </c>
      <c r="C82" s="19">
        <v>55400</v>
      </c>
      <c r="D82" s="19">
        <v>216000</v>
      </c>
      <c r="E82" s="19">
        <v>108000</v>
      </c>
      <c r="F82" s="19"/>
      <c r="G82"/>
      <c r="H82"/>
      <c r="I82"/>
    </row>
    <row r="83" spans="1:9">
      <c r="A83" t="s">
        <v>285</v>
      </c>
      <c r="B83" t="s">
        <v>229</v>
      </c>
      <c r="C83" s="19"/>
      <c r="D83" s="19"/>
      <c r="E83" s="19">
        <v>54000</v>
      </c>
      <c r="F83" s="19"/>
      <c r="G83"/>
      <c r="H83"/>
      <c r="I83"/>
    </row>
    <row r="84" spans="1:9">
      <c r="A84" t="s">
        <v>282</v>
      </c>
      <c r="B84"/>
      <c r="C84" s="19">
        <v>163400</v>
      </c>
      <c r="D84" s="19">
        <v>432000</v>
      </c>
      <c r="E84" s="19">
        <v>432000</v>
      </c>
      <c r="F84" s="19">
        <v>432000</v>
      </c>
      <c r="G84"/>
      <c r="H84"/>
      <c r="I84"/>
    </row>
    <row r="85" spans="1:9">
      <c r="A85"/>
      <c r="B85"/>
      <c r="C85"/>
      <c r="D85"/>
      <c r="E85"/>
      <c r="F85"/>
      <c r="G85"/>
      <c r="H85"/>
      <c r="I85"/>
    </row>
    <row r="86" spans="1:9">
      <c r="A86"/>
      <c r="B86"/>
      <c r="C86"/>
      <c r="D86"/>
      <c r="E86"/>
      <c r="F86"/>
      <c r="G86"/>
      <c r="H86"/>
      <c r="I86"/>
    </row>
    <row r="87" spans="1:9">
      <c r="A87"/>
      <c r="B87"/>
      <c r="C87"/>
      <c r="D87"/>
      <c r="E87"/>
      <c r="F87"/>
      <c r="G87"/>
      <c r="H87"/>
      <c r="I87"/>
    </row>
    <row r="88" spans="1:9">
      <c r="A88"/>
      <c r="B88"/>
      <c r="C88"/>
      <c r="D88"/>
      <c r="E88"/>
      <c r="F88"/>
      <c r="G88"/>
      <c r="H88"/>
      <c r="I88"/>
    </row>
    <row r="89" spans="1:9">
      <c r="A89"/>
      <c r="B89"/>
      <c r="C89"/>
      <c r="D89"/>
      <c r="E89"/>
      <c r="F89"/>
      <c r="G89"/>
      <c r="H89"/>
      <c r="I89"/>
    </row>
    <row r="90" spans="1:9">
      <c r="A90"/>
      <c r="B90"/>
      <c r="C90"/>
      <c r="D90"/>
      <c r="E90"/>
      <c r="F90"/>
      <c r="G90"/>
      <c r="H90"/>
      <c r="I90"/>
    </row>
    <row r="91" spans="1:9">
      <c r="A91"/>
      <c r="B91"/>
      <c r="C91"/>
      <c r="D91"/>
      <c r="E91"/>
      <c r="F91"/>
      <c r="G91"/>
      <c r="H91"/>
      <c r="I91"/>
    </row>
    <row r="92" spans="1:9">
      <c r="A92"/>
      <c r="B92"/>
      <c r="C92"/>
      <c r="D92"/>
      <c r="E92"/>
      <c r="F92"/>
      <c r="G92"/>
      <c r="H92"/>
      <c r="I92"/>
    </row>
    <row r="93" spans="1:9">
      <c r="A93"/>
      <c r="B93"/>
      <c r="C93"/>
      <c r="D93"/>
      <c r="E93"/>
      <c r="F93"/>
      <c r="G93"/>
      <c r="H93"/>
      <c r="I93"/>
    </row>
    <row r="94" spans="1:9">
      <c r="A94"/>
      <c r="B94"/>
      <c r="C94"/>
      <c r="D94"/>
      <c r="E94"/>
      <c r="F94"/>
      <c r="G94"/>
      <c r="H94"/>
      <c r="I94"/>
    </row>
    <row r="95" spans="1:9">
      <c r="A95"/>
      <c r="B95"/>
      <c r="C95"/>
      <c r="D95"/>
      <c r="E95"/>
      <c r="F95"/>
      <c r="G95"/>
      <c r="H95"/>
      <c r="I95"/>
    </row>
    <row r="96" spans="1:9">
      <c r="A96"/>
      <c r="B96"/>
      <c r="C96"/>
      <c r="D96"/>
      <c r="E96"/>
      <c r="F96"/>
      <c r="G96"/>
      <c r="H96"/>
      <c r="I96"/>
    </row>
  </sheetData>
  <sheetProtection algorithmName="SHA-512" hashValue="sQqGMYRdHzw2zXJUlMpYql9Vzvx+gzKYwLy5f3p86TztL31W+rebz60NV9Q87yac4H0A/nANE0tOPmoFOOYHeA==" saltValue="IOLKk/TQrqnaiIdp1zIgaQ==" spinCount="100000" sheet="1" formatColumns="0" autoFilter="0" pivotTables="0"/>
  <conditionalFormatting sqref="L2:L26">
    <cfRule type="cellIs" dxfId="227" priority="5" operator="equal">
      <formula>"HUBB"</formula>
    </cfRule>
    <cfRule type="cellIs" dxfId="226" priority="6" operator="equal">
      <formula>"ROSS"</formula>
    </cfRule>
    <cfRule type="cellIs" dxfId="225" priority="7" operator="equal">
      <formula>"COBB"</formula>
    </cfRule>
  </conditionalFormatting>
  <conditionalFormatting sqref="M2:M26">
    <cfRule type="cellIs" dxfId="224" priority="1" operator="equal">
      <formula>"800 SLOW - MX"</formula>
    </cfRule>
    <cfRule type="cellIs" dxfId="223" priority="77" operator="equal">
      <formula>"500 SLOW - MV"</formula>
    </cfRule>
    <cfRule type="cellIs" dxfId="222" priority="78" operator="equal">
      <formula>"500 FAST - MALE"</formula>
    </cfRule>
    <cfRule type="cellIs" dxfId="221" priority="79" operator="equal">
      <formula>"500 SLOW - MX"</formula>
    </cfRule>
    <cfRule type="cellIs" dxfId="220" priority="80" operator="equal">
      <formula>"EFFICIENCY PLUS_M77"</formula>
    </cfRule>
    <cfRule type="cellIs" dxfId="219" priority="81" operator="equal">
      <formula>"AP95 - 344  JBS"</formula>
    </cfRule>
    <cfRule type="cellIs" dxfId="218" priority="82" operator="equal">
      <formula>"500 SLOW - MALE JBS"</formula>
    </cfRule>
    <cfRule type="cellIs" dxfId="217" priority="83" operator="equal">
      <formula>"AP95 - 344"</formula>
    </cfRule>
    <cfRule type="cellIs" dxfId="216" priority="84" operator="equal">
      <formula>"800 SLOW CDP4 - MALE"</formula>
    </cfRule>
    <cfRule type="cellIs" dxfId="215" priority="85" operator="equal">
      <formula>"800 SLOW CDP4 - MX"</formula>
    </cfRule>
    <cfRule type="cellIs" dxfId="214" priority="86" operator="equal">
      <formula>"500 SLOW - MALE"</formula>
    </cfRule>
  </conditionalFormatting>
  <pageMargins left="0.51181102362204722" right="0.51181102362204722" top="0.78740157480314965" bottom="0.78740157480314965" header="0.31496062992125984" footer="0.31496062992125984"/>
  <pageSetup paperSize="9" scale="62" orientation="landscape" horizontalDpi="4294967293" r:id="rId5"/>
  <drawing r:id="rId6"/>
  <legacyDrawing r:id="rId7"/>
  <extLst>
    <ext xmlns:x15="http://schemas.microsoft.com/office/spreadsheetml/2010/11/main" uri="{7E03D99C-DC04-49d9-9315-930204A7B6E9}">
      <x15:timelineRefs>
        <x15:timelineRef r:id="rId8"/>
      </x15:timeline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6F7A-7CB6-4541-9F4E-9003AE6DC18C}">
  <sheetPr codeName="Planilha10">
    <tabColor rgb="FFFFFF00"/>
    <pageSetUpPr fitToPage="1"/>
  </sheetPr>
  <dimension ref="A1:U85"/>
  <sheetViews>
    <sheetView showGridLines="0" topLeftCell="A2" zoomScale="70" zoomScaleNormal="70" workbookViewId="0">
      <selection activeCell="G22" sqref="G22"/>
    </sheetView>
  </sheetViews>
  <sheetFormatPr defaultColWidth="16.09765625" defaultRowHeight="15.6"/>
  <cols>
    <col min="1" max="1" width="18.19921875" style="265" bestFit="1" customWidth="1"/>
    <col min="2" max="2" width="19.3984375" style="265" bestFit="1" customWidth="1"/>
    <col min="3" max="5" width="7.3984375" style="265" bestFit="1" customWidth="1"/>
    <col min="6" max="7" width="6.3984375" style="265" bestFit="1" customWidth="1"/>
    <col min="8" max="8" width="7.19921875" style="265" bestFit="1" customWidth="1"/>
    <col min="9" max="9" width="7.3984375" style="265" bestFit="1" customWidth="1"/>
    <col min="10" max="10" width="4.09765625" style="265" bestFit="1" customWidth="1"/>
    <col min="11" max="11" width="6.8984375" style="871" bestFit="1" customWidth="1"/>
    <col min="12" max="12" width="18.09765625" style="265" bestFit="1" customWidth="1"/>
    <col min="13" max="13" width="15.796875" style="265" bestFit="1" customWidth="1"/>
    <col min="14" max="14" width="8.3984375" style="265" bestFit="1" customWidth="1"/>
    <col min="15" max="15" width="6.09765625" style="265" bestFit="1" customWidth="1"/>
    <col min="16" max="16" width="24.796875" style="265" bestFit="1" customWidth="1"/>
    <col min="17" max="17" width="7.19921875" style="265" bestFit="1" customWidth="1"/>
    <col min="18" max="18" width="15.796875" style="265" bestFit="1" customWidth="1"/>
    <col min="19" max="19" width="7.59765625" style="265" bestFit="1" customWidth="1"/>
    <col min="20" max="20" width="9.796875" style="265" bestFit="1" customWidth="1"/>
    <col min="21" max="21" width="12.3984375" style="265" bestFit="1" customWidth="1"/>
    <col min="22" max="16384" width="16.09765625" style="265"/>
  </cols>
  <sheetData>
    <row r="1" spans="1:21" ht="52.2">
      <c r="A1" s="95" t="s">
        <v>0</v>
      </c>
      <c r="B1" s="95" t="s">
        <v>1</v>
      </c>
      <c r="C1" s="95" t="s">
        <v>2</v>
      </c>
      <c r="D1" s="95" t="s">
        <v>3</v>
      </c>
      <c r="E1" s="7" t="s">
        <v>362</v>
      </c>
      <c r="F1" s="97" t="s">
        <v>538</v>
      </c>
      <c r="G1" s="95" t="s">
        <v>293</v>
      </c>
      <c r="H1" s="95" t="s">
        <v>8</v>
      </c>
      <c r="I1" s="95" t="s">
        <v>9</v>
      </c>
      <c r="J1" s="95" t="s">
        <v>10</v>
      </c>
      <c r="K1" s="95" t="s">
        <v>11</v>
      </c>
      <c r="L1" s="95" t="s">
        <v>346</v>
      </c>
      <c r="M1" s="98" t="s">
        <v>13</v>
      </c>
      <c r="N1" s="95" t="s">
        <v>3</v>
      </c>
      <c r="O1" s="97" t="s">
        <v>538</v>
      </c>
      <c r="P1" s="97" t="s">
        <v>295</v>
      </c>
      <c r="Q1" s="96" t="s">
        <v>8</v>
      </c>
      <c r="R1" s="95" t="s">
        <v>14</v>
      </c>
      <c r="S1" s="95" t="s">
        <v>15</v>
      </c>
      <c r="T1" s="94" t="s">
        <v>10</v>
      </c>
      <c r="U1" s="93" t="s">
        <v>16</v>
      </c>
    </row>
    <row r="2" spans="1:21" ht="30">
      <c r="A2" s="415" t="s">
        <v>806</v>
      </c>
      <c r="B2" s="416">
        <v>45598</v>
      </c>
      <c r="C2" s="417">
        <v>45596</v>
      </c>
      <c r="D2" s="418" t="s">
        <v>807</v>
      </c>
      <c r="E2" s="419">
        <f t="shared" ref="E2:E19" ca="1" si="0">IF((TODAY()-C2)/7&gt;R2,R2,(TODAY()-C2)/7)</f>
        <v>99.714285714285708</v>
      </c>
      <c r="F2" s="419">
        <v>40</v>
      </c>
      <c r="G2" s="420" t="s">
        <v>808</v>
      </c>
      <c r="H2" s="421">
        <v>61609</v>
      </c>
      <c r="I2" s="415" t="s">
        <v>809</v>
      </c>
      <c r="J2" s="415">
        <f>B4-M2</f>
        <v>47</v>
      </c>
      <c r="K2" s="804" t="s">
        <v>285</v>
      </c>
      <c r="L2" s="804" t="s">
        <v>26</v>
      </c>
      <c r="M2" s="139">
        <f t="shared" ref="M2:M19" si="1">C2+(21*7)</f>
        <v>45743</v>
      </c>
      <c r="N2" s="303" t="s">
        <v>807</v>
      </c>
      <c r="O2" s="140">
        <v>40</v>
      </c>
      <c r="P2" s="141" t="s">
        <v>810</v>
      </c>
      <c r="Q2" s="138">
        <v>58140</v>
      </c>
      <c r="R2" s="142">
        <f t="shared" ref="R2:R19" si="2">C2+(S2*7)-1</f>
        <v>46071</v>
      </c>
      <c r="S2" s="143">
        <v>68</v>
      </c>
      <c r="T2" s="144">
        <f>M6-R2</f>
        <v>35</v>
      </c>
      <c r="U2" s="145">
        <f t="shared" ref="U2:U19" si="3">IFERROR(R2+T2," ")</f>
        <v>46106</v>
      </c>
    </row>
    <row r="3" spans="1:21" ht="30">
      <c r="A3" s="415" t="s">
        <v>806</v>
      </c>
      <c r="B3" s="416">
        <v>45683</v>
      </c>
      <c r="C3" s="417">
        <f>B3</f>
        <v>45683</v>
      </c>
      <c r="D3" s="422" t="s">
        <v>811</v>
      </c>
      <c r="E3" s="419">
        <f t="shared" ca="1" si="0"/>
        <v>87.285714285714292</v>
      </c>
      <c r="F3" s="419">
        <v>40</v>
      </c>
      <c r="G3" s="420" t="s">
        <v>812</v>
      </c>
      <c r="H3" s="421">
        <v>49048</v>
      </c>
      <c r="I3" s="415" t="s">
        <v>809</v>
      </c>
      <c r="J3" s="415">
        <f>B5-M3</f>
        <v>39</v>
      </c>
      <c r="K3" s="804" t="s">
        <v>285</v>
      </c>
      <c r="L3" s="804" t="s">
        <v>26</v>
      </c>
      <c r="M3" s="139">
        <f t="shared" si="1"/>
        <v>45830</v>
      </c>
      <c r="N3" s="303" t="s">
        <v>811</v>
      </c>
      <c r="O3" s="140">
        <v>40</v>
      </c>
      <c r="P3" s="141" t="s">
        <v>813</v>
      </c>
      <c r="Q3" s="138">
        <v>46720</v>
      </c>
      <c r="R3" s="142">
        <f t="shared" si="2"/>
        <v>46158</v>
      </c>
      <c r="S3" s="143">
        <v>68</v>
      </c>
      <c r="T3" s="144">
        <f>M8-R3</f>
        <v>40</v>
      </c>
      <c r="U3" s="145">
        <f t="shared" si="3"/>
        <v>46198</v>
      </c>
    </row>
    <row r="4" spans="1:21" ht="30">
      <c r="A4" s="415" t="s">
        <v>806</v>
      </c>
      <c r="B4" s="416">
        <v>45790</v>
      </c>
      <c r="C4" s="417">
        <v>45785</v>
      </c>
      <c r="D4" s="422" t="s">
        <v>814</v>
      </c>
      <c r="E4" s="419">
        <f t="shared" ca="1" si="0"/>
        <v>72.714285714285708</v>
      </c>
      <c r="F4" s="419">
        <v>40</v>
      </c>
      <c r="G4" s="420" t="s">
        <v>808</v>
      </c>
      <c r="H4" s="421">
        <v>60070</v>
      </c>
      <c r="I4" s="415" t="s">
        <v>60</v>
      </c>
      <c r="J4" s="415">
        <f>B6-M4</f>
        <v>27</v>
      </c>
      <c r="K4" s="804" t="s">
        <v>285</v>
      </c>
      <c r="L4" s="804" t="s">
        <v>26</v>
      </c>
      <c r="M4" s="139">
        <f t="shared" si="1"/>
        <v>45932</v>
      </c>
      <c r="N4" s="303" t="s">
        <v>814</v>
      </c>
      <c r="O4" s="140">
        <v>40</v>
      </c>
      <c r="P4" s="141" t="s">
        <v>815</v>
      </c>
      <c r="Q4" s="138">
        <v>57428</v>
      </c>
      <c r="R4" s="142">
        <f t="shared" si="2"/>
        <v>46260</v>
      </c>
      <c r="S4" s="143">
        <v>68</v>
      </c>
      <c r="T4" s="144">
        <f>M9-R4</f>
        <v>29</v>
      </c>
      <c r="U4" s="145">
        <f t="shared" si="3"/>
        <v>46289</v>
      </c>
    </row>
    <row r="5" spans="1:21" ht="30">
      <c r="A5" s="173" t="s">
        <v>806</v>
      </c>
      <c r="B5" s="174">
        <v>45869</v>
      </c>
      <c r="C5" s="176">
        <v>45869</v>
      </c>
      <c r="D5" s="258" t="s">
        <v>816</v>
      </c>
      <c r="E5" s="177">
        <f t="shared" ca="1" si="0"/>
        <v>60.714285714285715</v>
      </c>
      <c r="F5" s="177">
        <v>40</v>
      </c>
      <c r="G5" s="178" t="s">
        <v>812</v>
      </c>
      <c r="H5" s="179">
        <v>49456</v>
      </c>
      <c r="I5" s="173" t="s">
        <v>45</v>
      </c>
      <c r="J5" s="173">
        <f t="shared" ref="J5" si="4">B8-M5</f>
        <v>35</v>
      </c>
      <c r="K5" s="803" t="s">
        <v>283</v>
      </c>
      <c r="L5" s="803" t="s">
        <v>21</v>
      </c>
      <c r="M5" s="139">
        <f t="shared" si="1"/>
        <v>46016</v>
      </c>
      <c r="N5" s="303" t="s">
        <v>816</v>
      </c>
      <c r="O5" s="140">
        <v>40</v>
      </c>
      <c r="P5" s="141" t="s">
        <v>817</v>
      </c>
      <c r="Q5" s="138">
        <f>H5*0.955</f>
        <v>47230.479999999996</v>
      </c>
      <c r="R5" s="142">
        <f t="shared" si="2"/>
        <v>46344</v>
      </c>
      <c r="S5" s="143">
        <v>68</v>
      </c>
      <c r="T5" s="144">
        <f t="shared" ref="T5:T19" si="5">M11-R5</f>
        <v>38</v>
      </c>
      <c r="U5" s="145">
        <f t="shared" si="3"/>
        <v>46382</v>
      </c>
    </row>
    <row r="6" spans="1:21" ht="30">
      <c r="A6" s="173" t="s">
        <v>806</v>
      </c>
      <c r="B6" s="174">
        <v>45959</v>
      </c>
      <c r="C6" s="176">
        <f t="shared" ref="C6:C19" si="6">B6</f>
        <v>45959</v>
      </c>
      <c r="D6" s="258" t="s">
        <v>818</v>
      </c>
      <c r="E6" s="177">
        <f t="shared" ca="1" si="0"/>
        <v>47.857142857142854</v>
      </c>
      <c r="F6" s="177">
        <v>40</v>
      </c>
      <c r="G6" s="178" t="s">
        <v>808</v>
      </c>
      <c r="H6" s="179">
        <v>62507</v>
      </c>
      <c r="I6" s="173" t="s">
        <v>819</v>
      </c>
      <c r="J6" s="173">
        <v>36</v>
      </c>
      <c r="K6" s="804" t="s">
        <v>285</v>
      </c>
      <c r="L6" s="804" t="s">
        <v>26</v>
      </c>
      <c r="M6" s="139">
        <f t="shared" si="1"/>
        <v>46106</v>
      </c>
      <c r="N6" s="303" t="s">
        <v>818</v>
      </c>
      <c r="O6" s="140">
        <v>40</v>
      </c>
      <c r="P6" s="141" t="s">
        <v>810</v>
      </c>
      <c r="Q6" s="138">
        <f>H6*0.955</f>
        <v>59694.184999999998</v>
      </c>
      <c r="R6" s="142">
        <f t="shared" si="2"/>
        <v>46434</v>
      </c>
      <c r="S6" s="143">
        <v>68</v>
      </c>
      <c r="T6" s="144">
        <f t="shared" si="5"/>
        <v>47</v>
      </c>
      <c r="U6" s="145">
        <f>IFERROR(R6+T6," ")</f>
        <v>46481</v>
      </c>
    </row>
    <row r="7" spans="1:21" ht="30">
      <c r="A7" s="173" t="s">
        <v>806</v>
      </c>
      <c r="B7" s="174">
        <v>46022</v>
      </c>
      <c r="C7" s="176">
        <f t="shared" si="6"/>
        <v>46022</v>
      </c>
      <c r="D7" s="258" t="s">
        <v>820</v>
      </c>
      <c r="E7" s="177">
        <f t="shared" ca="1" si="0"/>
        <v>38.857142857142854</v>
      </c>
      <c r="F7" s="177">
        <v>44</v>
      </c>
      <c r="G7" s="178" t="s">
        <v>821</v>
      </c>
      <c r="H7" s="179">
        <v>60000</v>
      </c>
      <c r="I7" s="173" t="s">
        <v>819</v>
      </c>
      <c r="J7" s="173">
        <v>26</v>
      </c>
      <c r="K7" s="804" t="s">
        <v>285</v>
      </c>
      <c r="L7" s="804" t="s">
        <v>26</v>
      </c>
      <c r="M7" s="139">
        <f t="shared" si="1"/>
        <v>46169</v>
      </c>
      <c r="N7" s="303" t="s">
        <v>822</v>
      </c>
      <c r="O7" s="140">
        <v>44</v>
      </c>
      <c r="P7" s="141" t="s">
        <v>823</v>
      </c>
      <c r="Q7" s="138">
        <f>H7*0.955</f>
        <v>57300</v>
      </c>
      <c r="R7" s="142">
        <f t="shared" si="2"/>
        <v>46497</v>
      </c>
      <c r="S7" s="143">
        <v>68</v>
      </c>
      <c r="T7" s="144">
        <f t="shared" si="5"/>
        <v>37</v>
      </c>
      <c r="U7" s="145">
        <f t="shared" si="3"/>
        <v>46534</v>
      </c>
    </row>
    <row r="8" spans="1:21" ht="30">
      <c r="A8" s="173" t="s">
        <v>806</v>
      </c>
      <c r="B8" s="174">
        <v>46051</v>
      </c>
      <c r="C8" s="176">
        <f t="shared" si="6"/>
        <v>46051</v>
      </c>
      <c r="D8" s="258" t="s">
        <v>824</v>
      </c>
      <c r="E8" s="177">
        <f t="shared" ca="1" si="0"/>
        <v>34.714285714285715</v>
      </c>
      <c r="F8" s="177">
        <v>40</v>
      </c>
      <c r="G8" s="178" t="s">
        <v>812</v>
      </c>
      <c r="H8" s="179">
        <v>49000</v>
      </c>
      <c r="I8" s="173" t="s">
        <v>819</v>
      </c>
      <c r="J8" s="173">
        <v>37</v>
      </c>
      <c r="K8" s="803" t="s">
        <v>283</v>
      </c>
      <c r="L8" s="803" t="s">
        <v>21</v>
      </c>
      <c r="M8" s="139">
        <f t="shared" si="1"/>
        <v>46198</v>
      </c>
      <c r="N8" s="303" t="s">
        <v>825</v>
      </c>
      <c r="O8" s="140">
        <v>40</v>
      </c>
      <c r="P8" s="141" t="s">
        <v>813</v>
      </c>
      <c r="Q8" s="138">
        <f>H8*0.955</f>
        <v>46795</v>
      </c>
      <c r="R8" s="142">
        <f t="shared" si="2"/>
        <v>46526</v>
      </c>
      <c r="S8" s="143">
        <v>68</v>
      </c>
      <c r="T8" s="144">
        <f t="shared" ref="T8:T13" si="7">M19-R8</f>
        <v>377</v>
      </c>
      <c r="U8" s="145">
        <f t="shared" si="3"/>
        <v>46903</v>
      </c>
    </row>
    <row r="9" spans="1:21" ht="30">
      <c r="A9" s="173" t="s">
        <v>806</v>
      </c>
      <c r="B9" s="893">
        <f t="shared" ref="B9:B17" si="8">M6+J6</f>
        <v>46142</v>
      </c>
      <c r="C9" s="176">
        <f t="shared" si="6"/>
        <v>46142</v>
      </c>
      <c r="D9" s="258" t="s">
        <v>826</v>
      </c>
      <c r="E9" s="177">
        <f t="shared" ca="1" si="0"/>
        <v>21.714285714285715</v>
      </c>
      <c r="F9" s="177">
        <v>40</v>
      </c>
      <c r="G9" s="178" t="s">
        <v>808</v>
      </c>
      <c r="H9" s="179">
        <v>60000</v>
      </c>
      <c r="I9" s="173" t="s">
        <v>45</v>
      </c>
      <c r="J9" s="173">
        <v>45</v>
      </c>
      <c r="K9" s="804" t="s">
        <v>285</v>
      </c>
      <c r="L9" s="804" t="s">
        <v>26</v>
      </c>
      <c r="M9" s="139">
        <f t="shared" si="1"/>
        <v>46289</v>
      </c>
      <c r="N9" s="303" t="s">
        <v>827</v>
      </c>
      <c r="O9" s="140">
        <v>40</v>
      </c>
      <c r="P9" s="141" t="s">
        <v>815</v>
      </c>
      <c r="Q9" s="138">
        <v>26000</v>
      </c>
      <c r="R9" s="142">
        <f t="shared" si="2"/>
        <v>46617</v>
      </c>
      <c r="S9" s="143">
        <v>68</v>
      </c>
      <c r="T9" s="144">
        <f t="shared" si="7"/>
        <v>-46617</v>
      </c>
      <c r="U9" s="145">
        <f t="shared" si="3"/>
        <v>0</v>
      </c>
    </row>
    <row r="10" spans="1:21" ht="30">
      <c r="A10" s="173" t="s">
        <v>806</v>
      </c>
      <c r="B10" s="893">
        <f t="shared" si="8"/>
        <v>46195</v>
      </c>
      <c r="C10" s="176">
        <f t="shared" si="6"/>
        <v>46195</v>
      </c>
      <c r="D10" s="258" t="s">
        <v>828</v>
      </c>
      <c r="E10" s="177">
        <f t="shared" ca="1" si="0"/>
        <v>14.142857142857142</v>
      </c>
      <c r="F10" s="177">
        <v>44</v>
      </c>
      <c r="G10" s="178" t="s">
        <v>821</v>
      </c>
      <c r="H10" s="179">
        <v>60000</v>
      </c>
      <c r="I10" s="173" t="s">
        <v>45</v>
      </c>
      <c r="J10" s="173">
        <v>45</v>
      </c>
      <c r="K10" s="804" t="s">
        <v>285</v>
      </c>
      <c r="L10" s="804" t="s">
        <v>26</v>
      </c>
      <c r="M10" s="139">
        <f t="shared" si="1"/>
        <v>46342</v>
      </c>
      <c r="N10" s="303" t="s">
        <v>829</v>
      </c>
      <c r="O10" s="140">
        <v>44</v>
      </c>
      <c r="P10" s="141" t="s">
        <v>830</v>
      </c>
      <c r="Q10" s="138">
        <f t="shared" ref="Q10:Q19" si="9">H10*0.955</f>
        <v>57300</v>
      </c>
      <c r="R10" s="142">
        <f t="shared" si="2"/>
        <v>46670</v>
      </c>
      <c r="S10" s="143">
        <v>68</v>
      </c>
      <c r="T10" s="144">
        <f t="shared" si="7"/>
        <v>-46670</v>
      </c>
      <c r="U10" s="145">
        <f t="shared" si="3"/>
        <v>0</v>
      </c>
    </row>
    <row r="11" spans="1:21" ht="30">
      <c r="A11" s="173" t="s">
        <v>806</v>
      </c>
      <c r="B11" s="893">
        <f t="shared" si="8"/>
        <v>46235</v>
      </c>
      <c r="C11" s="176">
        <f t="shared" si="6"/>
        <v>46235</v>
      </c>
      <c r="D11" s="258" t="s">
        <v>831</v>
      </c>
      <c r="E11" s="177">
        <f t="shared" ca="1" si="0"/>
        <v>8.4285714285714288</v>
      </c>
      <c r="F11" s="177">
        <v>40</v>
      </c>
      <c r="G11" s="178" t="s">
        <v>812</v>
      </c>
      <c r="H11" s="179">
        <v>49000</v>
      </c>
      <c r="I11" s="173" t="s">
        <v>45</v>
      </c>
      <c r="J11" s="15">
        <v>45</v>
      </c>
      <c r="K11" s="803" t="s">
        <v>283</v>
      </c>
      <c r="L11" s="803" t="s">
        <v>21</v>
      </c>
      <c r="M11" s="139">
        <f t="shared" si="1"/>
        <v>46382</v>
      </c>
      <c r="N11" s="303" t="s">
        <v>832</v>
      </c>
      <c r="O11" s="140">
        <v>40</v>
      </c>
      <c r="P11" s="141" t="s">
        <v>817</v>
      </c>
      <c r="Q11" s="138">
        <f t="shared" si="9"/>
        <v>46795</v>
      </c>
      <c r="R11" s="142">
        <f t="shared" si="2"/>
        <v>46710</v>
      </c>
      <c r="S11" s="143">
        <v>68</v>
      </c>
      <c r="T11" s="144">
        <f t="shared" si="7"/>
        <v>-46710</v>
      </c>
      <c r="U11" s="145">
        <f t="shared" si="3"/>
        <v>0</v>
      </c>
    </row>
    <row r="12" spans="1:21" ht="30">
      <c r="A12" s="173" t="s">
        <v>806</v>
      </c>
      <c r="B12" s="893">
        <f t="shared" si="8"/>
        <v>46334</v>
      </c>
      <c r="C12" s="176">
        <f t="shared" si="6"/>
        <v>46334</v>
      </c>
      <c r="D12" s="258" t="s">
        <v>833</v>
      </c>
      <c r="E12" s="177">
        <f t="shared" ca="1" si="0"/>
        <v>-5.7142857142857144</v>
      </c>
      <c r="F12" s="177">
        <v>40</v>
      </c>
      <c r="G12" s="178" t="s">
        <v>808</v>
      </c>
      <c r="H12" s="179">
        <v>60000</v>
      </c>
      <c r="I12" s="423" t="s">
        <v>60</v>
      </c>
      <c r="J12" s="15">
        <v>30</v>
      </c>
      <c r="K12" s="804" t="s">
        <v>285</v>
      </c>
      <c r="L12" s="804" t="s">
        <v>26</v>
      </c>
      <c r="M12" s="139">
        <f t="shared" si="1"/>
        <v>46481</v>
      </c>
      <c r="N12" s="303" t="s">
        <v>834</v>
      </c>
      <c r="O12" s="140">
        <v>40</v>
      </c>
      <c r="P12" s="141" t="s">
        <v>810</v>
      </c>
      <c r="Q12" s="138">
        <f t="shared" si="9"/>
        <v>57300</v>
      </c>
      <c r="R12" s="142">
        <f t="shared" si="2"/>
        <v>46809</v>
      </c>
      <c r="S12" s="143">
        <v>68</v>
      </c>
      <c r="T12" s="144">
        <f t="shared" si="7"/>
        <v>-46809</v>
      </c>
      <c r="U12" s="145">
        <f t="shared" si="3"/>
        <v>0</v>
      </c>
    </row>
    <row r="13" spans="1:21" ht="30">
      <c r="A13" s="423" t="s">
        <v>806</v>
      </c>
      <c r="B13" s="893">
        <f t="shared" si="8"/>
        <v>46387</v>
      </c>
      <c r="C13" s="425">
        <f t="shared" si="6"/>
        <v>46387</v>
      </c>
      <c r="D13" s="426" t="s">
        <v>835</v>
      </c>
      <c r="E13" s="427">
        <f t="shared" ca="1" si="0"/>
        <v>-13.285714285714286</v>
      </c>
      <c r="F13" s="427">
        <v>44</v>
      </c>
      <c r="G13" s="178" t="s">
        <v>821</v>
      </c>
      <c r="H13" s="428">
        <v>60000</v>
      </c>
      <c r="I13" s="423" t="s">
        <v>60</v>
      </c>
      <c r="J13" s="15">
        <v>30</v>
      </c>
      <c r="K13" s="804" t="s">
        <v>285</v>
      </c>
      <c r="L13" s="804" t="s">
        <v>26</v>
      </c>
      <c r="M13" s="429">
        <f t="shared" si="1"/>
        <v>46534</v>
      </c>
      <c r="N13" s="430" t="s">
        <v>836</v>
      </c>
      <c r="O13" s="431">
        <v>44</v>
      </c>
      <c r="P13" s="432" t="s">
        <v>823</v>
      </c>
      <c r="Q13" s="433">
        <f t="shared" si="9"/>
        <v>57300</v>
      </c>
      <c r="R13" s="434">
        <f t="shared" si="2"/>
        <v>46862</v>
      </c>
      <c r="S13" s="435">
        <v>68</v>
      </c>
      <c r="T13" s="436">
        <f t="shared" si="7"/>
        <v>-46862</v>
      </c>
      <c r="U13" s="437">
        <f t="shared" si="3"/>
        <v>0</v>
      </c>
    </row>
    <row r="14" spans="1:21" ht="30">
      <c r="A14" s="423" t="s">
        <v>806</v>
      </c>
      <c r="B14" s="893">
        <f t="shared" si="8"/>
        <v>46427</v>
      </c>
      <c r="C14" s="425">
        <f t="shared" ref="C14" si="10">B14</f>
        <v>46427</v>
      </c>
      <c r="D14" s="426" t="s">
        <v>837</v>
      </c>
      <c r="E14" s="427">
        <f t="shared" ref="E14" ca="1" si="11">IF((TODAY()-C14)/7&gt;R14,R14,(TODAY()-C14)/7)</f>
        <v>-19</v>
      </c>
      <c r="F14" s="427">
        <v>40</v>
      </c>
      <c r="G14" s="178" t="s">
        <v>812</v>
      </c>
      <c r="H14" s="428">
        <v>49000</v>
      </c>
      <c r="I14" s="423" t="s">
        <v>60</v>
      </c>
      <c r="J14" s="15">
        <v>30</v>
      </c>
      <c r="K14" s="803" t="s">
        <v>283</v>
      </c>
      <c r="L14" s="1104" t="s">
        <v>21</v>
      </c>
      <c r="M14" s="429">
        <f t="shared" ref="M14" si="12">C14+(21*7)</f>
        <v>46574</v>
      </c>
      <c r="N14" s="430" t="s">
        <v>838</v>
      </c>
      <c r="O14" s="431">
        <v>40</v>
      </c>
      <c r="P14" s="432" t="s">
        <v>813</v>
      </c>
      <c r="Q14" s="433">
        <f t="shared" ref="Q14" si="13">H14*0.955</f>
        <v>46795</v>
      </c>
      <c r="R14" s="434">
        <f t="shared" ref="R14" si="14">C14+(S14*7)-1</f>
        <v>46902</v>
      </c>
      <c r="S14" s="435">
        <v>68</v>
      </c>
      <c r="T14" s="436">
        <f t="shared" ref="T14" si="15">M20-R14</f>
        <v>-46902</v>
      </c>
      <c r="U14" s="437">
        <f t="shared" ref="U14" si="16">IFERROR(R14+T14," ")</f>
        <v>0</v>
      </c>
    </row>
    <row r="15" spans="1:21" ht="30">
      <c r="A15" s="423" t="s">
        <v>806</v>
      </c>
      <c r="B15" s="893">
        <f t="shared" si="8"/>
        <v>46511</v>
      </c>
      <c r="C15" s="425">
        <f t="shared" si="6"/>
        <v>46511</v>
      </c>
      <c r="D15" s="426" t="s">
        <v>837</v>
      </c>
      <c r="E15" s="427">
        <f t="shared" ca="1" si="0"/>
        <v>-31</v>
      </c>
      <c r="F15" s="427">
        <v>40</v>
      </c>
      <c r="G15" s="178" t="s">
        <v>808</v>
      </c>
      <c r="H15" s="179">
        <v>60000</v>
      </c>
      <c r="I15" s="423" t="s">
        <v>45</v>
      </c>
      <c r="J15" s="15">
        <v>45</v>
      </c>
      <c r="K15" s="804" t="s">
        <v>285</v>
      </c>
      <c r="L15" s="1104" t="s">
        <v>26</v>
      </c>
      <c r="M15" s="429">
        <f t="shared" si="1"/>
        <v>46658</v>
      </c>
      <c r="N15" s="430" t="s">
        <v>838</v>
      </c>
      <c r="O15" s="431">
        <v>40</v>
      </c>
      <c r="P15" s="432" t="s">
        <v>813</v>
      </c>
      <c r="Q15" s="433">
        <f t="shared" si="9"/>
        <v>57300</v>
      </c>
      <c r="R15" s="434">
        <f t="shared" si="2"/>
        <v>46986</v>
      </c>
      <c r="S15" s="435">
        <v>68</v>
      </c>
      <c r="T15" s="436">
        <f t="shared" ref="T15" si="17">M21-R15</f>
        <v>-46986</v>
      </c>
      <c r="U15" s="437">
        <f t="shared" si="3"/>
        <v>0</v>
      </c>
    </row>
    <row r="16" spans="1:21" ht="30">
      <c r="A16" s="423" t="s">
        <v>806</v>
      </c>
      <c r="B16" s="893">
        <f t="shared" si="8"/>
        <v>46564</v>
      </c>
      <c r="C16" s="425">
        <f t="shared" ref="C16" si="18">B16</f>
        <v>46564</v>
      </c>
      <c r="D16" s="426" t="s">
        <v>837</v>
      </c>
      <c r="E16" s="427">
        <f t="shared" ref="E16" ca="1" si="19">IF((TODAY()-C16)/7&gt;R16,R16,(TODAY()-C16)/7)</f>
        <v>-38.571428571428569</v>
      </c>
      <c r="F16" s="427">
        <v>40</v>
      </c>
      <c r="G16" s="178" t="s">
        <v>821</v>
      </c>
      <c r="H16" s="428">
        <v>60000</v>
      </c>
      <c r="I16" s="423" t="s">
        <v>45</v>
      </c>
      <c r="J16" s="15">
        <v>45</v>
      </c>
      <c r="K16" s="803" t="s">
        <v>283</v>
      </c>
      <c r="L16" s="1104" t="s">
        <v>21</v>
      </c>
      <c r="M16" s="429">
        <f t="shared" ref="M16" si="20">C16+(21*7)</f>
        <v>46711</v>
      </c>
      <c r="N16" s="430" t="s">
        <v>838</v>
      </c>
      <c r="O16" s="431">
        <v>40</v>
      </c>
      <c r="P16" s="432" t="s">
        <v>813</v>
      </c>
      <c r="Q16" s="433">
        <f t="shared" ref="Q16" si="21">H16*0.955</f>
        <v>57300</v>
      </c>
      <c r="R16" s="434">
        <f t="shared" ref="R16" si="22">C16+(S16*7)-1</f>
        <v>47039</v>
      </c>
      <c r="S16" s="435">
        <v>68</v>
      </c>
      <c r="T16" s="436">
        <f t="shared" ref="T16" si="23">M22-R16</f>
        <v>-47039</v>
      </c>
      <c r="U16" s="437">
        <f t="shared" ref="U16" si="24">IFERROR(R16+T16," ")</f>
        <v>0</v>
      </c>
    </row>
    <row r="17" spans="1:21" ht="30">
      <c r="A17" s="423" t="s">
        <v>806</v>
      </c>
      <c r="B17" s="893">
        <f t="shared" si="8"/>
        <v>46604</v>
      </c>
      <c r="C17" s="425">
        <f t="shared" si="6"/>
        <v>46604</v>
      </c>
      <c r="D17" s="426" t="s">
        <v>837</v>
      </c>
      <c r="E17" s="427">
        <f t="shared" ca="1" si="0"/>
        <v>-44.285714285714285</v>
      </c>
      <c r="F17" s="427">
        <v>40</v>
      </c>
      <c r="G17" s="178" t="s">
        <v>812</v>
      </c>
      <c r="H17" s="428">
        <v>49000</v>
      </c>
      <c r="I17" s="423" t="s">
        <v>45</v>
      </c>
      <c r="J17" s="15">
        <v>30</v>
      </c>
      <c r="K17" s="803" t="s">
        <v>283</v>
      </c>
      <c r="L17" s="1104" t="s">
        <v>21</v>
      </c>
      <c r="M17" s="429">
        <f t="shared" si="1"/>
        <v>46751</v>
      </c>
      <c r="N17" s="430" t="s">
        <v>838</v>
      </c>
      <c r="O17" s="431">
        <v>40</v>
      </c>
      <c r="P17" s="432" t="s">
        <v>813</v>
      </c>
      <c r="Q17" s="433">
        <f t="shared" si="9"/>
        <v>46795</v>
      </c>
      <c r="R17" s="434">
        <f t="shared" si="2"/>
        <v>47079</v>
      </c>
      <c r="S17" s="435">
        <v>68</v>
      </c>
      <c r="T17" s="436">
        <f t="shared" ref="T17" si="25">M23-R17</f>
        <v>-47079</v>
      </c>
      <c r="U17" s="437">
        <f t="shared" si="3"/>
        <v>0</v>
      </c>
    </row>
    <row r="18" spans="1:21" ht="30">
      <c r="A18" s="423" t="s">
        <v>806</v>
      </c>
      <c r="B18" s="424">
        <f t="shared" ref="B18:B19" si="26">M15+J15</f>
        <v>46703</v>
      </c>
      <c r="C18" s="425">
        <f t="shared" ref="C18" si="27">B18</f>
        <v>46703</v>
      </c>
      <c r="D18" s="426" t="s">
        <v>837</v>
      </c>
      <c r="E18" s="427">
        <f t="shared" ref="E18" ca="1" si="28">IF((TODAY()-C18)/7&gt;R18,R18,(TODAY()-C18)/7)</f>
        <v>-58.428571428571431</v>
      </c>
      <c r="F18" s="427">
        <v>40</v>
      </c>
      <c r="G18" s="178" t="s">
        <v>808</v>
      </c>
      <c r="H18" s="179">
        <v>60000</v>
      </c>
      <c r="I18" s="423" t="s">
        <v>45</v>
      </c>
      <c r="J18" s="15">
        <v>30</v>
      </c>
      <c r="K18" s="804" t="s">
        <v>285</v>
      </c>
      <c r="L18" s="1104" t="s">
        <v>26</v>
      </c>
      <c r="M18" s="429">
        <f t="shared" ref="M18" si="29">C18+(21*7)</f>
        <v>46850</v>
      </c>
      <c r="N18" s="430" t="s">
        <v>838</v>
      </c>
      <c r="O18" s="431">
        <v>40</v>
      </c>
      <c r="P18" s="432" t="s">
        <v>813</v>
      </c>
      <c r="Q18" s="433">
        <f t="shared" ref="Q18" si="30">H18*0.955</f>
        <v>57300</v>
      </c>
      <c r="R18" s="434">
        <f t="shared" ref="R18" si="31">C18+(S18*7)-1</f>
        <v>47178</v>
      </c>
      <c r="S18" s="435">
        <v>68</v>
      </c>
      <c r="T18" s="436">
        <f t="shared" ref="T18" si="32">M24-R18</f>
        <v>-47178</v>
      </c>
      <c r="U18" s="437">
        <f t="shared" ref="U18" si="33">IFERROR(R18+T18," ")</f>
        <v>0</v>
      </c>
    </row>
    <row r="19" spans="1:21" ht="30">
      <c r="A19" s="423" t="s">
        <v>806</v>
      </c>
      <c r="B19" s="424">
        <f t="shared" si="26"/>
        <v>46756</v>
      </c>
      <c r="C19" s="425">
        <f t="shared" si="6"/>
        <v>46756</v>
      </c>
      <c r="D19" s="426" t="s">
        <v>837</v>
      </c>
      <c r="E19" s="427">
        <f t="shared" ca="1" si="0"/>
        <v>-66</v>
      </c>
      <c r="F19" s="427">
        <v>40</v>
      </c>
      <c r="G19" s="178" t="s">
        <v>821</v>
      </c>
      <c r="H19" s="428">
        <v>60000</v>
      </c>
      <c r="I19" s="423" t="s">
        <v>45</v>
      </c>
      <c r="J19" s="15">
        <v>30</v>
      </c>
      <c r="K19" s="804" t="s">
        <v>285</v>
      </c>
      <c r="L19" s="1104" t="s">
        <v>26</v>
      </c>
      <c r="M19" s="429">
        <f t="shared" si="1"/>
        <v>46903</v>
      </c>
      <c r="N19" s="430" t="s">
        <v>838</v>
      </c>
      <c r="O19" s="431">
        <v>40</v>
      </c>
      <c r="P19" s="432" t="s">
        <v>813</v>
      </c>
      <c r="Q19" s="433">
        <f t="shared" si="9"/>
        <v>57300</v>
      </c>
      <c r="R19" s="434">
        <f t="shared" si="2"/>
        <v>47231</v>
      </c>
      <c r="S19" s="435">
        <v>68</v>
      </c>
      <c r="T19" s="436">
        <f t="shared" si="5"/>
        <v>-47231</v>
      </c>
      <c r="U19" s="437">
        <f t="shared" si="3"/>
        <v>0</v>
      </c>
    </row>
    <row r="20" spans="1:21">
      <c r="A20" s="1146"/>
      <c r="B20" s="135"/>
      <c r="C20" s="1146"/>
      <c r="D20" s="1167"/>
      <c r="E20" s="1146"/>
      <c r="F20" s="1146"/>
      <c r="G20" s="1146"/>
      <c r="H20" s="1146"/>
      <c r="I20" s="1146"/>
      <c r="J20" s="1146"/>
      <c r="K20" s="1146"/>
      <c r="L20" s="1146"/>
      <c r="M20" s="1146"/>
      <c r="N20" s="1146"/>
      <c r="O20" s="1146"/>
      <c r="P20" s="1146"/>
      <c r="Q20" s="1146"/>
      <c r="R20" s="1146"/>
      <c r="S20" s="1146"/>
      <c r="T20" s="1146"/>
      <c r="U20" s="1146"/>
    </row>
    <row r="21" spans="1:21">
      <c r="A21" s="1146"/>
      <c r="B21" s="1146"/>
      <c r="C21" s="1146"/>
      <c r="D21" s="1167"/>
      <c r="E21" s="1146"/>
      <c r="F21" s="1146"/>
      <c r="G21" s="1146"/>
      <c r="H21" s="1146"/>
      <c r="I21" s="1146"/>
      <c r="J21" s="1146"/>
      <c r="K21" s="1146"/>
      <c r="L21" s="1146"/>
      <c r="M21" s="1146"/>
      <c r="N21" s="1146"/>
      <c r="O21" s="1146"/>
      <c r="P21" s="1146"/>
      <c r="Q21" s="1146"/>
      <c r="R21" s="1146"/>
      <c r="S21" s="1146"/>
      <c r="T21" s="1146"/>
      <c r="U21" s="1146"/>
    </row>
    <row r="22" spans="1:21">
      <c r="A22" s="1146"/>
      <c r="B22" s="1146"/>
      <c r="C22" s="1146"/>
      <c r="D22" s="1167"/>
      <c r="E22" s="1146"/>
      <c r="F22" s="1146"/>
      <c r="G22" s="1146"/>
      <c r="H22" s="1146"/>
      <c r="I22" s="1146"/>
      <c r="J22" s="1146"/>
      <c r="K22" s="1146"/>
      <c r="L22" s="1146"/>
      <c r="M22"/>
      <c r="N22" s="2"/>
      <c r="O22"/>
      <c r="P22"/>
      <c r="Q22"/>
      <c r="R22" s="1146"/>
      <c r="S22" s="1146"/>
      <c r="T22" s="1146"/>
      <c r="U22" s="1146"/>
    </row>
    <row r="23" spans="1:21">
      <c r="A23" s="1146"/>
      <c r="B23" s="1146"/>
      <c r="C23" s="1146"/>
      <c r="D23" s="1167"/>
      <c r="E23" s="1146"/>
      <c r="F23" s="1146"/>
      <c r="G23" s="1146"/>
      <c r="H23" s="1146"/>
      <c r="I23" s="1146"/>
      <c r="J23" s="1146"/>
      <c r="K23" s="1146"/>
      <c r="L23" s="1146"/>
      <c r="M23"/>
      <c r="N23" s="2"/>
      <c r="O23"/>
      <c r="P23"/>
      <c r="Q23"/>
      <c r="R23" s="1146"/>
      <c r="S23" s="1146"/>
      <c r="T23" s="1146"/>
      <c r="U23" s="1146"/>
    </row>
    <row r="24" spans="1:21">
      <c r="A24" s="1146"/>
      <c r="B24" s="1146"/>
      <c r="C24" s="1146"/>
      <c r="D24" s="1167"/>
      <c r="E24" s="1146"/>
      <c r="F24" s="1146"/>
      <c r="G24" s="1146"/>
      <c r="H24" s="1146"/>
      <c r="I24" s="1146"/>
      <c r="J24" s="1146"/>
      <c r="K24" s="1146"/>
      <c r="L24" s="1146"/>
      <c r="M24"/>
      <c r="N24" s="2"/>
      <c r="O24"/>
      <c r="P24"/>
      <c r="Q24"/>
      <c r="R24" s="1146"/>
      <c r="S24" s="1146"/>
      <c r="T24" s="1146"/>
      <c r="U24" s="1146"/>
    </row>
    <row r="25" spans="1:21">
      <c r="A25" s="1146"/>
      <c r="B25" s="1145"/>
      <c r="C25" s="1146"/>
      <c r="D25" s="1167"/>
      <c r="E25" s="1146"/>
      <c r="F25" s="1146"/>
      <c r="G25" s="1146"/>
      <c r="H25" s="1146"/>
      <c r="I25" s="1146"/>
      <c r="J25" s="1146"/>
      <c r="K25" s="1146"/>
      <c r="L25" s="1146"/>
      <c r="M25"/>
      <c r="N25" s="2"/>
      <c r="O25"/>
      <c r="P25"/>
      <c r="Q25"/>
      <c r="R25" s="1146"/>
      <c r="S25" s="1146"/>
      <c r="T25" s="1146"/>
      <c r="U25" s="1146"/>
    </row>
    <row r="26" spans="1:21">
      <c r="A26" s="1146"/>
      <c r="B26" s="1145"/>
      <c r="C26" s="1146"/>
      <c r="D26" s="1167"/>
      <c r="E26" s="1146"/>
      <c r="F26" s="1146"/>
      <c r="G26" s="1146"/>
      <c r="H26" s="1146"/>
      <c r="I26" s="1146"/>
      <c r="J26" s="1146"/>
      <c r="K26" s="1146"/>
      <c r="L26" s="1146"/>
      <c r="M26"/>
      <c r="N26" s="2"/>
      <c r="O26"/>
      <c r="P26"/>
      <c r="Q26"/>
      <c r="R26" s="1146"/>
      <c r="S26" s="1146"/>
      <c r="T26" s="1146"/>
      <c r="U26" s="1146"/>
    </row>
    <row r="27" spans="1:21">
      <c r="A27" s="1146"/>
      <c r="B27" s="1145"/>
      <c r="C27" s="1146"/>
      <c r="D27" s="1167"/>
      <c r="E27" s="1146"/>
      <c r="F27" s="1146"/>
      <c r="G27"/>
      <c r="H27"/>
      <c r="I27"/>
      <c r="J27"/>
      <c r="K27"/>
      <c r="L27"/>
      <c r="M27"/>
      <c r="N27" s="2"/>
      <c r="O27"/>
      <c r="P27"/>
      <c r="Q27"/>
      <c r="R27" s="1146"/>
      <c r="S27" s="1146"/>
      <c r="T27" s="1146"/>
      <c r="U27" s="1146"/>
    </row>
    <row r="28" spans="1:21">
      <c r="A28" s="1146"/>
      <c r="B28" s="1145"/>
      <c r="C28" s="1146"/>
      <c r="D28" s="1167"/>
      <c r="E28" s="1146"/>
      <c r="F28" s="1146"/>
      <c r="G28"/>
      <c r="H28"/>
      <c r="I28"/>
      <c r="J28"/>
      <c r="K28"/>
      <c r="L28"/>
      <c r="M28"/>
      <c r="N28" s="2"/>
      <c r="O28"/>
      <c r="P28"/>
      <c r="Q28"/>
      <c r="R28" s="1146"/>
      <c r="S28" s="1146"/>
      <c r="T28" s="1146"/>
      <c r="U28" s="1146"/>
    </row>
    <row r="29" spans="1:21">
      <c r="A29" s="1146"/>
      <c r="B29" s="1146"/>
      <c r="C29" s="1146"/>
      <c r="D29"/>
      <c r="E29"/>
      <c r="F29"/>
      <c r="G29"/>
      <c r="H29"/>
      <c r="I29"/>
      <c r="J29" s="2"/>
      <c r="K29" s="2"/>
      <c r="L29" s="2"/>
      <c r="M29"/>
      <c r="N29"/>
      <c r="O29" s="1146"/>
      <c r="P29" s="1146"/>
      <c r="Q29" s="1146"/>
      <c r="R29" s="1146"/>
      <c r="S29" s="1146"/>
      <c r="T29" s="1146"/>
      <c r="U29" s="1146"/>
    </row>
    <row r="30" spans="1:21">
      <c r="A30" s="1146"/>
      <c r="B30" s="1146"/>
      <c r="C30" s="1146"/>
      <c r="D30"/>
      <c r="E30"/>
      <c r="F30"/>
      <c r="G30"/>
      <c r="H30"/>
      <c r="I30"/>
      <c r="J30" s="2"/>
      <c r="K30" s="2"/>
      <c r="L30" s="2"/>
      <c r="M30"/>
      <c r="N30"/>
      <c r="O30" s="1146"/>
      <c r="P30" s="1146"/>
      <c r="Q30" s="1146"/>
      <c r="R30" s="1146"/>
      <c r="S30" s="1146"/>
      <c r="T30" s="1146"/>
      <c r="U30" s="1146"/>
    </row>
    <row r="31" spans="1:21">
      <c r="A31" s="1146"/>
      <c r="B31" s="1146"/>
      <c r="C31" s="1146"/>
      <c r="D31"/>
      <c r="E31"/>
      <c r="F31"/>
      <c r="G31"/>
      <c r="H31"/>
      <c r="I31"/>
      <c r="J31" s="2"/>
      <c r="K31" s="2"/>
      <c r="L31" s="2"/>
      <c r="M31"/>
      <c r="N31"/>
      <c r="O31" s="1146"/>
      <c r="P31" s="1146"/>
      <c r="Q31" s="1146"/>
      <c r="R31" s="1146"/>
      <c r="S31" s="1146"/>
      <c r="T31" s="1146"/>
      <c r="U31" s="1146"/>
    </row>
    <row r="32" spans="1:21">
      <c r="A32" s="1146"/>
      <c r="B32" s="1146"/>
      <c r="C32" s="1146"/>
      <c r="D32"/>
      <c r="E32"/>
      <c r="F32"/>
      <c r="G32"/>
      <c r="H32" s="2"/>
      <c r="I32" s="2"/>
      <c r="J32" s="2"/>
      <c r="K32" s="2"/>
      <c r="L32" s="2"/>
      <c r="M32"/>
      <c r="N32"/>
      <c r="O32" s="1146"/>
      <c r="P32" s="1146"/>
      <c r="Q32" s="1146"/>
      <c r="R32" s="1146"/>
      <c r="S32" s="1146"/>
      <c r="T32" s="1146"/>
      <c r="U32" s="1146"/>
    </row>
    <row r="33" spans="1:21">
      <c r="A33" s="1146"/>
      <c r="B33" s="1146"/>
      <c r="C33" s="1146"/>
      <c r="D33"/>
      <c r="E33"/>
      <c r="F33"/>
      <c r="G33"/>
      <c r="H33" s="2"/>
      <c r="I33" s="2"/>
      <c r="J33" s="2"/>
      <c r="K33" s="2"/>
      <c r="L33" s="2"/>
      <c r="M33"/>
      <c r="N33"/>
      <c r="O33" s="1146"/>
      <c r="P33" s="1146"/>
      <c r="Q33" s="1146"/>
      <c r="R33" s="1146"/>
      <c r="S33" s="1146"/>
      <c r="T33" s="1146"/>
      <c r="U33" s="1146"/>
    </row>
    <row r="34" spans="1:21">
      <c r="A34" s="1146"/>
      <c r="B34" s="1146"/>
      <c r="C34" s="1146"/>
      <c r="D34"/>
      <c r="E34"/>
      <c r="F34"/>
      <c r="G34"/>
      <c r="H34" s="2"/>
      <c r="I34" s="2"/>
      <c r="J34" s="2"/>
      <c r="K34" s="2"/>
      <c r="L34" s="2"/>
      <c r="M34"/>
      <c r="N34"/>
      <c r="O34" s="1146"/>
      <c r="P34" s="1146"/>
      <c r="Q34" s="1146"/>
      <c r="R34" s="1146"/>
      <c r="S34" s="1146"/>
      <c r="T34" s="1146"/>
      <c r="U34" s="1146"/>
    </row>
    <row r="35" spans="1:21">
      <c r="A35" s="1146"/>
      <c r="B35" s="1146"/>
      <c r="C35" s="1146"/>
      <c r="D35"/>
      <c r="E35"/>
      <c r="F35"/>
      <c r="G35"/>
      <c r="H35" s="1146"/>
      <c r="I35" s="1146"/>
      <c r="J35" s="1146"/>
      <c r="K35" s="1146"/>
      <c r="L35" s="1146"/>
      <c r="M35"/>
      <c r="N35"/>
      <c r="O35" s="1146"/>
      <c r="P35" s="1146"/>
      <c r="Q35" s="1146"/>
      <c r="R35" s="1146"/>
      <c r="S35" s="1146"/>
      <c r="T35" s="1146"/>
      <c r="U35" s="1146"/>
    </row>
    <row r="36" spans="1:21" ht="17.399999999999999">
      <c r="A36" s="1132"/>
      <c r="B36" s="1132"/>
      <c r="C36" s="1132"/>
      <c r="D36" s="112"/>
      <c r="E36" s="112"/>
      <c r="F36" s="112"/>
      <c r="G36"/>
      <c r="H36" s="1146"/>
      <c r="I36" s="1146"/>
      <c r="J36" s="1146"/>
      <c r="K36" s="1146"/>
      <c r="L36" s="1146"/>
      <c r="M36"/>
      <c r="N36"/>
      <c r="O36"/>
      <c r="P36"/>
      <c r="Q36"/>
      <c r="R36"/>
      <c r="S36"/>
      <c r="T36"/>
      <c r="U36"/>
    </row>
    <row r="37" spans="1:21">
      <c r="A37" s="632"/>
      <c r="B37" s="632"/>
      <c r="C37" s="632"/>
      <c r="D37" s="161"/>
      <c r="E37" s="161"/>
      <c r="F37" s="161"/>
      <c r="G37" s="161"/>
      <c r="H37" s="632"/>
      <c r="I37" s="632"/>
      <c r="J37" s="632"/>
      <c r="K37" s="1146"/>
      <c r="L37" s="1146"/>
      <c r="M37"/>
      <c r="N37"/>
      <c r="O37"/>
      <c r="P37"/>
      <c r="Q37"/>
      <c r="R37"/>
      <c r="S37"/>
      <c r="T37"/>
      <c r="U37"/>
    </row>
    <row r="38" spans="1:21">
      <c r="A38" s="1324" t="s">
        <v>263</v>
      </c>
      <c r="B38" s="1324" t="s">
        <v>264</v>
      </c>
      <c r="C38" s="161"/>
      <c r="D38" s="161"/>
      <c r="E38" s="161"/>
      <c r="F38" s="161"/>
      <c r="G38" s="161"/>
      <c r="H38" s="632"/>
      <c r="I38" s="632"/>
      <c r="J38" s="632"/>
      <c r="K38" s="1146"/>
      <c r="L38" s="1146"/>
      <c r="M38"/>
      <c r="N38"/>
      <c r="O38"/>
      <c r="P38"/>
      <c r="Q38"/>
      <c r="R38"/>
      <c r="S38"/>
      <c r="T38"/>
      <c r="U38"/>
    </row>
    <row r="39" spans="1:21">
      <c r="A39" s="1324" t="s">
        <v>265</v>
      </c>
      <c r="B39" s="161" t="s">
        <v>344</v>
      </c>
      <c r="C39" s="161" t="s">
        <v>266</v>
      </c>
      <c r="D39" s="161" t="s">
        <v>267</v>
      </c>
      <c r="E39" s="161" t="s">
        <v>268</v>
      </c>
      <c r="F39" s="161" t="s">
        <v>269</v>
      </c>
      <c r="G39" s="632"/>
      <c r="H39" s="632"/>
      <c r="I39" s="632"/>
      <c r="J39" s="632"/>
      <c r="K39" s="1146"/>
      <c r="L39" s="1146"/>
      <c r="M39"/>
      <c r="N39" s="1146"/>
      <c r="O39"/>
      <c r="P39"/>
      <c r="Q39"/>
      <c r="R39"/>
      <c r="S39"/>
      <c r="T39"/>
      <c r="U39"/>
    </row>
    <row r="40" spans="1:21">
      <c r="A40" s="1325" t="s">
        <v>270</v>
      </c>
      <c r="B40" s="1326"/>
      <c r="C40" s="1326">
        <v>49048</v>
      </c>
      <c r="D40" s="1326">
        <v>49000</v>
      </c>
      <c r="E40" s="1326"/>
      <c r="F40" s="1326">
        <v>60000</v>
      </c>
      <c r="G40" s="632"/>
      <c r="H40" s="632"/>
      <c r="I40" s="632"/>
      <c r="J40" s="632"/>
      <c r="K40" s="1146"/>
      <c r="L40" s="1146"/>
      <c r="M40"/>
      <c r="N40" s="1146"/>
      <c r="O40"/>
      <c r="P40"/>
      <c r="Q40"/>
      <c r="R40"/>
      <c r="S40"/>
      <c r="T40"/>
      <c r="U40"/>
    </row>
    <row r="41" spans="1:21">
      <c r="A41" s="1325" t="s">
        <v>271</v>
      </c>
      <c r="B41" s="1326"/>
      <c r="C41" s="1326"/>
      <c r="D41" s="1326"/>
      <c r="E41" s="1326">
        <v>49000</v>
      </c>
      <c r="F41" s="1326"/>
      <c r="G41" s="632"/>
      <c r="H41" s="632"/>
      <c r="I41" s="632"/>
      <c r="J41" s="632"/>
      <c r="K41" s="1146"/>
      <c r="L41" s="1146"/>
      <c r="M41" s="1146"/>
      <c r="N41" s="1146"/>
      <c r="O41"/>
      <c r="P41"/>
      <c r="Q41"/>
      <c r="R41"/>
      <c r="S41"/>
      <c r="T41"/>
      <c r="U41"/>
    </row>
    <row r="42" spans="1:21">
      <c r="A42" s="1325" t="s">
        <v>273</v>
      </c>
      <c r="B42" s="1326"/>
      <c r="C42" s="1326"/>
      <c r="D42" s="1326">
        <v>60000</v>
      </c>
      <c r="E42" s="1326"/>
      <c r="F42" s="1326"/>
      <c r="G42" s="632"/>
      <c r="H42" s="632"/>
      <c r="I42" s="632"/>
      <c r="J42" s="632"/>
      <c r="K42" s="1146"/>
      <c r="L42" s="1146"/>
      <c r="M42" s="1146"/>
      <c r="N42" s="1146"/>
      <c r="O42"/>
      <c r="P42"/>
      <c r="Q42"/>
      <c r="R42"/>
      <c r="S42"/>
      <c r="T42"/>
      <c r="U42"/>
    </row>
    <row r="43" spans="1:21">
      <c r="A43" s="1325" t="s">
        <v>274</v>
      </c>
      <c r="B43" s="1326"/>
      <c r="C43" s="1326">
        <v>60070</v>
      </c>
      <c r="D43" s="1326"/>
      <c r="E43" s="1326">
        <v>60000</v>
      </c>
      <c r="F43" s="1326"/>
      <c r="G43" s="632"/>
      <c r="H43" s="632"/>
      <c r="I43" s="632"/>
      <c r="J43" s="632"/>
      <c r="K43" s="1146"/>
      <c r="L43" s="1146"/>
      <c r="M43" s="1146"/>
      <c r="N43" s="1146"/>
      <c r="O43"/>
      <c r="P43"/>
      <c r="Q43"/>
      <c r="R43"/>
      <c r="S43"/>
      <c r="T43"/>
      <c r="U43"/>
    </row>
    <row r="44" spans="1:21">
      <c r="A44" s="1325" t="s">
        <v>275</v>
      </c>
      <c r="B44" s="1326"/>
      <c r="C44" s="1326"/>
      <c r="D44" s="1326">
        <v>60000</v>
      </c>
      <c r="E44" s="1326">
        <v>60000</v>
      </c>
      <c r="F44" s="1326"/>
      <c r="G44" s="632"/>
      <c r="H44" s="632"/>
      <c r="I44" s="632"/>
      <c r="J44" s="632"/>
      <c r="K44" s="1146"/>
      <c r="L44" s="1146"/>
      <c r="M44" s="1146"/>
      <c r="N44" s="1146"/>
      <c r="O44"/>
      <c r="P44"/>
      <c r="Q44"/>
      <c r="R44"/>
      <c r="S44"/>
      <c r="T44"/>
      <c r="U44"/>
    </row>
    <row r="45" spans="1:21">
      <c r="A45" s="1325" t="s">
        <v>276</v>
      </c>
      <c r="B45" s="1326"/>
      <c r="C45" s="1326">
        <v>49456</v>
      </c>
      <c r="D45" s="1326"/>
      <c r="E45" s="1326"/>
      <c r="F45" s="1326"/>
      <c r="G45" s="632"/>
      <c r="H45" s="632"/>
      <c r="I45" s="632"/>
      <c r="J45" s="632"/>
      <c r="K45" s="1146"/>
      <c r="L45" s="1146"/>
      <c r="M45" s="1146"/>
      <c r="N45" s="1146"/>
      <c r="O45"/>
      <c r="P45"/>
      <c r="Q45"/>
      <c r="R45"/>
      <c r="S45"/>
      <c r="T45"/>
      <c r="U45"/>
    </row>
    <row r="46" spans="1:21">
      <c r="A46" s="1325" t="s">
        <v>277</v>
      </c>
      <c r="B46" s="1326"/>
      <c r="C46" s="1326"/>
      <c r="D46" s="1326">
        <v>49000</v>
      </c>
      <c r="E46" s="1326">
        <v>49000</v>
      </c>
      <c r="F46" s="1326"/>
      <c r="G46" s="632"/>
      <c r="H46" s="632"/>
      <c r="I46" s="632"/>
      <c r="J46" s="632"/>
      <c r="K46" s="1146"/>
      <c r="L46" s="1146"/>
      <c r="M46" s="1146"/>
      <c r="N46" s="1146"/>
      <c r="O46"/>
      <c r="P46"/>
      <c r="Q46"/>
      <c r="R46"/>
      <c r="S46"/>
      <c r="T46"/>
      <c r="U46"/>
    </row>
    <row r="47" spans="1:21">
      <c r="A47" s="1325" t="s">
        <v>279</v>
      </c>
      <c r="B47" s="1326"/>
      <c r="C47" s="1326">
        <v>62507</v>
      </c>
      <c r="D47" s="1326"/>
      <c r="E47" s="1326"/>
      <c r="F47" s="1326"/>
      <c r="G47" s="632"/>
      <c r="H47" s="632"/>
      <c r="I47" s="632"/>
      <c r="J47" s="632"/>
      <c r="K47" s="1146"/>
      <c r="L47" s="1146"/>
      <c r="M47" s="1146"/>
      <c r="N47" s="1146"/>
      <c r="O47"/>
      <c r="P47"/>
      <c r="Q47"/>
      <c r="R47"/>
      <c r="S47"/>
      <c r="T47"/>
      <c r="U47"/>
    </row>
    <row r="48" spans="1:21">
      <c r="A48" s="1325" t="s">
        <v>280</v>
      </c>
      <c r="B48" s="1326">
        <v>61609</v>
      </c>
      <c r="C48" s="1326"/>
      <c r="D48" s="1326">
        <v>60000</v>
      </c>
      <c r="E48" s="1326">
        <v>60000</v>
      </c>
      <c r="F48" s="1326"/>
      <c r="G48" s="632"/>
      <c r="H48" s="632"/>
      <c r="I48" s="632"/>
      <c r="J48" s="632"/>
      <c r="K48" s="1146"/>
      <c r="L48" s="1146"/>
      <c r="M48" s="1146"/>
      <c r="N48" s="1146"/>
      <c r="O48"/>
      <c r="P48"/>
      <c r="Q48"/>
      <c r="R48"/>
      <c r="S48"/>
      <c r="T48"/>
      <c r="U48"/>
    </row>
    <row r="49" spans="1:21">
      <c r="A49" s="1325" t="s">
        <v>281</v>
      </c>
      <c r="B49" s="1326"/>
      <c r="C49" s="1326">
        <v>60000</v>
      </c>
      <c r="D49" s="1326">
        <v>60000</v>
      </c>
      <c r="E49" s="1326"/>
      <c r="F49" s="1326"/>
      <c r="G49" s="632"/>
      <c r="H49" s="632"/>
      <c r="I49" s="632"/>
      <c r="J49" s="632"/>
      <c r="K49" s="1146"/>
      <c r="L49" s="1146"/>
      <c r="M49" s="1146"/>
      <c r="N49" s="1146"/>
      <c r="O49"/>
      <c r="P49"/>
      <c r="Q49"/>
      <c r="R49"/>
      <c r="S49"/>
      <c r="T49"/>
      <c r="U49"/>
    </row>
    <row r="50" spans="1:21">
      <c r="A50" s="1325" t="s">
        <v>282</v>
      </c>
      <c r="B50" s="1326">
        <v>61609</v>
      </c>
      <c r="C50" s="1326">
        <v>281081</v>
      </c>
      <c r="D50" s="1326">
        <v>338000</v>
      </c>
      <c r="E50" s="1326">
        <v>278000</v>
      </c>
      <c r="F50" s="1326">
        <v>60000</v>
      </c>
      <c r="G50" s="632"/>
      <c r="H50" s="632"/>
      <c r="I50" s="632"/>
      <c r="J50" s="632"/>
      <c r="K50" s="1146"/>
      <c r="L50" s="1146"/>
      <c r="M50" s="1146"/>
      <c r="N50" s="1146"/>
      <c r="O50"/>
      <c r="P50"/>
      <c r="Q50"/>
      <c r="R50"/>
      <c r="S50"/>
      <c r="T50"/>
      <c r="U50"/>
    </row>
    <row r="51" spans="1:21" ht="17.399999999999999">
      <c r="A51" s="161"/>
      <c r="B51" s="161"/>
      <c r="C51" s="161"/>
      <c r="D51" s="632"/>
      <c r="E51" s="632"/>
      <c r="F51" s="632"/>
      <c r="G51" s="632"/>
      <c r="H51" s="632"/>
      <c r="I51" s="632"/>
      <c r="J51" s="632"/>
      <c r="K51" s="1146"/>
      <c r="L51" s="1146"/>
      <c r="M51" s="1146"/>
      <c r="N51" s="1146"/>
      <c r="O51"/>
      <c r="P51"/>
      <c r="Q51"/>
      <c r="R51"/>
      <c r="S51"/>
      <c r="T51"/>
      <c r="U51" s="67"/>
    </row>
    <row r="52" spans="1:21" s="871" customFormat="1" ht="17.399999999999999">
      <c r="A52" s="161"/>
      <c r="B52" s="161"/>
      <c r="C52" s="161"/>
      <c r="D52" s="632"/>
      <c r="E52" s="632"/>
      <c r="F52" s="632"/>
      <c r="G52" s="632"/>
      <c r="H52" s="632"/>
      <c r="I52" s="632"/>
      <c r="J52" s="632"/>
      <c r="K52" s="1146"/>
      <c r="L52" s="1146"/>
      <c r="M52" s="1146"/>
      <c r="N52" s="1146"/>
      <c r="O52"/>
      <c r="P52"/>
      <c r="Q52"/>
      <c r="R52"/>
      <c r="S52"/>
      <c r="T52"/>
      <c r="U52" s="67"/>
    </row>
    <row r="53" spans="1:21" s="871" customFormat="1" ht="17.399999999999999">
      <c r="A53" s="161"/>
      <c r="B53" s="161"/>
      <c r="C53" s="161"/>
      <c r="D53" s="632"/>
      <c r="E53" s="632"/>
      <c r="F53" s="632"/>
      <c r="G53" s="632"/>
      <c r="H53" s="632"/>
      <c r="I53" s="632"/>
      <c r="J53" s="632"/>
      <c r="K53" s="1146"/>
      <c r="L53" s="1146"/>
      <c r="M53" s="1146"/>
      <c r="N53" s="1146"/>
      <c r="O53"/>
      <c r="P53"/>
      <c r="Q53"/>
      <c r="R53"/>
      <c r="S53"/>
      <c r="T53"/>
      <c r="U53" s="67"/>
    </row>
    <row r="54" spans="1:21" ht="17.399999999999999">
      <c r="A54" s="161"/>
      <c r="B54" s="161"/>
      <c r="C54" s="161"/>
      <c r="D54" s="632"/>
      <c r="E54" s="632"/>
      <c r="F54" s="632"/>
      <c r="G54" s="632"/>
      <c r="H54" s="632"/>
      <c r="I54" s="632"/>
      <c r="J54" s="632"/>
      <c r="K54" s="1146"/>
      <c r="L54" s="1146"/>
      <c r="M54" s="1146"/>
      <c r="N54" s="1146"/>
      <c r="O54"/>
      <c r="P54"/>
      <c r="Q54"/>
      <c r="R54"/>
      <c r="S54"/>
      <c r="T54"/>
      <c r="U54" s="67"/>
    </row>
    <row r="55" spans="1:21">
      <c r="A55" s="1324" t="s">
        <v>263</v>
      </c>
      <c r="B55" s="1324" t="s">
        <v>264</v>
      </c>
      <c r="C55" s="161"/>
      <c r="D55" s="161"/>
      <c r="E55" s="161"/>
      <c r="F55" s="161"/>
      <c r="G55" s="632"/>
      <c r="H55" s="632"/>
      <c r="I55" s="632"/>
      <c r="J55" s="632"/>
      <c r="K55" s="1146"/>
      <c r="L55" s="1146"/>
      <c r="M55" s="1146"/>
      <c r="N55" s="1146"/>
      <c r="O55"/>
      <c r="P55"/>
      <c r="Q55"/>
      <c r="R55"/>
      <c r="S55"/>
      <c r="T55"/>
      <c r="U55"/>
    </row>
    <row r="56" spans="1:21">
      <c r="A56" s="1324" t="s">
        <v>265</v>
      </c>
      <c r="B56" s="161" t="s">
        <v>344</v>
      </c>
      <c r="C56" s="161" t="s">
        <v>266</v>
      </c>
      <c r="D56" s="161" t="s">
        <v>267</v>
      </c>
      <c r="E56" s="161" t="s">
        <v>268</v>
      </c>
      <c r="F56" s="161" t="s">
        <v>269</v>
      </c>
      <c r="G56" s="632"/>
      <c r="H56" s="632"/>
      <c r="I56" s="632"/>
      <c r="J56" s="632"/>
      <c r="K56" s="1146"/>
      <c r="L56" s="1146"/>
      <c r="M56" s="1146"/>
      <c r="N56" s="1146"/>
      <c r="O56"/>
      <c r="P56"/>
      <c r="Q56"/>
      <c r="R56"/>
      <c r="S56"/>
      <c r="T56"/>
      <c r="U56"/>
    </row>
    <row r="57" spans="1:21">
      <c r="A57" s="1325" t="s">
        <v>283</v>
      </c>
      <c r="B57" s="1326"/>
      <c r="C57" s="1326">
        <v>49456</v>
      </c>
      <c r="D57" s="1326">
        <v>98000</v>
      </c>
      <c r="E57" s="1326">
        <v>158000</v>
      </c>
      <c r="F57" s="1326"/>
      <c r="G57" s="632"/>
      <c r="H57" s="632"/>
      <c r="I57" s="632"/>
      <c r="J57" s="632"/>
      <c r="K57" s="1146"/>
      <c r="L57" s="1146"/>
      <c r="M57" s="1146"/>
      <c r="N57" s="1146"/>
      <c r="O57"/>
      <c r="P57"/>
      <c r="Q57"/>
      <c r="R57"/>
      <c r="S57"/>
      <c r="T57"/>
      <c r="U57"/>
    </row>
    <row r="58" spans="1:21">
      <c r="A58" s="1325" t="s">
        <v>285</v>
      </c>
      <c r="B58" s="1326">
        <v>61609</v>
      </c>
      <c r="C58" s="1326">
        <v>231625</v>
      </c>
      <c r="D58" s="1326">
        <v>240000</v>
      </c>
      <c r="E58" s="1326">
        <v>120000</v>
      </c>
      <c r="F58" s="1326">
        <v>60000</v>
      </c>
      <c r="G58" s="632"/>
      <c r="H58" s="632"/>
      <c r="I58" s="632"/>
      <c r="J58" s="632"/>
      <c r="K58" s="1146"/>
      <c r="L58" s="1146"/>
      <c r="M58" s="1146"/>
      <c r="N58" s="1146"/>
      <c r="O58"/>
      <c r="P58"/>
      <c r="Q58"/>
      <c r="R58"/>
      <c r="S58"/>
      <c r="T58"/>
      <c r="U58"/>
    </row>
    <row r="59" spans="1:21">
      <c r="A59" s="1325" t="s">
        <v>282</v>
      </c>
      <c r="B59" s="1326">
        <v>61609</v>
      </c>
      <c r="C59" s="1326">
        <v>281081</v>
      </c>
      <c r="D59" s="1326">
        <v>338000</v>
      </c>
      <c r="E59" s="1326">
        <v>278000</v>
      </c>
      <c r="F59" s="1326">
        <v>60000</v>
      </c>
      <c r="G59" s="632"/>
      <c r="H59" s="632"/>
      <c r="I59" s="632"/>
      <c r="J59" s="632"/>
      <c r="K59" s="1146"/>
      <c r="L59" s="1146"/>
      <c r="M59" s="1146"/>
      <c r="N59" s="1146"/>
      <c r="O59"/>
      <c r="P59"/>
      <c r="Q59"/>
      <c r="R59"/>
      <c r="S59"/>
      <c r="T59"/>
      <c r="U59"/>
    </row>
    <row r="60" spans="1:21" ht="17.399999999999999">
      <c r="A60" s="161"/>
      <c r="B60" s="161"/>
      <c r="C60" s="161"/>
      <c r="D60" s="161"/>
      <c r="E60" s="161"/>
      <c r="F60" s="632"/>
      <c r="G60" s="632"/>
      <c r="H60" s="632"/>
      <c r="I60" s="632"/>
      <c r="J60" s="632"/>
      <c r="K60" s="1146"/>
      <c r="L60" s="1146"/>
      <c r="M60" s="1146"/>
      <c r="N60" s="1146"/>
      <c r="O60" s="67"/>
      <c r="P60" s="67"/>
      <c r="Q60" s="68"/>
      <c r="R60" s="68"/>
      <c r="S60" s="67"/>
      <c r="T60" s="67"/>
      <c r="U60" s="67"/>
    </row>
    <row r="61" spans="1:21" s="871" customFormat="1" ht="17.399999999999999">
      <c r="A61" s="161"/>
      <c r="B61" s="161"/>
      <c r="C61" s="161"/>
      <c r="D61" s="161"/>
      <c r="E61" s="161"/>
      <c r="F61" s="632"/>
      <c r="G61" s="632"/>
      <c r="H61" s="632"/>
      <c r="I61" s="632"/>
      <c r="J61" s="632"/>
      <c r="K61" s="1146"/>
      <c r="L61" s="1146"/>
      <c r="M61" s="1146"/>
      <c r="N61" s="1146"/>
      <c r="O61" s="67"/>
      <c r="P61" s="67"/>
      <c r="Q61" s="68"/>
      <c r="R61" s="68"/>
      <c r="S61" s="67"/>
      <c r="T61" s="67"/>
      <c r="U61" s="67"/>
    </row>
    <row r="62" spans="1:21" s="871" customFormat="1" ht="17.399999999999999">
      <c r="A62" s="161"/>
      <c r="B62" s="161"/>
      <c r="C62" s="161"/>
      <c r="D62" s="161"/>
      <c r="E62" s="161"/>
      <c r="F62" s="632"/>
      <c r="G62" s="632"/>
      <c r="H62" s="632"/>
      <c r="I62" s="632"/>
      <c r="J62" s="632"/>
      <c r="K62" s="1146"/>
      <c r="L62" s="1146"/>
      <c r="M62" s="1146"/>
      <c r="N62" s="1146"/>
      <c r="O62" s="67"/>
      <c r="P62" s="67"/>
      <c r="Q62" s="68"/>
      <c r="R62" s="68"/>
      <c r="S62" s="67"/>
      <c r="T62" s="67"/>
      <c r="U62" s="67"/>
    </row>
    <row r="63" spans="1:21" ht="17.399999999999999">
      <c r="A63" s="161"/>
      <c r="B63" s="161"/>
      <c r="C63" s="161"/>
      <c r="D63" s="161"/>
      <c r="E63" s="161"/>
      <c r="F63" s="632"/>
      <c r="G63" s="632"/>
      <c r="H63" s="632"/>
      <c r="I63" s="632"/>
      <c r="J63" s="632"/>
      <c r="K63" s="1146"/>
      <c r="L63" s="1146"/>
      <c r="M63" s="1146"/>
      <c r="N63" s="1146"/>
      <c r="O63" s="67"/>
      <c r="P63" s="67"/>
      <c r="Q63" s="68"/>
      <c r="R63" s="68"/>
      <c r="S63" s="67"/>
      <c r="T63" s="67"/>
      <c r="U63" s="67"/>
    </row>
    <row r="64" spans="1:21">
      <c r="A64" s="1324" t="s">
        <v>263</v>
      </c>
      <c r="B64" s="1324" t="s">
        <v>264</v>
      </c>
      <c r="C64" s="161"/>
      <c r="D64" s="161"/>
      <c r="E64" s="161"/>
      <c r="F64" s="161"/>
      <c r="G64" s="632"/>
      <c r="H64" s="632"/>
      <c r="I64" s="632"/>
      <c r="J64" s="632"/>
      <c r="K64" s="1146"/>
      <c r="L64" s="1146"/>
      <c r="M64" s="1146"/>
      <c r="N64" s="1146"/>
      <c r="O64"/>
      <c r="P64"/>
      <c r="Q64"/>
      <c r="R64"/>
      <c r="S64"/>
      <c r="T64"/>
      <c r="U64"/>
    </row>
    <row r="65" spans="1:21">
      <c r="A65" s="1324" t="s">
        <v>265</v>
      </c>
      <c r="B65" s="161" t="s">
        <v>344</v>
      </c>
      <c r="C65" s="161" t="s">
        <v>266</v>
      </c>
      <c r="D65" s="161" t="s">
        <v>267</v>
      </c>
      <c r="E65" s="161" t="s">
        <v>268</v>
      </c>
      <c r="F65" s="161" t="s">
        <v>269</v>
      </c>
      <c r="G65" s="632"/>
      <c r="H65" s="632"/>
      <c r="I65" s="632"/>
      <c r="J65" s="632"/>
      <c r="K65" s="1146"/>
      <c r="L65" s="1146"/>
      <c r="M65" s="1146"/>
      <c r="N65" s="1146"/>
      <c r="O65"/>
      <c r="P65"/>
      <c r="Q65"/>
      <c r="R65"/>
      <c r="S65"/>
      <c r="T65"/>
      <c r="U65"/>
    </row>
    <row r="66" spans="1:21">
      <c r="A66" s="1325" t="s">
        <v>283</v>
      </c>
      <c r="B66" s="1327">
        <v>0</v>
      </c>
      <c r="C66" s="1327">
        <v>0.17594928152383121</v>
      </c>
      <c r="D66" s="1327">
        <v>0.28994082840236685</v>
      </c>
      <c r="E66" s="1327">
        <v>0.56834532374100721</v>
      </c>
      <c r="F66" s="1327">
        <v>0</v>
      </c>
      <c r="G66" s="632"/>
      <c r="H66" s="632"/>
      <c r="I66" s="632"/>
      <c r="J66" s="632"/>
      <c r="K66" s="1146"/>
      <c r="L66" s="1146"/>
      <c r="M66" s="1146"/>
      <c r="N66" s="1146"/>
      <c r="O66"/>
      <c r="P66"/>
      <c r="Q66"/>
      <c r="R66"/>
      <c r="S66"/>
      <c r="T66"/>
      <c r="U66"/>
    </row>
    <row r="67" spans="1:21">
      <c r="A67" s="1325" t="s">
        <v>285</v>
      </c>
      <c r="B67" s="1327">
        <v>1</v>
      </c>
      <c r="C67" s="1327">
        <v>0.82405071847616884</v>
      </c>
      <c r="D67" s="1327">
        <v>0.7100591715976331</v>
      </c>
      <c r="E67" s="1327">
        <v>0.43165467625899279</v>
      </c>
      <c r="F67" s="1327">
        <v>1</v>
      </c>
      <c r="G67" s="632"/>
      <c r="H67" s="632"/>
      <c r="I67" s="632"/>
      <c r="J67" s="632"/>
      <c r="K67" s="1146"/>
      <c r="L67" s="1146"/>
      <c r="M67" s="1146"/>
      <c r="N67" s="1146"/>
      <c r="O67"/>
      <c r="P67"/>
      <c r="Q67"/>
      <c r="R67"/>
      <c r="S67"/>
      <c r="T67"/>
      <c r="U67"/>
    </row>
    <row r="68" spans="1:21">
      <c r="A68" s="1325" t="s">
        <v>282</v>
      </c>
      <c r="B68" s="1327">
        <v>1</v>
      </c>
      <c r="C68" s="1327">
        <v>1</v>
      </c>
      <c r="D68" s="1327">
        <v>1</v>
      </c>
      <c r="E68" s="1327">
        <v>1</v>
      </c>
      <c r="F68" s="1327">
        <v>1</v>
      </c>
      <c r="G68" s="632"/>
      <c r="H68" s="632"/>
      <c r="I68" s="632"/>
      <c r="J68" s="632"/>
      <c r="K68" s="1146"/>
      <c r="L68" s="1146"/>
      <c r="M68" s="1146"/>
      <c r="N68" s="1146"/>
      <c r="O68"/>
      <c r="P68"/>
      <c r="Q68"/>
      <c r="R68"/>
      <c r="S68"/>
      <c r="T68"/>
      <c r="U68"/>
    </row>
    <row r="69" spans="1:21">
      <c r="A69" s="161"/>
      <c r="B69" s="161"/>
      <c r="C69" s="161"/>
      <c r="D69" s="161"/>
      <c r="E69" s="161"/>
      <c r="F69" s="632"/>
      <c r="G69" s="632"/>
      <c r="H69" s="632"/>
      <c r="I69" s="632"/>
      <c r="J69" s="632"/>
      <c r="K69" s="1146"/>
      <c r="L69" s="1146"/>
      <c r="M69" s="1146"/>
      <c r="N69" s="1146"/>
      <c r="O69" s="31"/>
      <c r="P69"/>
      <c r="Q69"/>
      <c r="R69"/>
      <c r="S69"/>
      <c r="T69"/>
      <c r="U69"/>
    </row>
    <row r="70" spans="1:21" s="871" customFormat="1">
      <c r="A70" s="161"/>
      <c r="B70" s="161"/>
      <c r="C70" s="161"/>
      <c r="D70" s="161"/>
      <c r="E70" s="161"/>
      <c r="F70" s="632"/>
      <c r="G70" s="632"/>
      <c r="H70" s="632"/>
      <c r="I70" s="632"/>
      <c r="J70" s="632"/>
      <c r="K70" s="1146"/>
      <c r="L70" s="1146"/>
      <c r="M70" s="1146"/>
      <c r="N70" s="1146"/>
      <c r="O70" s="31"/>
      <c r="P70"/>
      <c r="Q70"/>
      <c r="R70"/>
      <c r="S70"/>
      <c r="T70"/>
      <c r="U70"/>
    </row>
    <row r="71" spans="1:21" s="871" customFormat="1">
      <c r="A71" s="161"/>
      <c r="B71" s="161"/>
      <c r="C71" s="161"/>
      <c r="D71" s="161"/>
      <c r="E71" s="161"/>
      <c r="F71" s="632"/>
      <c r="G71" s="632"/>
      <c r="H71" s="632"/>
      <c r="I71" s="632"/>
      <c r="J71" s="632"/>
      <c r="K71" s="1146"/>
      <c r="L71" s="1146"/>
      <c r="M71" s="1146"/>
      <c r="N71" s="1146"/>
      <c r="O71" s="31"/>
      <c r="P71"/>
      <c r="Q71"/>
      <c r="R71"/>
      <c r="S71"/>
      <c r="T71"/>
      <c r="U71"/>
    </row>
    <row r="72" spans="1:21">
      <c r="A72" s="632"/>
      <c r="B72" s="632"/>
      <c r="C72" s="632"/>
      <c r="D72" s="632"/>
      <c r="E72" s="632"/>
      <c r="F72" s="632"/>
      <c r="G72" s="632"/>
      <c r="H72" s="632"/>
      <c r="I72" s="632"/>
      <c r="J72" s="632"/>
      <c r="K72" s="1146"/>
      <c r="L72" s="1146"/>
      <c r="M72" s="1146"/>
      <c r="N72" s="1146"/>
      <c r="O72" s="31"/>
      <c r="P72"/>
      <c r="Q72"/>
      <c r="R72"/>
      <c r="S72"/>
      <c r="T72"/>
      <c r="U72"/>
    </row>
    <row r="73" spans="1:21">
      <c r="A73" s="1324" t="s">
        <v>263</v>
      </c>
      <c r="B73" s="161"/>
      <c r="C73" s="1324" t="s">
        <v>805</v>
      </c>
      <c r="D73" s="161"/>
      <c r="E73" s="161"/>
      <c r="F73" s="161"/>
      <c r="G73" s="161"/>
      <c r="H73" s="632"/>
      <c r="I73" s="632"/>
      <c r="J73" s="632"/>
      <c r="K73" s="1146"/>
      <c r="L73" s="1146"/>
      <c r="M73" s="1146"/>
      <c r="N73" s="1146"/>
      <c r="O73" s="31"/>
      <c r="P73"/>
      <c r="Q73"/>
      <c r="R73"/>
      <c r="S73"/>
      <c r="T73"/>
      <c r="U73"/>
    </row>
    <row r="74" spans="1:21">
      <c r="A74" s="1324" t="s">
        <v>11</v>
      </c>
      <c r="B74" s="1324" t="s">
        <v>346</v>
      </c>
      <c r="C74" s="161" t="s">
        <v>344</v>
      </c>
      <c r="D74" s="161" t="s">
        <v>266</v>
      </c>
      <c r="E74" s="161" t="s">
        <v>267</v>
      </c>
      <c r="F74" s="161" t="s">
        <v>268</v>
      </c>
      <c r="G74" s="161" t="s">
        <v>269</v>
      </c>
      <c r="H74" s="632"/>
      <c r="I74" s="632"/>
      <c r="J74" s="632"/>
      <c r="K74" s="1146"/>
      <c r="L74" s="1146"/>
      <c r="M74" s="1146"/>
      <c r="N74" s="1146"/>
      <c r="O74"/>
      <c r="P74"/>
      <c r="Q74"/>
      <c r="R74"/>
      <c r="S74"/>
      <c r="T74"/>
      <c r="U74"/>
    </row>
    <row r="75" spans="1:21">
      <c r="A75" s="161" t="s">
        <v>283</v>
      </c>
      <c r="B75" s="161" t="s">
        <v>21</v>
      </c>
      <c r="C75" s="1326"/>
      <c r="D75" s="1326">
        <v>49456</v>
      </c>
      <c r="E75" s="1326">
        <v>98000</v>
      </c>
      <c r="F75" s="1326">
        <v>158000</v>
      </c>
      <c r="G75" s="1326"/>
      <c r="H75" s="632"/>
      <c r="I75" s="632"/>
      <c r="J75" s="632"/>
      <c r="K75" s="1146"/>
      <c r="L75" s="1146"/>
      <c r="M75" s="1146"/>
      <c r="N75" s="1146"/>
      <c r="O75"/>
      <c r="P75"/>
      <c r="Q75"/>
      <c r="R75"/>
      <c r="S75"/>
      <c r="T75"/>
      <c r="U75"/>
    </row>
    <row r="76" spans="1:21">
      <c r="A76" s="161" t="s">
        <v>285</v>
      </c>
      <c r="B76" s="161" t="s">
        <v>26</v>
      </c>
      <c r="C76" s="1326">
        <v>61609</v>
      </c>
      <c r="D76" s="1326">
        <v>231625</v>
      </c>
      <c r="E76" s="1326">
        <v>240000</v>
      </c>
      <c r="F76" s="1326">
        <v>120000</v>
      </c>
      <c r="G76" s="1326">
        <v>60000</v>
      </c>
      <c r="H76" s="632"/>
      <c r="I76" s="632"/>
      <c r="J76" s="632"/>
      <c r="K76" s="1146"/>
      <c r="L76" s="1146"/>
      <c r="M76" s="1146"/>
      <c r="N76" s="1146"/>
      <c r="O76"/>
      <c r="P76"/>
      <c r="Q76"/>
      <c r="R76"/>
      <c r="S76"/>
      <c r="T76"/>
      <c r="U76"/>
    </row>
    <row r="77" spans="1:21">
      <c r="A77" s="161" t="s">
        <v>282</v>
      </c>
      <c r="B77" s="161"/>
      <c r="C77" s="1326">
        <v>61609</v>
      </c>
      <c r="D77" s="1326">
        <v>281081</v>
      </c>
      <c r="E77" s="1326">
        <v>338000</v>
      </c>
      <c r="F77" s="1326">
        <v>278000</v>
      </c>
      <c r="G77" s="1326">
        <v>60000</v>
      </c>
      <c r="H77" s="632"/>
      <c r="I77" s="632"/>
      <c r="J77" s="632"/>
      <c r="K77" s="1146"/>
      <c r="L77" s="1146"/>
      <c r="M77" s="1146"/>
      <c r="N77" s="1146"/>
      <c r="O77"/>
      <c r="P77"/>
      <c r="Q77"/>
      <c r="R77"/>
      <c r="S77"/>
      <c r="T77"/>
      <c r="U77"/>
    </row>
    <row r="78" spans="1:21">
      <c r="A78" s="161"/>
      <c r="B78" s="161"/>
      <c r="C78" s="161"/>
      <c r="D78" s="161"/>
      <c r="E78" s="161"/>
      <c r="F78" s="632"/>
      <c r="G78" s="632"/>
      <c r="H78" s="632"/>
      <c r="I78" s="632"/>
      <c r="J78" s="632"/>
      <c r="K78" s="1146"/>
      <c r="L78" s="1146"/>
      <c r="M78" s="1146"/>
      <c r="N78" s="1146"/>
      <c r="O78"/>
      <c r="P78"/>
      <c r="Q78"/>
      <c r="R78"/>
      <c r="S78"/>
      <c r="T78"/>
      <c r="U78"/>
    </row>
    <row r="79" spans="1:21">
      <c r="A79" s="161"/>
      <c r="B79" s="161"/>
      <c r="C79" s="161"/>
      <c r="D79" s="161"/>
      <c r="E79" s="161"/>
      <c r="F79" s="632"/>
      <c r="G79" s="632"/>
      <c r="H79" s="632"/>
      <c r="I79" s="632"/>
      <c r="J79" s="632"/>
      <c r="K79" s="1146"/>
      <c r="L79" s="1146"/>
      <c r="M79" s="1146"/>
      <c r="N79" s="1146"/>
      <c r="O79"/>
      <c r="P79"/>
      <c r="Q79"/>
      <c r="R79"/>
      <c r="S79"/>
      <c r="T79"/>
      <c r="U79"/>
    </row>
    <row r="80" spans="1:21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1146"/>
      <c r="L80" s="1146"/>
      <c r="M80" s="1146"/>
      <c r="N80" s="1146"/>
      <c r="O80"/>
      <c r="P80"/>
      <c r="Q80"/>
      <c r="R80"/>
      <c r="S80"/>
      <c r="T80"/>
      <c r="U80"/>
    </row>
    <row r="81" spans="15:21">
      <c r="O81"/>
      <c r="P81"/>
      <c r="Q81"/>
      <c r="R81"/>
      <c r="S81"/>
      <c r="T81"/>
      <c r="U81"/>
    </row>
    <row r="82" spans="15:21">
      <c r="O82"/>
      <c r="P82"/>
      <c r="Q82"/>
      <c r="R82"/>
      <c r="S82"/>
      <c r="T82"/>
      <c r="U82"/>
    </row>
    <row r="83" spans="15:21">
      <c r="O83"/>
      <c r="P83"/>
      <c r="Q83"/>
      <c r="R83"/>
      <c r="S83"/>
      <c r="T83"/>
      <c r="U83"/>
    </row>
    <row r="84" spans="15:21">
      <c r="O84"/>
      <c r="P84"/>
      <c r="Q84"/>
      <c r="R84"/>
      <c r="S84"/>
      <c r="T84"/>
      <c r="U84"/>
    </row>
    <row r="85" spans="15:21">
      <c r="O85" s="31"/>
      <c r="P85"/>
      <c r="Q85"/>
      <c r="R85"/>
      <c r="S85"/>
      <c r="T85"/>
      <c r="U85"/>
    </row>
  </sheetData>
  <sheetProtection formatColumns="0" autoFilter="0"/>
  <autoFilter ref="A1:U19" xr:uid="{BE6A6F7A-7CB6-4541-9F4E-9003AE6DC18C}"/>
  <conditionalFormatting sqref="K2:K19">
    <cfRule type="cellIs" dxfId="213" priority="14" operator="equal">
      <formula>"HUBB"</formula>
    </cfRule>
    <cfRule type="cellIs" dxfId="212" priority="18" operator="equal">
      <formula>"ROSS"</formula>
    </cfRule>
    <cfRule type="cellIs" dxfId="211" priority="20" operator="equal">
      <formula>"COBB"</formula>
    </cfRule>
  </conditionalFormatting>
  <conditionalFormatting sqref="L2:L19">
    <cfRule type="cellIs" dxfId="210" priority="1" operator="equal">
      <formula>"500 SLOW - MV"</formula>
    </cfRule>
    <cfRule type="cellIs" dxfId="209" priority="2" operator="equal">
      <formula>"500 FAST - MALE"</formula>
    </cfRule>
    <cfRule type="cellIs" dxfId="208" priority="3" operator="equal">
      <formula>"500 SLOW - MX"</formula>
    </cfRule>
    <cfRule type="cellIs" dxfId="207" priority="4" operator="equal">
      <formula>"EFFICIENCY PLUS_M77"</formula>
    </cfRule>
    <cfRule type="cellIs" dxfId="206" priority="5" operator="equal">
      <formula>"AP95 - 344  JBS"</formula>
    </cfRule>
    <cfRule type="cellIs" dxfId="205" priority="6" operator="equal">
      <formula>"500 SLOW - MALE JBS"</formula>
    </cfRule>
    <cfRule type="cellIs" dxfId="204" priority="7" operator="equal">
      <formula>"AP95 - 344"</formula>
    </cfRule>
    <cfRule type="cellIs" dxfId="203" priority="8" operator="equal">
      <formula>"800 SLOW CDP4 - MALE"</formula>
    </cfRule>
    <cfRule type="cellIs" dxfId="202" priority="9" operator="equal">
      <formula>"800 SLOW CDP4 - MX"</formula>
    </cfRule>
    <cfRule type="cellIs" dxfId="201" priority="10" operator="equal">
      <formula>"500 SLOW - MALE"</formula>
    </cfRule>
  </conditionalFormatting>
  <pageMargins left="0.51181102362204722" right="0.51181102362204722" top="0.78740157480314965" bottom="0.78740157480314965" header="0.31496062992125984" footer="0.31496062992125984"/>
  <pageSetup paperSize="9" orientation="landscape" horizontalDpi="4294967293" r:id="rId5"/>
  <drawing r:id="rId6"/>
  <extLst>
    <ext xmlns:x15="http://schemas.microsoft.com/office/spreadsheetml/2010/11/main" uri="{7E03D99C-DC04-49d9-9315-930204A7B6E9}">
      <x15:timelineRefs>
        <x15:timelineRef r:id="rId7"/>
      </x15:timeline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5D0A-BFAC-473F-BE33-CCD4F1D0A51C}">
  <sheetPr codeName="Planilha11">
    <tabColor rgb="FFFF9900"/>
  </sheetPr>
  <dimension ref="A1:U159"/>
  <sheetViews>
    <sheetView zoomScale="80" zoomScaleNormal="80" workbookViewId="0">
      <pane xSplit="1" ySplit="1" topLeftCell="F2" activePane="bottomRight" state="frozen"/>
      <selection pane="topRight" activeCell="H260" sqref="H260"/>
      <selection pane="bottomLeft" activeCell="H260" sqref="H260"/>
      <selection pane="bottomRight" activeCell="I36" sqref="I36"/>
    </sheetView>
  </sheetViews>
  <sheetFormatPr defaultColWidth="8.8984375" defaultRowHeight="17.399999999999999"/>
  <cols>
    <col min="1" max="1" width="13.8984375" style="346" bestFit="1" customWidth="1"/>
    <col min="2" max="2" width="17.59765625" style="346" bestFit="1" customWidth="1"/>
    <col min="3" max="3" width="13" style="346" bestFit="1" customWidth="1"/>
    <col min="4" max="4" width="24.09765625" style="346" bestFit="1" customWidth="1"/>
    <col min="5" max="5" width="13.59765625" style="359" bestFit="1" customWidth="1"/>
    <col min="6" max="6" width="14.8984375" style="346" bestFit="1" customWidth="1"/>
    <col min="7" max="7" width="33.09765625" style="359" customWidth="1"/>
    <col min="8" max="8" width="14.8984375" style="346" bestFit="1" customWidth="1"/>
    <col min="9" max="9" width="14.8984375" style="346" customWidth="1"/>
    <col min="10" max="10" width="14.8984375" style="359" bestFit="1" customWidth="1"/>
    <col min="11" max="11" width="14" style="346" customWidth="1"/>
    <col min="12" max="12" width="19.69921875" style="346" bestFit="1" customWidth="1"/>
    <col min="13" max="13" width="21.09765625" style="346" bestFit="1" customWidth="1"/>
    <col min="14" max="14" width="20.3984375" style="346" bestFit="1" customWidth="1"/>
    <col min="15" max="15" width="17.09765625" style="359" customWidth="1"/>
    <col min="16" max="16" width="41.09765625" style="360" bestFit="1" customWidth="1"/>
    <col min="17" max="17" width="14.8984375" style="346" bestFit="1" customWidth="1"/>
    <col min="18" max="18" width="21.59765625" style="346" bestFit="1" customWidth="1"/>
    <col min="19" max="19" width="15.3984375" style="346" bestFit="1" customWidth="1"/>
    <col min="20" max="20" width="9.8984375" style="361" bestFit="1" customWidth="1"/>
    <col min="21" max="21" width="20.3984375" style="346" bestFit="1" customWidth="1"/>
    <col min="22" max="16384" width="8.8984375" style="346"/>
  </cols>
  <sheetData>
    <row r="1" spans="1:21" ht="17.25" customHeight="1">
      <c r="A1" s="340" t="s">
        <v>0</v>
      </c>
      <c r="B1" s="340" t="s">
        <v>1</v>
      </c>
      <c r="C1" s="340" t="s">
        <v>342</v>
      </c>
      <c r="D1" s="340" t="s">
        <v>2</v>
      </c>
      <c r="E1" s="340" t="s">
        <v>3</v>
      </c>
      <c r="F1" s="340" t="s">
        <v>362</v>
      </c>
      <c r="G1" s="340" t="s">
        <v>293</v>
      </c>
      <c r="H1" s="340" t="s">
        <v>8</v>
      </c>
      <c r="I1" s="340" t="s">
        <v>839</v>
      </c>
      <c r="J1" s="340" t="s">
        <v>9</v>
      </c>
      <c r="K1" s="340" t="s">
        <v>10</v>
      </c>
      <c r="L1" s="340" t="s">
        <v>346</v>
      </c>
      <c r="M1" s="341" t="s">
        <v>840</v>
      </c>
      <c r="N1" s="341" t="s">
        <v>841</v>
      </c>
      <c r="O1" s="340" t="s">
        <v>3</v>
      </c>
      <c r="P1" s="342" t="s">
        <v>295</v>
      </c>
      <c r="Q1" s="343" t="s">
        <v>8</v>
      </c>
      <c r="R1" s="340" t="s">
        <v>14</v>
      </c>
      <c r="S1" s="340" t="s">
        <v>15</v>
      </c>
      <c r="T1" s="344" t="s">
        <v>10</v>
      </c>
      <c r="U1" s="345" t="s">
        <v>16</v>
      </c>
    </row>
    <row r="2" spans="1:21" s="349" customFormat="1" ht="6.75" hidden="1" customHeight="1">
      <c r="A2" s="1040" t="s">
        <v>842</v>
      </c>
      <c r="B2" s="1041">
        <v>45402</v>
      </c>
      <c r="C2" s="1042">
        <f t="shared" ref="C2:C75" si="0">YEAR(B2)</f>
        <v>2024</v>
      </c>
      <c r="D2" s="1043">
        <v>45400</v>
      </c>
      <c r="E2" s="1133" t="s">
        <v>843</v>
      </c>
      <c r="F2" s="1044">
        <f ca="1">IF((TODAY()-D2)/7&gt;R2,T2,(TODAY()-D2)/7)</f>
        <v>127.71428571428571</v>
      </c>
      <c r="G2" s="1041" t="s">
        <v>844</v>
      </c>
      <c r="H2" s="1045">
        <v>12787</v>
      </c>
      <c r="I2" s="1230">
        <v>28.53</v>
      </c>
      <c r="J2" s="1040" t="s">
        <v>555</v>
      </c>
      <c r="K2" s="1134">
        <f>B19-M2</f>
        <v>40</v>
      </c>
      <c r="L2" s="348" t="s">
        <v>845</v>
      </c>
      <c r="M2" s="1046">
        <v>45484</v>
      </c>
      <c r="N2" s="1046">
        <f>D2+20*7</f>
        <v>45540</v>
      </c>
      <c r="O2" s="1047" t="s">
        <v>846</v>
      </c>
      <c r="P2" s="553" t="s">
        <v>847</v>
      </c>
      <c r="Q2" s="554">
        <v>12491</v>
      </c>
      <c r="R2" s="555">
        <v>45936</v>
      </c>
      <c r="S2" s="556">
        <v>76</v>
      </c>
      <c r="T2" s="557">
        <f>M51-R2</f>
        <v>43</v>
      </c>
      <c r="U2" s="330"/>
    </row>
    <row r="3" spans="1:21" s="349" customFormat="1" hidden="1">
      <c r="A3" s="1040" t="s">
        <v>842</v>
      </c>
      <c r="B3" s="1041">
        <v>45405</v>
      </c>
      <c r="C3" s="1042">
        <f t="shared" si="0"/>
        <v>2024</v>
      </c>
      <c r="D3" s="1043">
        <v>45400</v>
      </c>
      <c r="E3" s="1133" t="s">
        <v>848</v>
      </c>
      <c r="F3" s="1044">
        <f t="shared" ref="F3:F82" ca="1" si="1">IF((TODAY()-D3)/7&gt;R3,T3,(TODAY()-D3)/7)</f>
        <v>127.71428571428571</v>
      </c>
      <c r="G3" s="1041" t="s">
        <v>849</v>
      </c>
      <c r="H3" s="1045">
        <v>12780</v>
      </c>
      <c r="I3" s="1230">
        <v>28.4</v>
      </c>
      <c r="J3" s="1040" t="s">
        <v>555</v>
      </c>
      <c r="K3" s="1134">
        <f>B20-M3</f>
        <v>39</v>
      </c>
      <c r="L3" s="1048" t="s">
        <v>850</v>
      </c>
      <c r="M3" s="1046">
        <v>45485</v>
      </c>
      <c r="N3" s="1046">
        <f t="shared" ref="N3:N82" si="2">D3+20*7</f>
        <v>45540</v>
      </c>
      <c r="O3" s="1047" t="s">
        <v>851</v>
      </c>
      <c r="P3" s="553" t="s">
        <v>847</v>
      </c>
      <c r="Q3" s="554">
        <v>11959</v>
      </c>
      <c r="R3" s="555">
        <v>45936</v>
      </c>
      <c r="S3" s="556">
        <v>76</v>
      </c>
      <c r="T3" s="557">
        <f>M51-R2</f>
        <v>43</v>
      </c>
      <c r="U3" s="330"/>
    </row>
    <row r="4" spans="1:21" s="349" customFormat="1" hidden="1">
      <c r="A4" s="1040" t="s">
        <v>842</v>
      </c>
      <c r="B4" s="1041">
        <v>45447</v>
      </c>
      <c r="C4" s="1042">
        <f t="shared" si="0"/>
        <v>2024</v>
      </c>
      <c r="D4" s="1043">
        <f>B4</f>
        <v>45447</v>
      </c>
      <c r="E4" s="1133" t="s">
        <v>852</v>
      </c>
      <c r="F4" s="1044">
        <f t="shared" ca="1" si="1"/>
        <v>121</v>
      </c>
      <c r="G4" s="1041" t="s">
        <v>853</v>
      </c>
      <c r="H4" s="1045">
        <v>10239</v>
      </c>
      <c r="I4" s="1230">
        <v>28.4</v>
      </c>
      <c r="J4" s="1040" t="s">
        <v>555</v>
      </c>
      <c r="K4" s="1134">
        <f>B81-M4</f>
        <v>577</v>
      </c>
      <c r="L4" s="1049" t="s">
        <v>854</v>
      </c>
      <c r="M4" s="1046">
        <v>45530</v>
      </c>
      <c r="N4" s="1046">
        <f t="shared" si="2"/>
        <v>45587</v>
      </c>
      <c r="O4" s="1047" t="s">
        <v>855</v>
      </c>
      <c r="P4" s="553" t="s">
        <v>856</v>
      </c>
      <c r="Q4" s="554">
        <v>8688</v>
      </c>
      <c r="R4" s="555">
        <v>46033</v>
      </c>
      <c r="S4" s="556">
        <v>84</v>
      </c>
      <c r="T4" s="557">
        <f>M63-R4</f>
        <v>69</v>
      </c>
      <c r="U4" s="1125"/>
    </row>
    <row r="5" spans="1:21" s="349" customFormat="1" hidden="1">
      <c r="A5" s="1040" t="s">
        <v>842</v>
      </c>
      <c r="B5" s="1041">
        <v>45447</v>
      </c>
      <c r="C5" s="1042">
        <f t="shared" si="0"/>
        <v>2024</v>
      </c>
      <c r="D5" s="1043">
        <f t="shared" ref="D5:D71" si="3">B5</f>
        <v>45447</v>
      </c>
      <c r="E5" s="1133" t="s">
        <v>857</v>
      </c>
      <c r="F5" s="1044">
        <f t="shared" ca="1" si="1"/>
        <v>121</v>
      </c>
      <c r="G5" s="1041" t="s">
        <v>858</v>
      </c>
      <c r="H5" s="1045">
        <v>10238</v>
      </c>
      <c r="I5" s="1230">
        <v>28.69</v>
      </c>
      <c r="J5" s="1040" t="s">
        <v>555</v>
      </c>
      <c r="K5" s="1134">
        <f>B82-M5</f>
        <v>578</v>
      </c>
      <c r="L5" s="1050" t="s">
        <v>859</v>
      </c>
      <c r="M5" s="1046">
        <v>45529</v>
      </c>
      <c r="N5" s="1046">
        <f t="shared" si="2"/>
        <v>45587</v>
      </c>
      <c r="O5" s="1047" t="s">
        <v>860</v>
      </c>
      <c r="P5" s="553" t="s">
        <v>856</v>
      </c>
      <c r="Q5" s="554">
        <v>8817</v>
      </c>
      <c r="R5" s="555">
        <v>46033</v>
      </c>
      <c r="S5" s="556">
        <v>84</v>
      </c>
      <c r="T5" s="557">
        <f>M63-R4</f>
        <v>69</v>
      </c>
      <c r="U5" s="1125"/>
    </row>
    <row r="6" spans="1:21" s="349" customFormat="1" hidden="1">
      <c r="A6" s="1040" t="s">
        <v>842</v>
      </c>
      <c r="B6" s="1041">
        <v>45451</v>
      </c>
      <c r="C6" s="1042">
        <f t="shared" si="0"/>
        <v>2024</v>
      </c>
      <c r="D6" s="1043">
        <f t="shared" si="3"/>
        <v>45451</v>
      </c>
      <c r="E6" s="1133" t="s">
        <v>861</v>
      </c>
      <c r="F6" s="1044">
        <f t="shared" ca="1" si="1"/>
        <v>120.42857142857143</v>
      </c>
      <c r="G6" s="1041" t="s">
        <v>862</v>
      </c>
      <c r="H6" s="1045">
        <v>10221</v>
      </c>
      <c r="I6" s="1230">
        <v>28.69</v>
      </c>
      <c r="J6" s="1040" t="s">
        <v>555</v>
      </c>
      <c r="K6" s="1134">
        <f>B26-M6</f>
        <v>90</v>
      </c>
      <c r="L6" s="1050" t="s">
        <v>859</v>
      </c>
      <c r="M6" s="1046">
        <v>45529</v>
      </c>
      <c r="N6" s="1046">
        <f t="shared" si="2"/>
        <v>45591</v>
      </c>
      <c r="O6" s="1047" t="s">
        <v>863</v>
      </c>
      <c r="P6" s="553" t="s">
        <v>856</v>
      </c>
      <c r="Q6" s="554">
        <v>16169</v>
      </c>
      <c r="R6" s="555">
        <v>46035</v>
      </c>
      <c r="S6" s="556">
        <v>83</v>
      </c>
      <c r="T6" s="557">
        <f>M63-R4</f>
        <v>69</v>
      </c>
      <c r="U6" s="1125"/>
    </row>
    <row r="7" spans="1:21" s="349" customFormat="1" hidden="1">
      <c r="A7" s="1040" t="s">
        <v>842</v>
      </c>
      <c r="B7" s="1041">
        <v>45456</v>
      </c>
      <c r="C7" s="1042">
        <f>YEAR(B7)</f>
        <v>2024</v>
      </c>
      <c r="D7" s="1043">
        <f>B7</f>
        <v>45456</v>
      </c>
      <c r="E7" s="1133" t="s">
        <v>864</v>
      </c>
      <c r="F7" s="1044">
        <f ca="1">IF((TODAY()-D7)/7&gt;R7,T7,(TODAY()-D7)/7)</f>
        <v>119.71428571428571</v>
      </c>
      <c r="G7" s="1397" t="s">
        <v>865</v>
      </c>
      <c r="H7" s="1045">
        <v>10205</v>
      </c>
      <c r="I7" s="1230">
        <v>28.69</v>
      </c>
      <c r="J7" s="1040" t="s">
        <v>555</v>
      </c>
      <c r="K7" s="1409">
        <f>B36-M7</f>
        <v>189</v>
      </c>
      <c r="L7" s="1050" t="s">
        <v>859</v>
      </c>
      <c r="M7" s="1046">
        <v>45532</v>
      </c>
      <c r="N7" s="1046">
        <f>D7+20*7</f>
        <v>45596</v>
      </c>
      <c r="O7" s="1403" t="s">
        <v>866</v>
      </c>
      <c r="P7" s="553" t="s">
        <v>856</v>
      </c>
      <c r="Q7" s="1405">
        <v>14710</v>
      </c>
      <c r="R7" s="555">
        <v>46036</v>
      </c>
      <c r="S7" s="556">
        <v>83</v>
      </c>
      <c r="T7" s="557">
        <f>M63-R4</f>
        <v>69</v>
      </c>
      <c r="U7" s="1125"/>
    </row>
    <row r="8" spans="1:21" s="349" customFormat="1" hidden="1">
      <c r="A8" s="1040" t="s">
        <v>842</v>
      </c>
      <c r="B8" s="1041">
        <v>45456</v>
      </c>
      <c r="C8" s="1042">
        <f t="shared" si="0"/>
        <v>2024</v>
      </c>
      <c r="D8" s="1043">
        <f t="shared" si="3"/>
        <v>45456</v>
      </c>
      <c r="E8" s="1133" t="s">
        <v>867</v>
      </c>
      <c r="F8" s="1044">
        <f t="shared" ca="1" si="1"/>
        <v>119.71428571428571</v>
      </c>
      <c r="G8" s="1398"/>
      <c r="H8" s="1045">
        <v>10205</v>
      </c>
      <c r="I8" s="1230">
        <v>28.69</v>
      </c>
      <c r="J8" s="1040" t="s">
        <v>555</v>
      </c>
      <c r="K8" s="1410"/>
      <c r="L8" s="1050" t="s">
        <v>859</v>
      </c>
      <c r="M8" s="1046">
        <f t="shared" ref="M8:M75" si="4">D8+(16*7)</f>
        <v>45568</v>
      </c>
      <c r="N8" s="1046">
        <f t="shared" si="2"/>
        <v>45596</v>
      </c>
      <c r="O8" s="1404"/>
      <c r="P8" s="553" t="s">
        <v>856</v>
      </c>
      <c r="Q8" s="1406"/>
      <c r="R8" s="555">
        <v>46036</v>
      </c>
      <c r="S8" s="556">
        <v>83</v>
      </c>
      <c r="T8" s="557">
        <f>M63-R4</f>
        <v>69</v>
      </c>
      <c r="U8" s="1125"/>
    </row>
    <row r="9" spans="1:21" hidden="1">
      <c r="A9" s="1040" t="s">
        <v>842</v>
      </c>
      <c r="B9" s="1041">
        <v>45468</v>
      </c>
      <c r="C9" s="1042">
        <f t="shared" si="0"/>
        <v>2024</v>
      </c>
      <c r="D9" s="1043">
        <f t="shared" si="3"/>
        <v>45468</v>
      </c>
      <c r="E9" s="1133" t="s">
        <v>868</v>
      </c>
      <c r="F9" s="1044">
        <f t="shared" ca="1" si="1"/>
        <v>118</v>
      </c>
      <c r="G9" s="1041" t="s">
        <v>869</v>
      </c>
      <c r="H9" s="1045">
        <v>13312</v>
      </c>
      <c r="I9" s="1230">
        <v>29.23</v>
      </c>
      <c r="J9" s="1040" t="s">
        <v>555</v>
      </c>
      <c r="K9" s="1134">
        <f>B35-M9</f>
        <v>125</v>
      </c>
      <c r="L9" s="1050" t="s">
        <v>859</v>
      </c>
      <c r="M9" s="1046">
        <v>45581</v>
      </c>
      <c r="N9" s="1046">
        <f t="shared" si="2"/>
        <v>45608</v>
      </c>
      <c r="O9" s="1047" t="s">
        <v>870</v>
      </c>
      <c r="P9" s="553" t="s">
        <v>871</v>
      </c>
      <c r="Q9" s="554">
        <v>12942</v>
      </c>
      <c r="R9" s="555">
        <v>46049</v>
      </c>
      <c r="S9" s="556">
        <v>83</v>
      </c>
      <c r="T9" s="557">
        <f>M57-R9</f>
        <v>32</v>
      </c>
      <c r="U9" s="331"/>
    </row>
    <row r="10" spans="1:21" hidden="1">
      <c r="A10" s="1040" t="s">
        <v>842</v>
      </c>
      <c r="B10" s="1041">
        <v>45468</v>
      </c>
      <c r="C10" s="1042">
        <f t="shared" si="0"/>
        <v>2024</v>
      </c>
      <c r="D10" s="1043">
        <f t="shared" si="3"/>
        <v>45468</v>
      </c>
      <c r="E10" s="1393" t="s">
        <v>872</v>
      </c>
      <c r="F10" s="1395">
        <f t="shared" ca="1" si="1"/>
        <v>118</v>
      </c>
      <c r="G10" s="1397" t="s">
        <v>873</v>
      </c>
      <c r="H10" s="1399">
        <v>9203</v>
      </c>
      <c r="I10" s="1230">
        <v>29.23</v>
      </c>
      <c r="J10" s="1040" t="s">
        <v>555</v>
      </c>
      <c r="K10" s="1134">
        <f>B35-M10</f>
        <v>126</v>
      </c>
      <c r="L10" s="1401" t="s">
        <v>854</v>
      </c>
      <c r="M10" s="1046">
        <f t="shared" si="4"/>
        <v>45580</v>
      </c>
      <c r="N10" s="1046">
        <f t="shared" si="2"/>
        <v>45608</v>
      </c>
      <c r="O10" s="1047" t="s">
        <v>874</v>
      </c>
      <c r="P10" s="553" t="s">
        <v>875</v>
      </c>
      <c r="Q10" s="554">
        <v>2000</v>
      </c>
      <c r="R10" s="555">
        <v>46048</v>
      </c>
      <c r="S10" s="556">
        <v>83</v>
      </c>
      <c r="T10" s="557">
        <f>M57-R9</f>
        <v>32</v>
      </c>
      <c r="U10" s="331"/>
    </row>
    <row r="11" spans="1:21" hidden="1">
      <c r="A11" s="1040" t="s">
        <v>842</v>
      </c>
      <c r="B11" s="1041">
        <v>45468</v>
      </c>
      <c r="C11" s="1042">
        <f>YEAR(B11)</f>
        <v>2024</v>
      </c>
      <c r="D11" s="1043">
        <f>B11</f>
        <v>45468</v>
      </c>
      <c r="E11" s="1394"/>
      <c r="F11" s="1396"/>
      <c r="G11" s="1398"/>
      <c r="H11" s="1400"/>
      <c r="I11" s="1230">
        <v>29.23</v>
      </c>
      <c r="J11" s="1040" t="s">
        <v>555</v>
      </c>
      <c r="K11" s="1134">
        <f>B35-M11</f>
        <v>126</v>
      </c>
      <c r="L11" s="1402"/>
      <c r="M11" s="1046">
        <f>D11+(16*7)</f>
        <v>45580</v>
      </c>
      <c r="N11" s="1046">
        <f>D11+20*7</f>
        <v>45608</v>
      </c>
      <c r="O11" s="1047" t="s">
        <v>876</v>
      </c>
      <c r="P11" s="553" t="s">
        <v>871</v>
      </c>
      <c r="Q11" s="554">
        <v>6669</v>
      </c>
      <c r="R11" s="555">
        <v>46048</v>
      </c>
      <c r="S11" s="556">
        <v>83</v>
      </c>
      <c r="T11" s="557" t="e">
        <f>#REF!-R10</f>
        <v>#REF!</v>
      </c>
      <c r="U11" s="331"/>
    </row>
    <row r="12" spans="1:21" hidden="1">
      <c r="A12" s="1040" t="s">
        <v>842</v>
      </c>
      <c r="B12" s="1041">
        <v>45465</v>
      </c>
      <c r="C12" s="1042">
        <f t="shared" si="0"/>
        <v>2024</v>
      </c>
      <c r="D12" s="1043">
        <f t="shared" si="3"/>
        <v>45465</v>
      </c>
      <c r="E12" s="1133" t="s">
        <v>877</v>
      </c>
      <c r="F12" s="1044">
        <f t="shared" ca="1" si="1"/>
        <v>118.42857142857143</v>
      </c>
      <c r="G12" s="1041" t="s">
        <v>878</v>
      </c>
      <c r="H12" s="1045">
        <v>9149</v>
      </c>
      <c r="I12" s="1230">
        <v>30.07</v>
      </c>
      <c r="J12" s="1040" t="s">
        <v>555</v>
      </c>
      <c r="K12" s="1134">
        <f>B34-M12</f>
        <v>124</v>
      </c>
      <c r="L12" s="1051" t="s">
        <v>845</v>
      </c>
      <c r="M12" s="1046">
        <v>45578</v>
      </c>
      <c r="N12" s="1046">
        <f t="shared" si="2"/>
        <v>45605</v>
      </c>
      <c r="O12" s="1403" t="s">
        <v>879</v>
      </c>
      <c r="P12" s="1407" t="s">
        <v>875</v>
      </c>
      <c r="Q12" s="1405">
        <v>17644</v>
      </c>
      <c r="R12" s="555">
        <v>46048</v>
      </c>
      <c r="S12" s="556">
        <v>83</v>
      </c>
      <c r="T12" s="557">
        <f>M57-R9</f>
        <v>32</v>
      </c>
      <c r="U12" s="331"/>
    </row>
    <row r="13" spans="1:21" hidden="1">
      <c r="A13" s="1040" t="s">
        <v>842</v>
      </c>
      <c r="B13" s="1041">
        <v>45465</v>
      </c>
      <c r="C13" s="1042">
        <f t="shared" si="0"/>
        <v>2024</v>
      </c>
      <c r="D13" s="1043">
        <f t="shared" si="3"/>
        <v>45465</v>
      </c>
      <c r="E13" s="1133" t="s">
        <v>880</v>
      </c>
      <c r="F13" s="1044">
        <f t="shared" ca="1" si="1"/>
        <v>118.42857142857143</v>
      </c>
      <c r="G13" s="1041" t="s">
        <v>881</v>
      </c>
      <c r="H13" s="1045">
        <v>9215</v>
      </c>
      <c r="I13" s="1230">
        <v>30.07</v>
      </c>
      <c r="J13" s="1040" t="s">
        <v>555</v>
      </c>
      <c r="K13" s="1134">
        <f>B34-M13</f>
        <v>125</v>
      </c>
      <c r="L13" s="1051" t="s">
        <v>845</v>
      </c>
      <c r="M13" s="1046">
        <f t="shared" si="4"/>
        <v>45577</v>
      </c>
      <c r="N13" s="1046">
        <f t="shared" si="2"/>
        <v>45605</v>
      </c>
      <c r="O13" s="1404"/>
      <c r="P13" s="1408"/>
      <c r="Q13" s="1406"/>
      <c r="R13" s="555">
        <v>46048</v>
      </c>
      <c r="S13" s="556">
        <v>83</v>
      </c>
      <c r="T13" s="557">
        <f>M57-R9</f>
        <v>32</v>
      </c>
      <c r="U13" s="331"/>
    </row>
    <row r="14" spans="1:21" hidden="1">
      <c r="A14" s="1040" t="s">
        <v>842</v>
      </c>
      <c r="B14" s="1041">
        <v>45486</v>
      </c>
      <c r="C14" s="1042">
        <f t="shared" si="0"/>
        <v>2024</v>
      </c>
      <c r="D14" s="1043">
        <f t="shared" si="3"/>
        <v>45486</v>
      </c>
      <c r="E14" s="1133" t="s">
        <v>882</v>
      </c>
      <c r="F14" s="1044">
        <f t="shared" ca="1" si="1"/>
        <v>115.42857142857143</v>
      </c>
      <c r="G14" s="1041" t="s">
        <v>883</v>
      </c>
      <c r="H14" s="1045">
        <v>19900</v>
      </c>
      <c r="I14" s="1230">
        <v>30.07</v>
      </c>
      <c r="J14" s="1040" t="s">
        <v>555</v>
      </c>
      <c r="K14" s="1134">
        <f>B33-M14</f>
        <v>117</v>
      </c>
      <c r="L14" s="1051" t="s">
        <v>845</v>
      </c>
      <c r="M14" s="1046">
        <v>45582</v>
      </c>
      <c r="N14" s="1046">
        <f t="shared" si="2"/>
        <v>45626</v>
      </c>
      <c r="O14" s="1047" t="s">
        <v>884</v>
      </c>
      <c r="P14" s="553" t="s">
        <v>885</v>
      </c>
      <c r="Q14" s="554">
        <v>19285</v>
      </c>
      <c r="R14" s="555">
        <v>46050</v>
      </c>
      <c r="S14" s="556">
        <v>83</v>
      </c>
      <c r="T14" s="557">
        <f>M57-R9</f>
        <v>32</v>
      </c>
      <c r="U14" s="331"/>
    </row>
    <row r="15" spans="1:21" hidden="1">
      <c r="A15" s="1040" t="s">
        <v>842</v>
      </c>
      <c r="B15" s="1041">
        <v>45475</v>
      </c>
      <c r="C15" s="1042">
        <f t="shared" si="0"/>
        <v>2024</v>
      </c>
      <c r="D15" s="1043">
        <f t="shared" si="3"/>
        <v>45475</v>
      </c>
      <c r="E15" s="1135" t="s">
        <v>886</v>
      </c>
      <c r="F15" s="1044">
        <f t="shared" ca="1" si="1"/>
        <v>117</v>
      </c>
      <c r="G15" s="1041" t="s">
        <v>887</v>
      </c>
      <c r="H15" s="1045">
        <v>21170</v>
      </c>
      <c r="I15" s="1230">
        <v>31.07</v>
      </c>
      <c r="J15" s="1133" t="s">
        <v>555</v>
      </c>
      <c r="K15" s="1134">
        <f>B76-R15</f>
        <v>57</v>
      </c>
      <c r="L15" s="1051" t="s">
        <v>845</v>
      </c>
      <c r="M15" s="1046">
        <v>45585</v>
      </c>
      <c r="N15" s="1046">
        <f t="shared" si="2"/>
        <v>45615</v>
      </c>
      <c r="O15" s="1133" t="s">
        <v>888</v>
      </c>
      <c r="P15" s="553" t="s">
        <v>887</v>
      </c>
      <c r="Q15" s="554">
        <v>20073</v>
      </c>
      <c r="R15" s="555">
        <v>46042</v>
      </c>
      <c r="S15" s="556">
        <v>81</v>
      </c>
      <c r="T15" s="558">
        <f>B76-R15</f>
        <v>57</v>
      </c>
      <c r="U15" s="1136"/>
    </row>
    <row r="16" spans="1:21" hidden="1">
      <c r="A16" s="1040" t="s">
        <v>842</v>
      </c>
      <c r="B16" s="1041">
        <v>45478</v>
      </c>
      <c r="C16" s="1042">
        <f t="shared" si="0"/>
        <v>2024</v>
      </c>
      <c r="D16" s="1043">
        <f t="shared" si="3"/>
        <v>45478</v>
      </c>
      <c r="E16" s="1133" t="s">
        <v>889</v>
      </c>
      <c r="F16" s="1044">
        <f t="shared" ca="1" si="1"/>
        <v>116.57142857142857</v>
      </c>
      <c r="G16" s="1041" t="s">
        <v>890</v>
      </c>
      <c r="H16" s="1045">
        <v>19896</v>
      </c>
      <c r="I16" s="1230">
        <v>29.25</v>
      </c>
      <c r="J16" s="1040" t="s">
        <v>555</v>
      </c>
      <c r="K16" s="1134">
        <f>B33-M16</f>
        <v>86</v>
      </c>
      <c r="L16" s="1051" t="s">
        <v>845</v>
      </c>
      <c r="M16" s="1046">
        <v>45613</v>
      </c>
      <c r="N16" s="1046">
        <f t="shared" si="2"/>
        <v>45618</v>
      </c>
      <c r="O16" s="1047" t="s">
        <v>891</v>
      </c>
      <c r="P16" s="553" t="s">
        <v>892</v>
      </c>
      <c r="Q16" s="1027">
        <v>12800</v>
      </c>
      <c r="R16" s="1028">
        <v>46068</v>
      </c>
      <c r="S16" s="1029">
        <v>83</v>
      </c>
      <c r="T16" s="558">
        <f>M60-R16</f>
        <v>20</v>
      </c>
      <c r="U16" s="1136"/>
    </row>
    <row r="17" spans="1:20" hidden="1">
      <c r="A17" s="1040" t="s">
        <v>842</v>
      </c>
      <c r="B17" s="1041">
        <v>45489</v>
      </c>
      <c r="C17" s="1042">
        <f t="shared" si="0"/>
        <v>2024</v>
      </c>
      <c r="D17" s="1043">
        <f t="shared" si="3"/>
        <v>45489</v>
      </c>
      <c r="E17" s="1133" t="s">
        <v>893</v>
      </c>
      <c r="F17" s="1044">
        <f t="shared" ca="1" si="1"/>
        <v>115</v>
      </c>
      <c r="G17" s="1041" t="s">
        <v>894</v>
      </c>
      <c r="H17" s="1399">
        <v>19893</v>
      </c>
      <c r="I17" s="1230">
        <v>29.25</v>
      </c>
      <c r="J17" s="1040" t="s">
        <v>555</v>
      </c>
      <c r="K17" s="1134">
        <f>B30-M17</f>
        <v>68</v>
      </c>
      <c r="L17" s="1051" t="s">
        <v>845</v>
      </c>
      <c r="M17" s="1046">
        <v>45614</v>
      </c>
      <c r="N17" s="1046">
        <f t="shared" si="2"/>
        <v>45629</v>
      </c>
      <c r="O17" s="1047" t="s">
        <v>895</v>
      </c>
      <c r="P17" s="553" t="s">
        <v>896</v>
      </c>
      <c r="Q17" s="1027">
        <v>12620</v>
      </c>
      <c r="R17" s="1028">
        <v>46068</v>
      </c>
      <c r="S17" s="1029">
        <v>83</v>
      </c>
      <c r="T17" s="558">
        <f>M60-R16</f>
        <v>20</v>
      </c>
    </row>
    <row r="18" spans="1:20" hidden="1">
      <c r="A18" s="1040" t="s">
        <v>842</v>
      </c>
      <c r="B18" s="1041">
        <v>45489</v>
      </c>
      <c r="C18" s="1042">
        <f>YEAR(B18)</f>
        <v>2024</v>
      </c>
      <c r="D18" s="1043">
        <f>B18</f>
        <v>45489</v>
      </c>
      <c r="E18" s="1133" t="s">
        <v>893</v>
      </c>
      <c r="F18" s="1044">
        <f ca="1">IF((TODAY()-D18)/7&gt;R18,T18,(TODAY()-D18)/7)</f>
        <v>115</v>
      </c>
      <c r="G18" s="1041" t="s">
        <v>894</v>
      </c>
      <c r="H18" s="1400"/>
      <c r="I18" s="1230">
        <v>29.25</v>
      </c>
      <c r="J18" s="1040" t="s">
        <v>555</v>
      </c>
      <c r="K18" s="1134">
        <f>B30-M18</f>
        <v>67</v>
      </c>
      <c r="L18" s="1051" t="s">
        <v>845</v>
      </c>
      <c r="M18" s="1046">
        <v>45615</v>
      </c>
      <c r="N18" s="1046">
        <f>D18+20*7</f>
        <v>45629</v>
      </c>
      <c r="O18" s="1047" t="s">
        <v>897</v>
      </c>
      <c r="P18" s="553" t="s">
        <v>898</v>
      </c>
      <c r="Q18" s="1027">
        <v>12780</v>
      </c>
      <c r="R18" s="1028">
        <v>46068</v>
      </c>
      <c r="S18" s="1029">
        <v>83</v>
      </c>
      <c r="T18" s="558">
        <f>M61-R17</f>
        <v>20</v>
      </c>
    </row>
    <row r="19" spans="1:20" hidden="1">
      <c r="A19" s="1040" t="s">
        <v>842</v>
      </c>
      <c r="B19" s="1041">
        <v>45524</v>
      </c>
      <c r="C19" s="1042">
        <v>2024</v>
      </c>
      <c r="D19" s="1043">
        <f t="shared" si="3"/>
        <v>45524</v>
      </c>
      <c r="E19" s="1133" t="s">
        <v>899</v>
      </c>
      <c r="F19" s="1044">
        <f t="shared" ca="1" si="1"/>
        <v>0</v>
      </c>
      <c r="G19" s="1041" t="s">
        <v>844</v>
      </c>
      <c r="H19" s="1045">
        <v>15498</v>
      </c>
      <c r="I19" s="1230">
        <v>5.6</v>
      </c>
      <c r="J19" s="1040" t="s">
        <v>555</v>
      </c>
      <c r="K19" s="1134">
        <f>B31-M19</f>
        <v>65</v>
      </c>
      <c r="L19" s="1049" t="s">
        <v>854</v>
      </c>
      <c r="M19" s="1046">
        <v>45629</v>
      </c>
      <c r="N19" s="1046">
        <f>D19+20*7</f>
        <v>45664</v>
      </c>
      <c r="O19" s="1047"/>
      <c r="P19" s="553" t="s">
        <v>900</v>
      </c>
      <c r="Q19" s="1027">
        <v>15180</v>
      </c>
      <c r="R19" s="1028"/>
      <c r="S19" s="1029"/>
      <c r="T19" s="558"/>
    </row>
    <row r="20" spans="1:20" hidden="1">
      <c r="A20" s="1040" t="s">
        <v>842</v>
      </c>
      <c r="B20" s="1041">
        <v>45524</v>
      </c>
      <c r="C20" s="1042">
        <v>2024</v>
      </c>
      <c r="D20" s="1043">
        <f t="shared" ref="D20" si="5">B20</f>
        <v>45524</v>
      </c>
      <c r="E20" s="1133" t="s">
        <v>899</v>
      </c>
      <c r="F20" s="1044">
        <f t="shared" ref="F20" ca="1" si="6">IF((TODAY()-D20)/7&gt;R20,T20,(TODAY()-D20)/7)</f>
        <v>0</v>
      </c>
      <c r="G20" s="1041" t="s">
        <v>849</v>
      </c>
      <c r="H20" s="1045">
        <v>15393</v>
      </c>
      <c r="I20" s="1230">
        <v>5.6</v>
      </c>
      <c r="J20" s="1040" t="s">
        <v>555</v>
      </c>
      <c r="K20" s="1134">
        <f>B32-M20</f>
        <v>67</v>
      </c>
      <c r="L20" s="1049" t="s">
        <v>854</v>
      </c>
      <c r="M20" s="1046">
        <v>45629</v>
      </c>
      <c r="N20" s="1046">
        <f>D20+20*7</f>
        <v>45664</v>
      </c>
      <c r="O20" s="1047"/>
      <c r="P20" s="553" t="s">
        <v>900</v>
      </c>
      <c r="Q20" s="1027">
        <v>15190</v>
      </c>
      <c r="R20" s="1028"/>
      <c r="S20" s="1029"/>
      <c r="T20" s="558"/>
    </row>
    <row r="21" spans="1:20" hidden="1">
      <c r="A21" s="1040" t="s">
        <v>842</v>
      </c>
      <c r="B21" s="1137">
        <v>45559</v>
      </c>
      <c r="C21" s="1042">
        <f t="shared" si="0"/>
        <v>2024</v>
      </c>
      <c r="D21" s="1043">
        <f t="shared" si="3"/>
        <v>45559</v>
      </c>
      <c r="E21" s="1133" t="s">
        <v>901</v>
      </c>
      <c r="F21" s="1044">
        <f t="shared" ca="1" si="1"/>
        <v>105</v>
      </c>
      <c r="G21" s="1041" t="s">
        <v>902</v>
      </c>
      <c r="H21" s="1045">
        <v>10231</v>
      </c>
      <c r="I21" s="1230">
        <v>82.53</v>
      </c>
      <c r="J21" s="1040" t="s">
        <v>555</v>
      </c>
      <c r="K21" s="1134">
        <f>B38-M21</f>
        <v>54</v>
      </c>
      <c r="L21" s="1049" t="s">
        <v>854</v>
      </c>
      <c r="M21" s="1046">
        <v>45677</v>
      </c>
      <c r="N21" s="1046">
        <f t="shared" si="2"/>
        <v>45699</v>
      </c>
      <c r="O21" s="1047" t="s">
        <v>903</v>
      </c>
      <c r="P21" s="553" t="s">
        <v>904</v>
      </c>
      <c r="Q21" s="554">
        <v>10007</v>
      </c>
      <c r="R21" s="1028">
        <f t="shared" ref="R21:R22" si="7">D21+(S21*7)-1</f>
        <v>46104</v>
      </c>
      <c r="S21" s="556">
        <v>78</v>
      </c>
      <c r="T21" s="558">
        <f>M73-R21</f>
        <v>88</v>
      </c>
    </row>
    <row r="22" spans="1:20" hidden="1">
      <c r="A22" s="1040" t="s">
        <v>842</v>
      </c>
      <c r="B22" s="1137">
        <v>45559</v>
      </c>
      <c r="C22" s="1042">
        <f t="shared" si="0"/>
        <v>2024</v>
      </c>
      <c r="D22" s="1043">
        <f t="shared" si="3"/>
        <v>45559</v>
      </c>
      <c r="E22" s="1133" t="s">
        <v>905</v>
      </c>
      <c r="F22" s="1044">
        <f t="shared" ca="1" si="1"/>
        <v>105</v>
      </c>
      <c r="G22" s="1041" t="s">
        <v>902</v>
      </c>
      <c r="H22" s="1045">
        <v>10231</v>
      </c>
      <c r="I22" s="1230">
        <v>82.26</v>
      </c>
      <c r="J22" s="1040" t="s">
        <v>555</v>
      </c>
      <c r="K22" s="1134">
        <f>B38-M21</f>
        <v>54</v>
      </c>
      <c r="L22" s="1050" t="s">
        <v>859</v>
      </c>
      <c r="M22" s="1046">
        <v>45676</v>
      </c>
      <c r="N22" s="1046">
        <f t="shared" si="2"/>
        <v>45699</v>
      </c>
      <c r="O22" s="1047" t="s">
        <v>906</v>
      </c>
      <c r="P22" s="553" t="s">
        <v>904</v>
      </c>
      <c r="Q22" s="554">
        <v>9952</v>
      </c>
      <c r="R22" s="1028">
        <f t="shared" si="7"/>
        <v>46104</v>
      </c>
      <c r="S22" s="556">
        <v>78</v>
      </c>
      <c r="T22" s="558">
        <f>M73-R22</f>
        <v>88</v>
      </c>
    </row>
    <row r="23" spans="1:20" hidden="1">
      <c r="A23" s="1040" t="s">
        <v>842</v>
      </c>
      <c r="B23" s="1137">
        <v>45563</v>
      </c>
      <c r="C23" s="1042">
        <f t="shared" si="0"/>
        <v>2024</v>
      </c>
      <c r="D23" s="1043">
        <f t="shared" si="3"/>
        <v>45563</v>
      </c>
      <c r="E23" s="1133" t="s">
        <v>907</v>
      </c>
      <c r="F23" s="1044">
        <f t="shared" ca="1" si="1"/>
        <v>104.42857142857143</v>
      </c>
      <c r="G23" s="1041" t="s">
        <v>908</v>
      </c>
      <c r="H23" s="1045">
        <v>20406</v>
      </c>
      <c r="I23" s="1230">
        <v>82.26</v>
      </c>
      <c r="J23" s="1040" t="s">
        <v>555</v>
      </c>
      <c r="K23" s="1134">
        <f>B39-M23</f>
        <v>60</v>
      </c>
      <c r="L23" s="1050" t="s">
        <v>859</v>
      </c>
      <c r="M23" s="1046">
        <v>45678</v>
      </c>
      <c r="N23" s="1046">
        <f t="shared" si="2"/>
        <v>45703</v>
      </c>
      <c r="O23" s="1047" t="s">
        <v>909</v>
      </c>
      <c r="P23" s="553" t="s">
        <v>910</v>
      </c>
      <c r="Q23" s="554">
        <v>19840</v>
      </c>
      <c r="R23" s="1028">
        <f t="shared" ref="R23" si="8">D23+(S23*7)-1</f>
        <v>46108</v>
      </c>
      <c r="S23" s="556">
        <v>78</v>
      </c>
      <c r="T23" s="558">
        <f>M73-R21</f>
        <v>88</v>
      </c>
    </row>
    <row r="24" spans="1:20">
      <c r="A24" s="1040" t="s">
        <v>842</v>
      </c>
      <c r="B24" s="1041">
        <v>45616</v>
      </c>
      <c r="C24" s="1042">
        <f t="shared" si="0"/>
        <v>2024</v>
      </c>
      <c r="D24" s="1043">
        <f t="shared" si="3"/>
        <v>45616</v>
      </c>
      <c r="E24" s="1133" t="s">
        <v>911</v>
      </c>
      <c r="F24" s="1044">
        <f t="shared" ca="1" si="1"/>
        <v>96.857142857142861</v>
      </c>
      <c r="G24" s="1041" t="s">
        <v>912</v>
      </c>
      <c r="H24" s="1045">
        <v>12296</v>
      </c>
      <c r="I24" s="1230">
        <v>91.53</v>
      </c>
      <c r="J24" s="1133" t="s">
        <v>555</v>
      </c>
      <c r="K24" s="1134">
        <f>B99-R24</f>
        <v>56</v>
      </c>
      <c r="L24" s="1050" t="s">
        <v>859</v>
      </c>
      <c r="M24" s="1043">
        <v>45728</v>
      </c>
      <c r="N24" s="1043">
        <f t="shared" si="2"/>
        <v>45756</v>
      </c>
      <c r="O24" s="1133" t="s">
        <v>913</v>
      </c>
      <c r="P24" s="553" t="s">
        <v>914</v>
      </c>
      <c r="Q24" s="1027">
        <v>11343</v>
      </c>
      <c r="R24" s="1028">
        <v>46220</v>
      </c>
      <c r="S24" s="1029">
        <v>82</v>
      </c>
      <c r="T24" s="558">
        <f>B99-R24</f>
        <v>56</v>
      </c>
    </row>
    <row r="25" spans="1:20">
      <c r="A25" s="1040" t="s">
        <v>842</v>
      </c>
      <c r="B25" s="1041">
        <v>45618</v>
      </c>
      <c r="C25" s="1042">
        <f t="shared" si="0"/>
        <v>2024</v>
      </c>
      <c r="D25" s="1043">
        <f t="shared" si="3"/>
        <v>45618</v>
      </c>
      <c r="E25" s="1135" t="s">
        <v>915</v>
      </c>
      <c r="F25" s="1044">
        <f t="shared" ca="1" si="1"/>
        <v>96.571428571428569</v>
      </c>
      <c r="G25" s="1041" t="s">
        <v>912</v>
      </c>
      <c r="H25" s="1045">
        <v>24265</v>
      </c>
      <c r="I25" s="1230">
        <v>91.31</v>
      </c>
      <c r="J25" s="1133" t="s">
        <v>555</v>
      </c>
      <c r="K25" s="1134">
        <f>B100-R25</f>
        <v>61</v>
      </c>
      <c r="L25" s="1051" t="s">
        <v>845</v>
      </c>
      <c r="M25" s="1043">
        <v>45730</v>
      </c>
      <c r="N25" s="1043">
        <f t="shared" si="2"/>
        <v>45758</v>
      </c>
      <c r="O25" s="1133" t="s">
        <v>916</v>
      </c>
      <c r="P25" s="553" t="s">
        <v>914</v>
      </c>
      <c r="Q25" s="1027">
        <v>22860</v>
      </c>
      <c r="R25" s="1028">
        <v>46220</v>
      </c>
      <c r="S25" s="1029">
        <v>82</v>
      </c>
      <c r="T25" s="558">
        <f>B100-R25</f>
        <v>61</v>
      </c>
    </row>
    <row r="26" spans="1:20" s="349" customFormat="1">
      <c r="A26" s="1040" t="s">
        <v>842</v>
      </c>
      <c r="B26" s="1041">
        <v>45619</v>
      </c>
      <c r="C26" s="1040">
        <v>2024</v>
      </c>
      <c r="D26" s="1043">
        <f>B26</f>
        <v>45619</v>
      </c>
      <c r="E26" s="1133" t="s">
        <v>917</v>
      </c>
      <c r="F26" s="1044">
        <f ca="1">IF((TODAY()-D26)/7&gt;R26,T26,(TODAY()-D26)/7)</f>
        <v>0</v>
      </c>
      <c r="G26" s="1041" t="s">
        <v>862</v>
      </c>
      <c r="H26" s="1045">
        <v>13252</v>
      </c>
      <c r="I26" s="1230">
        <v>5.54</v>
      </c>
      <c r="J26" s="1040" t="s">
        <v>555</v>
      </c>
      <c r="K26" s="1134">
        <f>B37-M26</f>
        <v>11</v>
      </c>
      <c r="L26" s="1051" t="s">
        <v>845</v>
      </c>
      <c r="M26" s="1043">
        <v>45713</v>
      </c>
      <c r="N26" s="1043">
        <f>D26+20*7</f>
        <v>45759</v>
      </c>
      <c r="O26" s="1047"/>
      <c r="P26" s="553" t="s">
        <v>918</v>
      </c>
      <c r="Q26" s="1027">
        <v>12900</v>
      </c>
      <c r="R26" s="1028"/>
      <c r="S26" s="1029"/>
      <c r="T26" s="558"/>
    </row>
    <row r="27" spans="1:20">
      <c r="A27" s="1040" t="s">
        <v>842</v>
      </c>
      <c r="B27" s="1137">
        <v>45622</v>
      </c>
      <c r="C27" s="1042">
        <f t="shared" si="0"/>
        <v>2024</v>
      </c>
      <c r="D27" s="1043">
        <f t="shared" si="3"/>
        <v>45622</v>
      </c>
      <c r="E27" s="1133" t="s">
        <v>919</v>
      </c>
      <c r="F27" s="1044">
        <f t="shared" ca="1" si="1"/>
        <v>96</v>
      </c>
      <c r="G27" s="1041" t="s">
        <v>920</v>
      </c>
      <c r="H27" s="1045">
        <v>21429</v>
      </c>
      <c r="I27" s="1230">
        <v>87.55</v>
      </c>
      <c r="J27" s="1040" t="s">
        <v>555</v>
      </c>
      <c r="K27" s="1134">
        <f>B42-M27</f>
        <v>75</v>
      </c>
      <c r="L27" s="1050" t="s">
        <v>859</v>
      </c>
      <c r="M27" s="1043">
        <v>45702</v>
      </c>
      <c r="N27" s="1043">
        <f t="shared" si="2"/>
        <v>45762</v>
      </c>
      <c r="O27" s="1047" t="s">
        <v>921</v>
      </c>
      <c r="P27" s="553" t="s">
        <v>922</v>
      </c>
      <c r="Q27" s="1027">
        <v>20899</v>
      </c>
      <c r="R27" s="1028">
        <v>46204</v>
      </c>
      <c r="S27" s="1029">
        <v>83</v>
      </c>
      <c r="T27" s="558">
        <f>M83-R27</f>
        <v>48</v>
      </c>
    </row>
    <row r="28" spans="1:20">
      <c r="A28" s="1040" t="s">
        <v>842</v>
      </c>
      <c r="B28" s="1137">
        <v>45632</v>
      </c>
      <c r="C28" s="1042">
        <f t="shared" si="0"/>
        <v>2024</v>
      </c>
      <c r="D28" s="1043">
        <f t="shared" si="3"/>
        <v>45632</v>
      </c>
      <c r="E28" s="1133" t="s">
        <v>923</v>
      </c>
      <c r="F28" s="1044">
        <f t="shared" ca="1" si="1"/>
        <v>94.571428571428569</v>
      </c>
      <c r="G28" s="1041" t="s">
        <v>924</v>
      </c>
      <c r="H28" s="1045">
        <v>15341</v>
      </c>
      <c r="I28" s="1230">
        <v>91.27</v>
      </c>
      <c r="J28" s="1040" t="s">
        <v>555</v>
      </c>
      <c r="K28" s="1134">
        <f>B43-M28</f>
        <v>89</v>
      </c>
      <c r="L28" s="1051" t="s">
        <v>845</v>
      </c>
      <c r="M28" s="1043">
        <v>45702</v>
      </c>
      <c r="N28" s="1043">
        <f t="shared" si="2"/>
        <v>45772</v>
      </c>
      <c r="O28" s="1047" t="s">
        <v>925</v>
      </c>
      <c r="P28" s="553" t="s">
        <v>926</v>
      </c>
      <c r="Q28" s="1027">
        <v>14871</v>
      </c>
      <c r="R28" s="1028">
        <v>46204</v>
      </c>
      <c r="S28" s="1029">
        <v>81</v>
      </c>
      <c r="T28" s="558">
        <f>M84-R28</f>
        <v>55</v>
      </c>
    </row>
    <row r="29" spans="1:20">
      <c r="A29" s="1040" t="s">
        <v>842</v>
      </c>
      <c r="B29" s="1137">
        <v>45633</v>
      </c>
      <c r="C29" s="1042">
        <f t="shared" si="0"/>
        <v>2024</v>
      </c>
      <c r="D29" s="1043">
        <f t="shared" si="3"/>
        <v>45633</v>
      </c>
      <c r="E29" s="1133" t="s">
        <v>927</v>
      </c>
      <c r="F29" s="1044">
        <f t="shared" ca="1" si="1"/>
        <v>94.428571428571431</v>
      </c>
      <c r="G29" s="1041" t="s">
        <v>924</v>
      </c>
      <c r="H29" s="1045">
        <v>15353</v>
      </c>
      <c r="I29" s="1230">
        <v>90.18</v>
      </c>
      <c r="J29" s="1040" t="s">
        <v>555</v>
      </c>
      <c r="K29" s="1134">
        <f>B43-M29</f>
        <v>89</v>
      </c>
      <c r="L29" s="1049" t="s">
        <v>854</v>
      </c>
      <c r="M29" s="1043">
        <v>45702</v>
      </c>
      <c r="N29" s="1043">
        <f t="shared" si="2"/>
        <v>45773</v>
      </c>
      <c r="O29" s="1047" t="s">
        <v>928</v>
      </c>
      <c r="P29" s="553" t="s">
        <v>926</v>
      </c>
      <c r="Q29" s="1027">
        <v>15079</v>
      </c>
      <c r="R29" s="1028">
        <v>46204</v>
      </c>
      <c r="S29" s="1029">
        <v>81</v>
      </c>
      <c r="T29" s="558">
        <f>M84-R29</f>
        <v>55</v>
      </c>
    </row>
    <row r="30" spans="1:20">
      <c r="A30" s="1040" t="s">
        <v>842</v>
      </c>
      <c r="B30" s="1137">
        <v>45682</v>
      </c>
      <c r="C30" s="1042">
        <f>YEAR(B30)</f>
        <v>2025</v>
      </c>
      <c r="D30" s="1043">
        <f>B30</f>
        <v>45682</v>
      </c>
      <c r="E30" s="1133" t="s">
        <v>929</v>
      </c>
      <c r="F30" s="1044">
        <f ca="1">IF((TODAY()-D30)/7&gt;R30,T30,(TODAY()-D30)/7)</f>
        <v>0</v>
      </c>
      <c r="G30" s="1041" t="s">
        <v>894</v>
      </c>
      <c r="H30" s="1045">
        <v>21690</v>
      </c>
      <c r="I30" s="1230">
        <v>4.4400000000000004</v>
      </c>
      <c r="J30" s="1040" t="s">
        <v>555</v>
      </c>
      <c r="K30" s="1134">
        <f>D48-M30</f>
        <v>59</v>
      </c>
      <c r="L30" s="1050" t="s">
        <v>859</v>
      </c>
      <c r="M30" s="1043">
        <v>45788</v>
      </c>
      <c r="N30" s="1043">
        <f>D30+20*7</f>
        <v>45822</v>
      </c>
      <c r="O30" s="1047" t="s">
        <v>930</v>
      </c>
      <c r="P30" s="553" t="s">
        <v>931</v>
      </c>
      <c r="Q30" s="1027">
        <v>20400</v>
      </c>
      <c r="R30" s="1028"/>
      <c r="S30" s="1029"/>
      <c r="T30" s="558"/>
    </row>
    <row r="31" spans="1:20">
      <c r="A31" s="1040" t="s">
        <v>842</v>
      </c>
      <c r="B31" s="1041">
        <v>45694</v>
      </c>
      <c r="C31" s="1042">
        <f t="shared" si="0"/>
        <v>2025</v>
      </c>
      <c r="D31" s="1043">
        <f t="shared" si="3"/>
        <v>45694</v>
      </c>
      <c r="E31" s="1133" t="s">
        <v>932</v>
      </c>
      <c r="F31" s="1044">
        <f t="shared" ca="1" si="1"/>
        <v>85.714285714285708</v>
      </c>
      <c r="G31" s="1041" t="s">
        <v>933</v>
      </c>
      <c r="H31" s="1045">
        <v>9790</v>
      </c>
      <c r="I31" s="1230">
        <v>68.83</v>
      </c>
      <c r="J31" s="1040" t="s">
        <v>555</v>
      </c>
      <c r="K31" s="1134">
        <f>B67-M31</f>
        <v>233</v>
      </c>
      <c r="L31" s="1051" t="s">
        <v>845</v>
      </c>
      <c r="M31" s="326">
        <v>45809</v>
      </c>
      <c r="N31" s="326">
        <f t="shared" si="2"/>
        <v>45834</v>
      </c>
      <c r="O31" s="324" t="s">
        <v>934</v>
      </c>
      <c r="P31" s="351" t="s">
        <v>935</v>
      </c>
      <c r="Q31" s="327">
        <v>9543</v>
      </c>
      <c r="R31" s="328">
        <v>46276</v>
      </c>
      <c r="S31" s="329">
        <v>83</v>
      </c>
      <c r="T31" s="356">
        <f>M90-R31</f>
        <v>71</v>
      </c>
    </row>
    <row r="32" spans="1:20">
      <c r="A32" s="1040" t="s">
        <v>842</v>
      </c>
      <c r="B32" s="1041">
        <v>45696</v>
      </c>
      <c r="C32" s="1042">
        <f t="shared" si="0"/>
        <v>2025</v>
      </c>
      <c r="D32" s="1043">
        <f t="shared" si="3"/>
        <v>45696</v>
      </c>
      <c r="E32" s="1133" t="s">
        <v>936</v>
      </c>
      <c r="F32" s="1044">
        <f t="shared" ca="1" si="1"/>
        <v>85.428571428571431</v>
      </c>
      <c r="G32" s="1041" t="s">
        <v>937</v>
      </c>
      <c r="H32" s="1045">
        <v>9406</v>
      </c>
      <c r="I32" s="1230">
        <v>68.83</v>
      </c>
      <c r="J32" s="1040" t="s">
        <v>555</v>
      </c>
      <c r="K32" s="1134">
        <f>B68-M32</f>
        <v>232</v>
      </c>
      <c r="L32" s="1051" t="s">
        <v>845</v>
      </c>
      <c r="M32" s="1043">
        <v>45810</v>
      </c>
      <c r="N32" s="1043">
        <f t="shared" si="2"/>
        <v>45836</v>
      </c>
      <c r="O32" s="1047" t="s">
        <v>938</v>
      </c>
      <c r="P32" s="553" t="s">
        <v>939</v>
      </c>
      <c r="Q32" s="1027">
        <v>9384</v>
      </c>
      <c r="R32" s="1028">
        <v>46120</v>
      </c>
      <c r="S32" s="1029">
        <v>60</v>
      </c>
      <c r="T32" s="558">
        <f>M91-R32</f>
        <v>227</v>
      </c>
    </row>
    <row r="33" spans="1:20">
      <c r="A33" s="1040" t="s">
        <v>842</v>
      </c>
      <c r="B33" s="1041">
        <v>45699</v>
      </c>
      <c r="C33" s="1042">
        <f t="shared" si="0"/>
        <v>2025</v>
      </c>
      <c r="D33" s="1043">
        <f t="shared" si="3"/>
        <v>45699</v>
      </c>
      <c r="E33" s="1133" t="s">
        <v>940</v>
      </c>
      <c r="F33" s="1044">
        <f t="shared" ca="1" si="1"/>
        <v>85</v>
      </c>
      <c r="G33" s="1041" t="s">
        <v>941</v>
      </c>
      <c r="H33" s="1045">
        <v>21629</v>
      </c>
      <c r="I33" s="1230">
        <v>66.239999999999995</v>
      </c>
      <c r="J33" s="1040" t="s">
        <v>555</v>
      </c>
      <c r="K33" s="1134">
        <f>B45-M33</f>
        <v>20</v>
      </c>
      <c r="L33" s="1050" t="s">
        <v>859</v>
      </c>
      <c r="M33" s="326">
        <v>45812</v>
      </c>
      <c r="N33" s="326">
        <f t="shared" si="2"/>
        <v>45839</v>
      </c>
      <c r="O33" s="324" t="s">
        <v>942</v>
      </c>
      <c r="P33" s="351" t="s">
        <v>943</v>
      </c>
      <c r="Q33" s="327">
        <v>21074</v>
      </c>
      <c r="R33" s="328">
        <v>46276</v>
      </c>
      <c r="S33" s="329">
        <v>83</v>
      </c>
      <c r="T33" s="356">
        <f>M92-R33</f>
        <v>71</v>
      </c>
    </row>
    <row r="34" spans="1:20">
      <c r="A34" s="1040" t="s">
        <v>842</v>
      </c>
      <c r="B34" s="1041">
        <v>45702</v>
      </c>
      <c r="C34" s="1042">
        <f t="shared" si="0"/>
        <v>2025</v>
      </c>
      <c r="D34" s="1043">
        <f t="shared" si="3"/>
        <v>45702</v>
      </c>
      <c r="E34" s="1133" t="s">
        <v>944</v>
      </c>
      <c r="F34" s="1044">
        <f t="shared" ca="1" si="1"/>
        <v>84.571428571428569</v>
      </c>
      <c r="G34" s="1041" t="s">
        <v>945</v>
      </c>
      <c r="H34" s="1045">
        <v>19643</v>
      </c>
      <c r="I34" s="1230">
        <v>68.83</v>
      </c>
      <c r="J34" s="1040" t="s">
        <v>555</v>
      </c>
      <c r="K34" s="1134">
        <f>B44-M34</f>
        <v>15</v>
      </c>
      <c r="L34" s="1051" t="s">
        <v>845</v>
      </c>
      <c r="M34" s="326">
        <f t="shared" si="4"/>
        <v>45814</v>
      </c>
      <c r="N34" s="326">
        <f t="shared" si="2"/>
        <v>45842</v>
      </c>
      <c r="O34" s="324" t="s">
        <v>946</v>
      </c>
      <c r="P34" s="351" t="s">
        <v>947</v>
      </c>
      <c r="Q34" s="327">
        <v>19195</v>
      </c>
      <c r="R34" s="328">
        <v>46276</v>
      </c>
      <c r="S34" s="329">
        <v>83</v>
      </c>
      <c r="T34" s="356">
        <f>M93-R34</f>
        <v>74</v>
      </c>
    </row>
    <row r="35" spans="1:20">
      <c r="A35" s="1040" t="s">
        <v>842</v>
      </c>
      <c r="B35" s="1041">
        <v>45706</v>
      </c>
      <c r="C35" s="1042">
        <f t="shared" si="0"/>
        <v>2025</v>
      </c>
      <c r="D35" s="1043">
        <f t="shared" si="3"/>
        <v>45706</v>
      </c>
      <c r="E35" s="1133" t="s">
        <v>948</v>
      </c>
      <c r="F35" s="1044">
        <f t="shared" ca="1" si="1"/>
        <v>84</v>
      </c>
      <c r="G35" s="1041" t="s">
        <v>949</v>
      </c>
      <c r="H35" s="1045">
        <v>18302</v>
      </c>
      <c r="I35" s="1230">
        <v>39.25</v>
      </c>
      <c r="J35" s="1040" t="s">
        <v>555</v>
      </c>
      <c r="K35" s="1134">
        <f>B46-M35</f>
        <v>23</v>
      </c>
      <c r="L35" s="1049" t="s">
        <v>854</v>
      </c>
      <c r="M35" s="1043">
        <v>45816</v>
      </c>
      <c r="N35" s="1043">
        <f t="shared" si="2"/>
        <v>45846</v>
      </c>
      <c r="O35" s="1047" t="s">
        <v>950</v>
      </c>
      <c r="P35" s="553" t="s">
        <v>951</v>
      </c>
      <c r="Q35" s="1027">
        <v>17720</v>
      </c>
      <c r="R35" s="1028">
        <v>46120</v>
      </c>
      <c r="S35" s="1029">
        <v>59</v>
      </c>
      <c r="T35" s="558">
        <f>M94-R35</f>
        <v>237</v>
      </c>
    </row>
    <row r="36" spans="1:20">
      <c r="A36" s="1040" t="s">
        <v>842</v>
      </c>
      <c r="B36" s="1041">
        <v>45721</v>
      </c>
      <c r="C36" s="1042">
        <v>2025</v>
      </c>
      <c r="D36" s="1043">
        <f>B36</f>
        <v>45721</v>
      </c>
      <c r="E36" s="1133" t="s">
        <v>929</v>
      </c>
      <c r="F36" s="1044">
        <f ca="1">IF((TODAY()-D36)/7&gt;R36,T36,(TODAY()-D36)/7)</f>
        <v>0</v>
      </c>
      <c r="G36" s="1041" t="s">
        <v>865</v>
      </c>
      <c r="H36" s="1045">
        <v>4500</v>
      </c>
      <c r="I36" s="1230">
        <v>5.17</v>
      </c>
      <c r="J36" s="1040" t="s">
        <v>555</v>
      </c>
      <c r="K36" s="1134">
        <f>B57-M36</f>
        <v>154</v>
      </c>
      <c r="L36" s="1050" t="s">
        <v>859</v>
      </c>
      <c r="M36" s="1043">
        <v>45836</v>
      </c>
      <c r="N36" s="1043">
        <f>D36+20*7</f>
        <v>45861</v>
      </c>
      <c r="O36" s="1047" t="s">
        <v>952</v>
      </c>
      <c r="P36" s="553" t="s">
        <v>953</v>
      </c>
      <c r="Q36" s="1027"/>
      <c r="R36" s="1028"/>
      <c r="S36" s="1029"/>
      <c r="T36" s="558"/>
    </row>
    <row r="37" spans="1:20">
      <c r="A37" s="1040" t="s">
        <v>842</v>
      </c>
      <c r="B37" s="1041">
        <v>45724</v>
      </c>
      <c r="C37" s="1042">
        <v>2025</v>
      </c>
      <c r="D37" s="1043">
        <f>B37</f>
        <v>45724</v>
      </c>
      <c r="E37" s="1133" t="s">
        <v>929</v>
      </c>
      <c r="F37" s="1044">
        <f ca="1">IF((TODAY()-D37)/7&gt;R37,T37,(TODAY()-D37)/7)</f>
        <v>0</v>
      </c>
      <c r="G37" s="1041" t="s">
        <v>862</v>
      </c>
      <c r="H37" s="1045">
        <v>4297</v>
      </c>
      <c r="I37" s="1230">
        <v>5.17</v>
      </c>
      <c r="J37" s="1040" t="s">
        <v>555</v>
      </c>
      <c r="K37" s="1134">
        <f>B80-M37</f>
        <v>270</v>
      </c>
      <c r="L37" s="1050" t="s">
        <v>859</v>
      </c>
      <c r="M37" s="1043">
        <v>45837</v>
      </c>
      <c r="N37" s="1043">
        <f>D37+20*7</f>
        <v>45864</v>
      </c>
      <c r="O37" s="1047" t="s">
        <v>952</v>
      </c>
      <c r="P37" s="553" t="s">
        <v>953</v>
      </c>
      <c r="Q37" s="1027"/>
      <c r="R37" s="1028"/>
      <c r="S37" s="1029"/>
      <c r="T37" s="558"/>
    </row>
    <row r="38" spans="1:20">
      <c r="A38" s="1040" t="s">
        <v>842</v>
      </c>
      <c r="B38" s="1041">
        <v>45731</v>
      </c>
      <c r="C38" s="1042">
        <f t="shared" si="0"/>
        <v>2025</v>
      </c>
      <c r="D38" s="1043">
        <f t="shared" si="3"/>
        <v>45731</v>
      </c>
      <c r="E38" s="1133" t="s">
        <v>954</v>
      </c>
      <c r="F38" s="1044">
        <f t="shared" ca="1" si="1"/>
        <v>80.428571428571431</v>
      </c>
      <c r="G38" s="1041" t="s">
        <v>955</v>
      </c>
      <c r="H38" s="1045">
        <v>20408</v>
      </c>
      <c r="I38" s="1230">
        <v>39.270000000000003</v>
      </c>
      <c r="J38" s="1040" t="s">
        <v>555</v>
      </c>
      <c r="K38" s="1134">
        <f>B51-M38</f>
        <v>53</v>
      </c>
      <c r="L38" s="1050" t="s">
        <v>859</v>
      </c>
      <c r="M38" s="326">
        <v>45821</v>
      </c>
      <c r="N38" s="326">
        <f t="shared" si="2"/>
        <v>45871</v>
      </c>
      <c r="O38" s="324" t="s">
        <v>956</v>
      </c>
      <c r="P38" s="357" t="s">
        <v>957</v>
      </c>
      <c r="Q38" s="327">
        <v>19921</v>
      </c>
      <c r="R38" s="328">
        <v>46300</v>
      </c>
      <c r="S38" s="329">
        <v>80</v>
      </c>
      <c r="T38" s="356">
        <f>M96-R38</f>
        <v>72</v>
      </c>
    </row>
    <row r="39" spans="1:20">
      <c r="A39" s="1040" t="s">
        <v>842</v>
      </c>
      <c r="B39" s="1041">
        <v>45738</v>
      </c>
      <c r="C39" s="1042">
        <f t="shared" si="0"/>
        <v>2025</v>
      </c>
      <c r="D39" s="1043">
        <f t="shared" si="3"/>
        <v>45738</v>
      </c>
      <c r="E39" s="1133" t="s">
        <v>958</v>
      </c>
      <c r="F39" s="1044">
        <f t="shared" ca="1" si="1"/>
        <v>79.428571428571431</v>
      </c>
      <c r="G39" s="1041" t="s">
        <v>955</v>
      </c>
      <c r="H39" s="1045">
        <v>20405</v>
      </c>
      <c r="I39" s="1230">
        <v>39.270000000000003</v>
      </c>
      <c r="J39" s="1040" t="s">
        <v>555</v>
      </c>
      <c r="K39" s="1134">
        <f>B53-M39</f>
        <v>57</v>
      </c>
      <c r="L39" s="1050" t="s">
        <v>859</v>
      </c>
      <c r="M39" s="326">
        <v>45821</v>
      </c>
      <c r="N39" s="326">
        <f t="shared" si="2"/>
        <v>45878</v>
      </c>
      <c r="O39" s="324" t="s">
        <v>956</v>
      </c>
      <c r="P39" s="357" t="s">
        <v>959</v>
      </c>
      <c r="Q39" s="327">
        <v>19921</v>
      </c>
      <c r="R39" s="328">
        <v>46300</v>
      </c>
      <c r="S39" s="329">
        <v>80</v>
      </c>
      <c r="T39" s="356">
        <f>M97-R39</f>
        <v>72</v>
      </c>
    </row>
    <row r="40" spans="1:20">
      <c r="A40" s="1040" t="s">
        <v>842</v>
      </c>
      <c r="B40" s="1041">
        <v>45757</v>
      </c>
      <c r="C40" s="1042">
        <f t="shared" si="0"/>
        <v>2025</v>
      </c>
      <c r="D40" s="1043">
        <f t="shared" si="3"/>
        <v>45757</v>
      </c>
      <c r="E40" s="1133" t="s">
        <v>960</v>
      </c>
      <c r="F40" s="1044">
        <f t="shared" ca="1" si="1"/>
        <v>76.714285714285708</v>
      </c>
      <c r="G40" s="1041" t="s">
        <v>961</v>
      </c>
      <c r="H40" s="1045">
        <v>13304</v>
      </c>
      <c r="I40" s="1230">
        <v>41.92</v>
      </c>
      <c r="J40" s="1133" t="s">
        <v>555</v>
      </c>
      <c r="K40" s="1134">
        <f>B110-R40</f>
        <v>76</v>
      </c>
      <c r="L40" s="1050" t="s">
        <v>859</v>
      </c>
      <c r="M40" s="336">
        <f t="shared" si="4"/>
        <v>45869</v>
      </c>
      <c r="N40" s="336">
        <f t="shared" si="2"/>
        <v>45897</v>
      </c>
      <c r="O40" s="1139" t="s">
        <v>962</v>
      </c>
      <c r="P40" s="354" t="s">
        <v>963</v>
      </c>
      <c r="Q40" s="337">
        <v>12870</v>
      </c>
      <c r="R40" s="338">
        <v>46317</v>
      </c>
      <c r="S40" s="339">
        <v>80</v>
      </c>
      <c r="T40" s="355">
        <f>B109-R40</f>
        <v>76</v>
      </c>
    </row>
    <row r="41" spans="1:20">
      <c r="A41" s="1040" t="s">
        <v>842</v>
      </c>
      <c r="B41" s="1041">
        <v>45771</v>
      </c>
      <c r="C41" s="1042">
        <f t="shared" si="0"/>
        <v>2025</v>
      </c>
      <c r="D41" s="1043">
        <f t="shared" si="3"/>
        <v>45771</v>
      </c>
      <c r="E41" s="1133" t="s">
        <v>964</v>
      </c>
      <c r="F41" s="1044">
        <f t="shared" ca="1" si="1"/>
        <v>74.714285714285708</v>
      </c>
      <c r="G41" s="1041" t="s">
        <v>961</v>
      </c>
      <c r="H41" s="1045">
        <v>24114</v>
      </c>
      <c r="I41" s="1230">
        <v>42.46</v>
      </c>
      <c r="J41" s="1133" t="s">
        <v>555</v>
      </c>
      <c r="K41" s="1134">
        <f>B111-R41</f>
        <v>19</v>
      </c>
      <c r="L41" s="1051" t="s">
        <v>845</v>
      </c>
      <c r="M41" s="336">
        <f t="shared" si="4"/>
        <v>45883</v>
      </c>
      <c r="N41" s="336">
        <f t="shared" si="2"/>
        <v>45911</v>
      </c>
      <c r="O41" s="1139" t="s">
        <v>965</v>
      </c>
      <c r="P41" s="354" t="s">
        <v>963</v>
      </c>
      <c r="Q41" s="337">
        <v>23343</v>
      </c>
      <c r="R41" s="338">
        <v>46331</v>
      </c>
      <c r="S41" s="339">
        <v>80</v>
      </c>
      <c r="T41" s="355">
        <f>B110-R41</f>
        <v>62</v>
      </c>
    </row>
    <row r="42" spans="1:20">
      <c r="A42" s="1040" t="s">
        <v>842</v>
      </c>
      <c r="B42" s="1137">
        <v>45777</v>
      </c>
      <c r="C42" s="1042">
        <f t="shared" si="0"/>
        <v>2025</v>
      </c>
      <c r="D42" s="1043">
        <f t="shared" si="3"/>
        <v>45777</v>
      </c>
      <c r="E42" s="1133" t="s">
        <v>966</v>
      </c>
      <c r="F42" s="1044">
        <f t="shared" ca="1" si="1"/>
        <v>73.857142857142861</v>
      </c>
      <c r="G42" s="1041" t="s">
        <v>920</v>
      </c>
      <c r="H42" s="1045">
        <v>15352</v>
      </c>
      <c r="I42" s="1230">
        <v>50.84</v>
      </c>
      <c r="J42" s="1133" t="s">
        <v>555</v>
      </c>
      <c r="K42" s="1134">
        <f>T42</f>
        <v>50</v>
      </c>
      <c r="L42" s="1392" t="s">
        <v>967</v>
      </c>
      <c r="M42" s="326">
        <v>45931</v>
      </c>
      <c r="N42" s="326">
        <f t="shared" si="2"/>
        <v>45917</v>
      </c>
      <c r="O42" s="324" t="s">
        <v>968</v>
      </c>
      <c r="P42" s="358" t="s">
        <v>920</v>
      </c>
      <c r="Q42" s="327">
        <v>14685</v>
      </c>
      <c r="R42" s="328">
        <v>46300</v>
      </c>
      <c r="S42" s="329">
        <v>75</v>
      </c>
      <c r="T42" s="356">
        <f>B111-R42</f>
        <v>50</v>
      </c>
    </row>
    <row r="43" spans="1:20">
      <c r="A43" s="1040" t="s">
        <v>842</v>
      </c>
      <c r="B43" s="1137">
        <v>45791</v>
      </c>
      <c r="C43" s="1042">
        <f t="shared" si="0"/>
        <v>2025</v>
      </c>
      <c r="D43" s="1043">
        <f t="shared" si="3"/>
        <v>45791</v>
      </c>
      <c r="E43" s="1133" t="s">
        <v>966</v>
      </c>
      <c r="F43" s="1044">
        <f t="shared" ca="1" si="1"/>
        <v>71.857142857142861</v>
      </c>
      <c r="G43" s="1041" t="s">
        <v>924</v>
      </c>
      <c r="H43" s="1045">
        <v>10748</v>
      </c>
      <c r="I43" s="1230">
        <v>50.84</v>
      </c>
      <c r="J43" s="1133" t="s">
        <v>555</v>
      </c>
      <c r="K43" s="1134">
        <f>T43</f>
        <v>64</v>
      </c>
      <c r="L43" s="1392"/>
      <c r="M43" s="326">
        <v>45931</v>
      </c>
      <c r="N43" s="326">
        <f t="shared" si="2"/>
        <v>45931</v>
      </c>
      <c r="O43" s="324" t="s">
        <v>969</v>
      </c>
      <c r="P43" s="358" t="s">
        <v>924</v>
      </c>
      <c r="Q43" s="327">
        <v>10470</v>
      </c>
      <c r="R43" s="328">
        <v>46300</v>
      </c>
      <c r="S43" s="329">
        <v>73</v>
      </c>
      <c r="T43" s="356">
        <f>B112-R43</f>
        <v>64</v>
      </c>
    </row>
    <row r="44" spans="1:20">
      <c r="A44" s="1040" t="s">
        <v>842</v>
      </c>
      <c r="B44" s="1041">
        <v>45829</v>
      </c>
      <c r="C44" s="1042">
        <f t="shared" si="0"/>
        <v>2025</v>
      </c>
      <c r="D44" s="1043">
        <f t="shared" si="3"/>
        <v>45829</v>
      </c>
      <c r="E44" s="1133" t="s">
        <v>970</v>
      </c>
      <c r="F44" s="1044">
        <f t="shared" ca="1" si="1"/>
        <v>66.428571428571431</v>
      </c>
      <c r="G44" s="1041" t="s">
        <v>971</v>
      </c>
      <c r="H44" s="1045">
        <v>10238</v>
      </c>
      <c r="I44" s="1230">
        <v>32.049999999999997</v>
      </c>
      <c r="J44" s="1040" t="s">
        <v>555</v>
      </c>
      <c r="K44" s="1134">
        <f>B71-M44</f>
        <v>107</v>
      </c>
      <c r="L44" s="1049" t="s">
        <v>854</v>
      </c>
      <c r="M44" s="326">
        <v>45942</v>
      </c>
      <c r="N44" s="326">
        <f t="shared" si="2"/>
        <v>45969</v>
      </c>
      <c r="O44" s="324" t="s">
        <v>610</v>
      </c>
      <c r="P44" s="351" t="s">
        <v>972</v>
      </c>
      <c r="Q44" s="327">
        <v>9848</v>
      </c>
      <c r="R44" s="328">
        <v>46387</v>
      </c>
      <c r="S44" s="329">
        <v>80</v>
      </c>
      <c r="T44" s="356">
        <f>M102-R44</f>
        <v>77</v>
      </c>
    </row>
    <row r="45" spans="1:20">
      <c r="A45" s="1040" t="s">
        <v>842</v>
      </c>
      <c r="B45" s="1041">
        <v>45832</v>
      </c>
      <c r="C45" s="1042">
        <f t="shared" si="0"/>
        <v>2025</v>
      </c>
      <c r="D45" s="1043">
        <f t="shared" si="3"/>
        <v>45832</v>
      </c>
      <c r="E45" s="1133" t="s">
        <v>973</v>
      </c>
      <c r="F45" s="1044">
        <f t="shared" ca="1" si="1"/>
        <v>66</v>
      </c>
      <c r="G45" s="1041" t="s">
        <v>974</v>
      </c>
      <c r="H45" s="1045">
        <v>25532</v>
      </c>
      <c r="I45" s="1230">
        <v>31.95</v>
      </c>
      <c r="J45" s="1040" t="s">
        <v>555</v>
      </c>
      <c r="K45" s="1134">
        <f>B69-M45</f>
        <v>97</v>
      </c>
      <c r="L45" s="1051" t="s">
        <v>845</v>
      </c>
      <c r="M45" s="326">
        <v>45945</v>
      </c>
      <c r="N45" s="326">
        <f t="shared" si="2"/>
        <v>45972</v>
      </c>
      <c r="O45" s="324" t="s">
        <v>623</v>
      </c>
      <c r="P45" s="351" t="s">
        <v>972</v>
      </c>
      <c r="Q45" s="327">
        <v>24494</v>
      </c>
      <c r="R45" s="328">
        <v>46387</v>
      </c>
      <c r="S45" s="329">
        <v>79</v>
      </c>
      <c r="T45" s="356">
        <f>M102-R45</f>
        <v>77</v>
      </c>
    </row>
    <row r="46" spans="1:20">
      <c r="A46" s="1040" t="s">
        <v>842</v>
      </c>
      <c r="B46" s="1041">
        <v>45839</v>
      </c>
      <c r="C46" s="1042">
        <f t="shared" si="0"/>
        <v>2025</v>
      </c>
      <c r="D46" s="1043">
        <v>45839</v>
      </c>
      <c r="E46" s="1133" t="s">
        <v>975</v>
      </c>
      <c r="F46" s="1044">
        <f t="shared" ca="1" si="1"/>
        <v>65</v>
      </c>
      <c r="G46" s="1041" t="s">
        <v>976</v>
      </c>
      <c r="H46" s="1045">
        <v>17854</v>
      </c>
      <c r="I46" s="1230">
        <v>31.98</v>
      </c>
      <c r="J46" s="1040" t="s">
        <v>555</v>
      </c>
      <c r="K46" s="1134">
        <f>B63-M46</f>
        <v>84</v>
      </c>
      <c r="L46" s="1050" t="s">
        <v>859</v>
      </c>
      <c r="M46" s="326">
        <v>45948</v>
      </c>
      <c r="N46" s="326">
        <f t="shared" si="2"/>
        <v>45979</v>
      </c>
      <c r="O46" s="324" t="s">
        <v>613</v>
      </c>
      <c r="P46" s="351" t="s">
        <v>972</v>
      </c>
      <c r="Q46" s="327">
        <v>10980</v>
      </c>
      <c r="R46" s="328">
        <v>46387</v>
      </c>
      <c r="S46" s="329">
        <v>79</v>
      </c>
      <c r="T46" s="356">
        <f>M102-R46</f>
        <v>77</v>
      </c>
    </row>
    <row r="47" spans="1:20">
      <c r="A47" s="1040" t="s">
        <v>842</v>
      </c>
      <c r="B47" s="1041">
        <v>45839</v>
      </c>
      <c r="C47" s="1042">
        <f t="shared" si="0"/>
        <v>2025</v>
      </c>
      <c r="D47" s="1043">
        <f t="shared" si="3"/>
        <v>45839</v>
      </c>
      <c r="E47" s="1133" t="s">
        <v>975</v>
      </c>
      <c r="F47" s="1044">
        <f t="shared" ca="1" si="1"/>
        <v>65</v>
      </c>
      <c r="G47" s="1041" t="s">
        <v>976</v>
      </c>
      <c r="H47" s="1045">
        <v>17854</v>
      </c>
      <c r="I47" s="1230">
        <v>31.88</v>
      </c>
      <c r="J47" s="1040" t="s">
        <v>555</v>
      </c>
      <c r="K47" s="1134">
        <f>B63-M47</f>
        <v>84</v>
      </c>
      <c r="L47" s="1050" t="s">
        <v>859</v>
      </c>
      <c r="M47" s="326">
        <v>45948</v>
      </c>
      <c r="N47" s="326">
        <f t="shared" si="2"/>
        <v>45979</v>
      </c>
      <c r="O47" s="324" t="s">
        <v>618</v>
      </c>
      <c r="P47" s="351" t="s">
        <v>972</v>
      </c>
      <c r="Q47" s="327">
        <v>23511</v>
      </c>
      <c r="R47" s="328">
        <v>46387</v>
      </c>
      <c r="S47" s="329">
        <v>78</v>
      </c>
      <c r="T47" s="356">
        <f>M102-R47</f>
        <v>77</v>
      </c>
    </row>
    <row r="48" spans="1:20">
      <c r="A48" s="1040" t="s">
        <v>842</v>
      </c>
      <c r="B48" s="1041">
        <v>45847</v>
      </c>
      <c r="C48" s="1042">
        <f t="shared" si="0"/>
        <v>2025</v>
      </c>
      <c r="D48" s="1043">
        <f t="shared" si="3"/>
        <v>45847</v>
      </c>
      <c r="E48" s="1133" t="s">
        <v>977</v>
      </c>
      <c r="F48" s="1044">
        <f t="shared" ca="1" si="1"/>
        <v>63.857142857142854</v>
      </c>
      <c r="G48" s="1041" t="s">
        <v>894</v>
      </c>
      <c r="H48" s="1045">
        <v>13631</v>
      </c>
      <c r="I48" s="1230">
        <v>32.479999999999997</v>
      </c>
      <c r="J48" s="1040" t="s">
        <v>555</v>
      </c>
      <c r="K48" s="1134">
        <f>D65-M48</f>
        <v>87</v>
      </c>
      <c r="L48" s="1048" t="s">
        <v>850</v>
      </c>
      <c r="M48" s="326">
        <v>45952</v>
      </c>
      <c r="N48" s="326">
        <f t="shared" si="2"/>
        <v>45987</v>
      </c>
      <c r="O48" s="324" t="s">
        <v>630</v>
      </c>
      <c r="P48" s="351" t="s">
        <v>978</v>
      </c>
      <c r="Q48" s="327">
        <v>13150</v>
      </c>
      <c r="R48" s="328">
        <v>46386</v>
      </c>
      <c r="S48" s="329">
        <v>77</v>
      </c>
      <c r="T48" s="356">
        <f>M101-R48</f>
        <v>52</v>
      </c>
    </row>
    <row r="49" spans="1:21">
      <c r="A49" s="1040" t="s">
        <v>842</v>
      </c>
      <c r="B49" s="1041">
        <v>45855</v>
      </c>
      <c r="C49" s="1042">
        <f t="shared" si="0"/>
        <v>2025</v>
      </c>
      <c r="D49" s="1043">
        <v>45855</v>
      </c>
      <c r="E49" s="1133" t="s">
        <v>309</v>
      </c>
      <c r="F49" s="1044">
        <f t="shared" ca="1" si="1"/>
        <v>0</v>
      </c>
      <c r="G49" s="1041" t="s">
        <v>979</v>
      </c>
      <c r="H49" s="1045">
        <v>46892</v>
      </c>
      <c r="I49" s="1230">
        <v>5.03</v>
      </c>
      <c r="J49" s="1040" t="s">
        <v>555</v>
      </c>
      <c r="K49" s="1134">
        <f>D72-M49</f>
        <v>105</v>
      </c>
      <c r="L49" s="442" t="s">
        <v>980</v>
      </c>
      <c r="M49" s="1043">
        <v>45955</v>
      </c>
      <c r="N49" s="1043">
        <f t="shared" si="2"/>
        <v>45995</v>
      </c>
      <c r="O49" s="1047"/>
      <c r="P49" s="553" t="s">
        <v>981</v>
      </c>
      <c r="Q49" s="1027">
        <v>46283</v>
      </c>
      <c r="R49" s="1028"/>
      <c r="S49" s="1029"/>
      <c r="T49" s="558"/>
      <c r="U49" s="1136"/>
    </row>
    <row r="50" spans="1:21">
      <c r="A50" s="1040" t="s">
        <v>842</v>
      </c>
      <c r="B50" s="1041">
        <v>45870</v>
      </c>
      <c r="C50" s="1042">
        <f t="shared" si="0"/>
        <v>2025</v>
      </c>
      <c r="D50" s="1043">
        <f t="shared" si="3"/>
        <v>45870</v>
      </c>
      <c r="E50" s="1133" t="s">
        <v>982</v>
      </c>
      <c r="F50" s="1044">
        <f t="shared" ca="1" si="1"/>
        <v>60.571428571428569</v>
      </c>
      <c r="G50" s="1041" t="s">
        <v>983</v>
      </c>
      <c r="H50" s="1045">
        <v>20370</v>
      </c>
      <c r="I50" s="1230">
        <v>33.86</v>
      </c>
      <c r="J50" s="1133" t="s">
        <v>555</v>
      </c>
      <c r="K50" s="1134">
        <f>T50</f>
        <v>97</v>
      </c>
      <c r="L50" s="1050" t="s">
        <v>859</v>
      </c>
      <c r="M50" s="336">
        <v>45991</v>
      </c>
      <c r="N50" s="336">
        <f t="shared" si="2"/>
        <v>46010</v>
      </c>
      <c r="O50" s="1139" t="s">
        <v>984</v>
      </c>
      <c r="P50" s="354" t="s">
        <v>983</v>
      </c>
      <c r="Q50" s="337">
        <v>19742</v>
      </c>
      <c r="R50" s="338">
        <v>46430</v>
      </c>
      <c r="S50" s="339">
        <v>80</v>
      </c>
      <c r="T50" s="355">
        <f>B122-R50</f>
        <v>97</v>
      </c>
      <c r="U50" s="1136"/>
    </row>
    <row r="51" spans="1:21">
      <c r="A51" s="1040" t="s">
        <v>842</v>
      </c>
      <c r="B51" s="1041">
        <v>45874</v>
      </c>
      <c r="C51" s="1042">
        <f t="shared" si="0"/>
        <v>2025</v>
      </c>
      <c r="D51" s="1043">
        <f t="shared" si="3"/>
        <v>45874</v>
      </c>
      <c r="E51" s="1133" t="s">
        <v>985</v>
      </c>
      <c r="F51" s="1044">
        <f t="shared" ca="1" si="1"/>
        <v>60</v>
      </c>
      <c r="G51" s="1041" t="s">
        <v>955</v>
      </c>
      <c r="H51" s="1045">
        <v>15355</v>
      </c>
      <c r="I51" s="1230">
        <v>65.760000000000005</v>
      </c>
      <c r="J51" s="1040" t="s">
        <v>555</v>
      </c>
      <c r="K51" s="1134">
        <f>B73-M51</f>
        <v>101</v>
      </c>
      <c r="L51" s="1051" t="s">
        <v>845</v>
      </c>
      <c r="M51" s="326">
        <v>45979</v>
      </c>
      <c r="N51" s="326">
        <f t="shared" si="2"/>
        <v>46014</v>
      </c>
      <c r="O51" s="324" t="s">
        <v>636</v>
      </c>
      <c r="P51" s="351" t="s">
        <v>847</v>
      </c>
      <c r="Q51" s="327">
        <v>14996</v>
      </c>
      <c r="R51" s="328">
        <f t="shared" ref="R51" si="9">D51+(S51*7)-1</f>
        <v>46433</v>
      </c>
      <c r="S51" s="329">
        <v>80</v>
      </c>
      <c r="T51" s="356">
        <f>M107-R51</f>
        <v>59</v>
      </c>
      <c r="U51" s="330"/>
    </row>
    <row r="52" spans="1:21">
      <c r="A52" s="1040" t="s">
        <v>842</v>
      </c>
      <c r="B52" s="1041">
        <v>45874</v>
      </c>
      <c r="C52" s="1042">
        <f t="shared" ref="C52" si="10">YEAR(B52)</f>
        <v>2025</v>
      </c>
      <c r="D52" s="1043">
        <f t="shared" ref="D52" si="11">B52</f>
        <v>45874</v>
      </c>
      <c r="E52" s="1133" t="s">
        <v>986</v>
      </c>
      <c r="F52" s="1044">
        <f t="shared" ca="1" si="1"/>
        <v>0</v>
      </c>
      <c r="G52" s="1041" t="s">
        <v>987</v>
      </c>
      <c r="H52" s="1045">
        <v>13769</v>
      </c>
      <c r="I52" s="1230">
        <v>6.04</v>
      </c>
      <c r="J52" s="1040" t="s">
        <v>555</v>
      </c>
      <c r="K52" s="1134">
        <f>D64-M52</f>
        <v>62</v>
      </c>
      <c r="L52" s="1049" t="s">
        <v>854</v>
      </c>
      <c r="M52" s="1043">
        <v>45977</v>
      </c>
      <c r="N52" s="1043">
        <f t="shared" si="2"/>
        <v>46014</v>
      </c>
      <c r="O52" s="1047"/>
      <c r="P52" s="553" t="s">
        <v>988</v>
      </c>
      <c r="Q52" s="1027">
        <v>13650</v>
      </c>
      <c r="R52" s="1028"/>
      <c r="S52" s="1029"/>
      <c r="T52" s="558"/>
      <c r="U52" s="330"/>
    </row>
    <row r="53" spans="1:21">
      <c r="A53" s="1040" t="s">
        <v>842</v>
      </c>
      <c r="B53" s="1041">
        <v>45878</v>
      </c>
      <c r="C53" s="1042">
        <f t="shared" si="0"/>
        <v>2025</v>
      </c>
      <c r="D53" s="1043">
        <f t="shared" si="3"/>
        <v>45878</v>
      </c>
      <c r="E53" s="1133" t="s">
        <v>989</v>
      </c>
      <c r="F53" s="1044">
        <f t="shared" ca="1" si="1"/>
        <v>59.428571428571431</v>
      </c>
      <c r="G53" s="1041" t="s">
        <v>955</v>
      </c>
      <c r="H53" s="1045">
        <v>15353</v>
      </c>
      <c r="I53" s="1230">
        <v>64.819999999999993</v>
      </c>
      <c r="J53" s="1040" t="s">
        <v>555</v>
      </c>
      <c r="K53" s="1134">
        <f>B74-M53</f>
        <v>108</v>
      </c>
      <c r="L53" s="1048" t="s">
        <v>850</v>
      </c>
      <c r="M53" s="326">
        <v>45978</v>
      </c>
      <c r="N53" s="326">
        <f t="shared" si="2"/>
        <v>46018</v>
      </c>
      <c r="O53" s="324" t="s">
        <v>633</v>
      </c>
      <c r="P53" s="351" t="s">
        <v>847</v>
      </c>
      <c r="Q53" s="327">
        <v>15012</v>
      </c>
      <c r="R53" s="328">
        <v>46433</v>
      </c>
      <c r="S53" s="329">
        <v>80</v>
      </c>
      <c r="T53" s="356">
        <f>M107-R53</f>
        <v>59</v>
      </c>
      <c r="U53" s="330"/>
    </row>
    <row r="54" spans="1:21">
      <c r="A54" s="1040" t="s">
        <v>842</v>
      </c>
      <c r="B54" s="1041">
        <v>45905</v>
      </c>
      <c r="C54" s="1042">
        <f t="shared" si="0"/>
        <v>2025</v>
      </c>
      <c r="D54" s="1043">
        <f t="shared" si="3"/>
        <v>45905</v>
      </c>
      <c r="E54" s="1133" t="s">
        <v>990</v>
      </c>
      <c r="F54" s="1044">
        <f t="shared" ca="1" si="1"/>
        <v>55.571428571428569</v>
      </c>
      <c r="G54" s="1041" t="s">
        <v>991</v>
      </c>
      <c r="H54" s="1045">
        <v>24873</v>
      </c>
      <c r="I54" s="1230">
        <v>68.33</v>
      </c>
      <c r="J54" s="1133" t="s">
        <v>555</v>
      </c>
      <c r="K54" s="1134">
        <f>T54</f>
        <v>48</v>
      </c>
      <c r="L54" s="1051" t="s">
        <v>845</v>
      </c>
      <c r="M54" s="336">
        <f t="shared" si="4"/>
        <v>46017</v>
      </c>
      <c r="N54" s="336">
        <f t="shared" si="2"/>
        <v>46045</v>
      </c>
      <c r="O54" s="1139" t="s">
        <v>992</v>
      </c>
      <c r="P54" s="354" t="s">
        <v>993</v>
      </c>
      <c r="Q54" s="337">
        <f t="shared" ref="Q54:Q75" si="12">H54-H54*0.05</f>
        <v>23629.35</v>
      </c>
      <c r="R54" s="338">
        <v>46465</v>
      </c>
      <c r="S54" s="339">
        <v>80</v>
      </c>
      <c r="T54" s="355">
        <f>B121-R54</f>
        <v>48</v>
      </c>
      <c r="U54" s="1125"/>
    </row>
    <row r="55" spans="1:21">
      <c r="A55" s="1040" t="s">
        <v>842</v>
      </c>
      <c r="B55" s="1041">
        <v>45924</v>
      </c>
      <c r="C55" s="1042">
        <f t="shared" si="0"/>
        <v>2025</v>
      </c>
      <c r="D55" s="1043">
        <f t="shared" si="3"/>
        <v>45924</v>
      </c>
      <c r="E55" s="1133" t="s">
        <v>994</v>
      </c>
      <c r="F55" s="1044">
        <f t="shared" ca="1" si="1"/>
        <v>52.857142857142854</v>
      </c>
      <c r="G55" s="1041" t="s">
        <v>993</v>
      </c>
      <c r="H55" s="1045">
        <v>20399</v>
      </c>
      <c r="I55" s="1230">
        <v>68.33</v>
      </c>
      <c r="J55" s="1133" t="s">
        <v>555</v>
      </c>
      <c r="K55" s="1134">
        <f>T55</f>
        <v>43</v>
      </c>
      <c r="L55" s="1051" t="s">
        <v>845</v>
      </c>
      <c r="M55" s="336">
        <f t="shared" si="4"/>
        <v>46036</v>
      </c>
      <c r="N55" s="336">
        <f t="shared" si="2"/>
        <v>46064</v>
      </c>
      <c r="O55" s="1139" t="s">
        <v>995</v>
      </c>
      <c r="P55" s="354" t="s">
        <v>983</v>
      </c>
      <c r="Q55" s="337">
        <f t="shared" si="12"/>
        <v>19379.05</v>
      </c>
      <c r="R55" s="338">
        <v>46484</v>
      </c>
      <c r="S55" s="339">
        <v>80</v>
      </c>
      <c r="T55" s="355">
        <f>B122-R55</f>
        <v>43</v>
      </c>
      <c r="U55" s="1125"/>
    </row>
    <row r="56" spans="1:21">
      <c r="A56" s="1040" t="s">
        <v>842</v>
      </c>
      <c r="B56" s="1041">
        <v>45973</v>
      </c>
      <c r="C56" s="1042">
        <f t="shared" si="0"/>
        <v>2025</v>
      </c>
      <c r="D56" s="1043">
        <f t="shared" si="3"/>
        <v>45973</v>
      </c>
      <c r="E56" s="1133" t="s">
        <v>996</v>
      </c>
      <c r="F56" s="1044">
        <f t="shared" ca="1" si="1"/>
        <v>45.857142857142854</v>
      </c>
      <c r="G56" s="1041" t="s">
        <v>997</v>
      </c>
      <c r="H56" s="1045">
        <v>18408</v>
      </c>
      <c r="I56" s="1230">
        <v>66.19</v>
      </c>
      <c r="J56" s="1133" t="s">
        <v>555</v>
      </c>
      <c r="K56" s="1134">
        <f>T56</f>
        <v>53</v>
      </c>
      <c r="L56" s="1051" t="s">
        <v>845</v>
      </c>
      <c r="M56" s="336">
        <f t="shared" si="4"/>
        <v>46085</v>
      </c>
      <c r="N56" s="336">
        <f t="shared" si="2"/>
        <v>46113</v>
      </c>
      <c r="O56" s="1139" t="s">
        <v>998</v>
      </c>
      <c r="P56" s="354" t="s">
        <v>997</v>
      </c>
      <c r="Q56" s="337">
        <f t="shared" si="12"/>
        <v>17487.599999999999</v>
      </c>
      <c r="R56" s="338">
        <v>46533</v>
      </c>
      <c r="S56" s="339">
        <v>80</v>
      </c>
      <c r="T56" s="355">
        <f>B129-R56</f>
        <v>53</v>
      </c>
      <c r="U56" s="1125"/>
    </row>
    <row r="57" spans="1:21">
      <c r="A57" s="1040" t="s">
        <v>842</v>
      </c>
      <c r="B57" s="1041">
        <v>45990</v>
      </c>
      <c r="C57" s="1042">
        <f t="shared" si="0"/>
        <v>2025</v>
      </c>
      <c r="D57" s="1043">
        <f t="shared" si="3"/>
        <v>45990</v>
      </c>
      <c r="E57" s="1133" t="s">
        <v>639</v>
      </c>
      <c r="F57" s="1044">
        <f t="shared" ca="1" si="1"/>
        <v>43.428571428571431</v>
      </c>
      <c r="G57" s="1041" t="s">
        <v>999</v>
      </c>
      <c r="H57" s="1045">
        <v>9212</v>
      </c>
      <c r="I57" s="1230">
        <v>63.61</v>
      </c>
      <c r="J57" s="1040" t="s">
        <v>555</v>
      </c>
      <c r="K57" s="1134">
        <f>D79-M57</f>
        <v>26</v>
      </c>
      <c r="L57" s="1049" t="s">
        <v>854</v>
      </c>
      <c r="M57" s="326">
        <v>46081</v>
      </c>
      <c r="N57" s="326">
        <f t="shared" si="2"/>
        <v>46130</v>
      </c>
      <c r="O57" s="1124" t="s">
        <v>1000</v>
      </c>
      <c r="P57" s="357" t="s">
        <v>875</v>
      </c>
      <c r="Q57" s="327">
        <f t="shared" si="12"/>
        <v>8751.4</v>
      </c>
      <c r="R57" s="328">
        <v>46558</v>
      </c>
      <c r="S57" s="329">
        <v>81</v>
      </c>
      <c r="T57" s="356">
        <f>M114-R57</f>
        <v>51</v>
      </c>
      <c r="U57" s="1136"/>
    </row>
    <row r="58" spans="1:21">
      <c r="A58" s="1040" t="s">
        <v>842</v>
      </c>
      <c r="B58" s="1041">
        <v>46002</v>
      </c>
      <c r="C58" s="1042">
        <f t="shared" si="0"/>
        <v>2025</v>
      </c>
      <c r="D58" s="1043">
        <f t="shared" si="3"/>
        <v>46002</v>
      </c>
      <c r="E58" s="1133" t="s">
        <v>646</v>
      </c>
      <c r="F58" s="1044">
        <f t="shared" ca="1" si="1"/>
        <v>41.714285714285715</v>
      </c>
      <c r="G58" s="1041" t="s">
        <v>1001</v>
      </c>
      <c r="H58" s="1045">
        <v>18000</v>
      </c>
      <c r="I58" s="1230">
        <v>63.38</v>
      </c>
      <c r="J58" s="1040" t="s">
        <v>555</v>
      </c>
      <c r="K58" s="1134">
        <f>D78-M58</f>
        <v>21</v>
      </c>
      <c r="L58" s="1050" t="s">
        <v>859</v>
      </c>
      <c r="M58" s="326">
        <v>46086</v>
      </c>
      <c r="N58" s="326">
        <f t="shared" si="2"/>
        <v>46142</v>
      </c>
      <c r="O58" s="1124" t="s">
        <v>1002</v>
      </c>
      <c r="P58" s="351" t="s">
        <v>871</v>
      </c>
      <c r="Q58" s="327">
        <f t="shared" si="12"/>
        <v>17100</v>
      </c>
      <c r="R58" s="328">
        <v>46558</v>
      </c>
      <c r="S58" s="329">
        <v>80</v>
      </c>
      <c r="T58" s="356">
        <f>M116-R58</f>
        <v>51</v>
      </c>
      <c r="U58" s="1136"/>
    </row>
    <row r="59" spans="1:21">
      <c r="A59" s="1040" t="s">
        <v>842</v>
      </c>
      <c r="B59" s="1041">
        <v>46009</v>
      </c>
      <c r="C59" s="1042">
        <f t="shared" si="0"/>
        <v>2025</v>
      </c>
      <c r="D59" s="1043">
        <f t="shared" si="3"/>
        <v>46009</v>
      </c>
      <c r="E59" s="1133" t="s">
        <v>646</v>
      </c>
      <c r="F59" s="1044">
        <f t="shared" ca="1" si="1"/>
        <v>40.714285714285715</v>
      </c>
      <c r="G59" s="1041" t="s">
        <v>1001</v>
      </c>
      <c r="H59" s="1045">
        <v>18000</v>
      </c>
      <c r="I59" s="1230">
        <v>64.87</v>
      </c>
      <c r="J59" s="1040" t="s">
        <v>555</v>
      </c>
      <c r="K59" s="1134">
        <f>D78-M59</f>
        <v>21</v>
      </c>
      <c r="L59" s="1050" t="s">
        <v>859</v>
      </c>
      <c r="M59" s="326">
        <v>46086</v>
      </c>
      <c r="N59" s="326">
        <f t="shared" si="2"/>
        <v>46149</v>
      </c>
      <c r="O59" s="1124" t="s">
        <v>1002</v>
      </c>
      <c r="P59" s="351" t="s">
        <v>885</v>
      </c>
      <c r="Q59" s="327">
        <f t="shared" si="12"/>
        <v>17100</v>
      </c>
      <c r="R59" s="328">
        <v>46558</v>
      </c>
      <c r="S59" s="329">
        <v>78</v>
      </c>
      <c r="T59" s="356">
        <f>M117-R59</f>
        <v>51</v>
      </c>
      <c r="U59" s="1136"/>
    </row>
    <row r="60" spans="1:21">
      <c r="A60" s="1040" t="s">
        <v>842</v>
      </c>
      <c r="B60" s="1041">
        <v>46020</v>
      </c>
      <c r="C60" s="1042">
        <f t="shared" si="0"/>
        <v>2025</v>
      </c>
      <c r="D60" s="1043">
        <v>46020</v>
      </c>
      <c r="E60" s="1133" t="s">
        <v>642</v>
      </c>
      <c r="F60" s="1044">
        <f t="shared" ca="1" si="1"/>
        <v>39.142857142857146</v>
      </c>
      <c r="G60" s="1041" t="s">
        <v>1003</v>
      </c>
      <c r="H60" s="1045">
        <v>13000</v>
      </c>
      <c r="I60" s="1230">
        <v>65.63</v>
      </c>
      <c r="J60" s="1040" t="s">
        <v>555</v>
      </c>
      <c r="K60" s="1134">
        <f>D77-M60</f>
        <v>19</v>
      </c>
      <c r="L60" s="1051" t="s">
        <v>845</v>
      </c>
      <c r="M60" s="326">
        <v>46088</v>
      </c>
      <c r="N60" s="326">
        <f t="shared" si="2"/>
        <v>46160</v>
      </c>
      <c r="O60" s="1124" t="s">
        <v>1004</v>
      </c>
      <c r="P60" s="351" t="s">
        <v>898</v>
      </c>
      <c r="Q60" s="327">
        <f t="shared" si="12"/>
        <v>12350</v>
      </c>
      <c r="R60" s="328">
        <v>46573</v>
      </c>
      <c r="S60" s="329">
        <v>80</v>
      </c>
      <c r="T60" s="356">
        <f>M118-R60</f>
        <v>47</v>
      </c>
      <c r="U60" s="1136"/>
    </row>
    <row r="61" spans="1:21">
      <c r="A61" s="1040" t="s">
        <v>842</v>
      </c>
      <c r="B61" s="1041">
        <v>46020</v>
      </c>
      <c r="C61" s="1042">
        <f t="shared" si="0"/>
        <v>2025</v>
      </c>
      <c r="D61" s="1043">
        <v>46020</v>
      </c>
      <c r="E61" s="1133" t="s">
        <v>642</v>
      </c>
      <c r="F61" s="1044">
        <f t="shared" ca="1" si="1"/>
        <v>39.142857142857146</v>
      </c>
      <c r="G61" s="1041" t="s">
        <v>1003</v>
      </c>
      <c r="H61" s="1045">
        <v>12000</v>
      </c>
      <c r="I61" s="1230">
        <v>65.5</v>
      </c>
      <c r="J61" s="1040" t="s">
        <v>555</v>
      </c>
      <c r="K61" s="1134">
        <f>D77-M61</f>
        <v>19</v>
      </c>
      <c r="L61" s="1051" t="s">
        <v>845</v>
      </c>
      <c r="M61" s="326">
        <v>46088</v>
      </c>
      <c r="N61" s="326">
        <f t="shared" si="2"/>
        <v>46160</v>
      </c>
      <c r="O61" s="1124" t="s">
        <v>1004</v>
      </c>
      <c r="P61" s="351" t="s">
        <v>896</v>
      </c>
      <c r="Q61" s="327">
        <f t="shared" si="12"/>
        <v>11400</v>
      </c>
      <c r="R61" s="328">
        <v>46573</v>
      </c>
      <c r="S61" s="329">
        <v>80</v>
      </c>
      <c r="T61" s="356">
        <f>M119-R61</f>
        <v>47</v>
      </c>
      <c r="U61" s="1136"/>
    </row>
    <row r="62" spans="1:21">
      <c r="A62" s="1040" t="s">
        <v>842</v>
      </c>
      <c r="B62" s="1041">
        <v>46020</v>
      </c>
      <c r="C62" s="1042">
        <f t="shared" si="0"/>
        <v>2025</v>
      </c>
      <c r="D62" s="1043">
        <v>46020</v>
      </c>
      <c r="E62" s="1133" t="s">
        <v>642</v>
      </c>
      <c r="F62" s="1044">
        <f t="shared" ca="1" si="1"/>
        <v>39.142857142857146</v>
      </c>
      <c r="G62" s="1041" t="s">
        <v>1003</v>
      </c>
      <c r="H62" s="1045">
        <v>17000</v>
      </c>
      <c r="I62" s="1230">
        <v>65.739999999999995</v>
      </c>
      <c r="J62" s="1040" t="s">
        <v>555</v>
      </c>
      <c r="K62" s="1134">
        <f>D77-M62</f>
        <v>19</v>
      </c>
      <c r="L62" s="1051" t="s">
        <v>845</v>
      </c>
      <c r="M62" s="326">
        <v>46088</v>
      </c>
      <c r="N62" s="326">
        <f t="shared" si="2"/>
        <v>46160</v>
      </c>
      <c r="O62" s="1124" t="s">
        <v>1004</v>
      </c>
      <c r="P62" s="351" t="s">
        <v>892</v>
      </c>
      <c r="Q62" s="327">
        <f t="shared" si="12"/>
        <v>16150</v>
      </c>
      <c r="R62" s="328">
        <v>46573</v>
      </c>
      <c r="S62" s="329">
        <v>79</v>
      </c>
      <c r="T62" s="356">
        <f>M120-R62</f>
        <v>47</v>
      </c>
      <c r="U62" s="1136"/>
    </row>
    <row r="63" spans="1:21">
      <c r="A63" s="1040" t="s">
        <v>842</v>
      </c>
      <c r="B63" s="1041">
        <v>46032</v>
      </c>
      <c r="C63" s="1042">
        <f t="shared" si="0"/>
        <v>2026</v>
      </c>
      <c r="D63" s="1043">
        <f t="shared" si="3"/>
        <v>46032</v>
      </c>
      <c r="E63" s="1133" t="s">
        <v>1005</v>
      </c>
      <c r="F63" s="1044">
        <f t="shared" ca="1" si="1"/>
        <v>37.428571428571431</v>
      </c>
      <c r="G63" s="1041" t="s">
        <v>1006</v>
      </c>
      <c r="H63" s="1045">
        <v>15000</v>
      </c>
      <c r="I63" s="1230">
        <v>65.290000000000006</v>
      </c>
      <c r="J63" s="1040" t="s">
        <v>555</v>
      </c>
      <c r="K63" s="1134">
        <f>D83-M63</f>
        <v>38</v>
      </c>
      <c r="L63" s="1049" t="s">
        <v>854</v>
      </c>
      <c r="M63" s="326">
        <v>46102</v>
      </c>
      <c r="N63" s="326">
        <f t="shared" si="2"/>
        <v>46172</v>
      </c>
      <c r="O63" s="1124" t="s">
        <v>1007</v>
      </c>
      <c r="P63" s="351" t="s">
        <v>1008</v>
      </c>
      <c r="Q63" s="327">
        <f t="shared" si="12"/>
        <v>14250</v>
      </c>
      <c r="R63" s="328">
        <v>46598</v>
      </c>
      <c r="S63" s="329">
        <v>81</v>
      </c>
      <c r="T63" s="356">
        <f>M123-R63</f>
        <v>68</v>
      </c>
      <c r="U63" s="1136"/>
    </row>
    <row r="64" spans="1:21">
      <c r="A64" s="1040" t="s">
        <v>842</v>
      </c>
      <c r="B64" s="1041">
        <v>46039</v>
      </c>
      <c r="C64" s="1042">
        <f t="shared" ref="C64" si="13">YEAR(B64)</f>
        <v>2026</v>
      </c>
      <c r="D64" s="1043">
        <v>46039</v>
      </c>
      <c r="E64" s="1133" t="s">
        <v>1009</v>
      </c>
      <c r="F64" s="1044">
        <f t="shared" ca="1" si="1"/>
        <v>36.428571428571431</v>
      </c>
      <c r="G64" s="1041" t="s">
        <v>987</v>
      </c>
      <c r="H64" s="1045">
        <v>16000</v>
      </c>
      <c r="I64" s="1230">
        <v>5.13</v>
      </c>
      <c r="J64" s="1040" t="s">
        <v>555</v>
      </c>
      <c r="K64" s="1134">
        <f>D96-M64</f>
        <v>116</v>
      </c>
      <c r="L64" s="538" t="s">
        <v>980</v>
      </c>
      <c r="M64" s="1043">
        <v>46144</v>
      </c>
      <c r="N64" s="1043">
        <f>D64+20*7</f>
        <v>46179</v>
      </c>
      <c r="O64" s="1133" t="s">
        <v>1009</v>
      </c>
      <c r="P64" s="553" t="s">
        <v>1010</v>
      </c>
      <c r="Q64" s="1027">
        <f>H64-H64*0.05</f>
        <v>15200</v>
      </c>
      <c r="R64" s="1028">
        <v>46139</v>
      </c>
      <c r="S64" s="1029"/>
      <c r="T64" s="558"/>
      <c r="U64" s="1136"/>
    </row>
    <row r="65" spans="1:20">
      <c r="A65" s="1040" t="s">
        <v>842</v>
      </c>
      <c r="B65" s="1041">
        <v>46039</v>
      </c>
      <c r="C65" s="1042">
        <f t="shared" ref="C65" si="14">YEAR(B65)</f>
        <v>2026</v>
      </c>
      <c r="D65" s="1043">
        <v>46039</v>
      </c>
      <c r="E65" s="1133" t="s">
        <v>1009</v>
      </c>
      <c r="F65" s="1044">
        <f t="shared" ca="1" si="1"/>
        <v>36.428571428571431</v>
      </c>
      <c r="G65" s="1041" t="s">
        <v>894</v>
      </c>
      <c r="H65" s="1045">
        <v>16000</v>
      </c>
      <c r="I65" s="1230">
        <v>5.13</v>
      </c>
      <c r="J65" s="1040" t="s">
        <v>555</v>
      </c>
      <c r="K65" s="1134">
        <f>D96-M65</f>
        <v>116</v>
      </c>
      <c r="L65" s="538" t="s">
        <v>980</v>
      </c>
      <c r="M65" s="1043">
        <v>46144</v>
      </c>
      <c r="N65" s="1043">
        <f>D65+20*7</f>
        <v>46179</v>
      </c>
      <c r="O65" s="1133" t="s">
        <v>1009</v>
      </c>
      <c r="P65" s="553" t="s">
        <v>1010</v>
      </c>
      <c r="Q65" s="1027">
        <f>H65-H65*0.05</f>
        <v>15200</v>
      </c>
      <c r="R65" s="1028">
        <v>46141</v>
      </c>
      <c r="S65" s="1029"/>
      <c r="T65" s="558"/>
    </row>
    <row r="66" spans="1:20">
      <c r="A66" s="1040" t="s">
        <v>842</v>
      </c>
      <c r="B66" s="1041">
        <v>46042</v>
      </c>
      <c r="C66" s="1042">
        <f t="shared" ref="C66:C68" si="15">YEAR(B66)</f>
        <v>2026</v>
      </c>
      <c r="D66" s="1043">
        <v>46042</v>
      </c>
      <c r="E66" s="1133" t="s">
        <v>1011</v>
      </c>
      <c r="F66" s="1044">
        <f t="shared" ref="F66:F68" ca="1" si="16">IF((TODAY()-D66)/7&gt;R66,T66,(TODAY()-D66)/7)</f>
        <v>36</v>
      </c>
      <c r="G66" s="1041" t="s">
        <v>1012</v>
      </c>
      <c r="H66" s="1045">
        <v>76921</v>
      </c>
      <c r="I66" s="1230">
        <v>5.4</v>
      </c>
      <c r="J66" s="1040" t="s">
        <v>555</v>
      </c>
      <c r="K66" s="1134"/>
      <c r="L66" s="1050" t="s">
        <v>859</v>
      </c>
      <c r="M66" s="326">
        <v>46146</v>
      </c>
      <c r="N66" s="326">
        <f t="shared" si="2"/>
        <v>46182</v>
      </c>
      <c r="O66" s="1124" t="s">
        <v>1013</v>
      </c>
      <c r="P66" s="351" t="s">
        <v>1014</v>
      </c>
      <c r="Q66" s="327"/>
      <c r="R66" s="328">
        <v>46466</v>
      </c>
      <c r="S66" s="329"/>
      <c r="T66" s="356"/>
    </row>
    <row r="67" spans="1:20">
      <c r="A67" s="1040" t="s">
        <v>842</v>
      </c>
      <c r="B67" s="1041">
        <v>46042</v>
      </c>
      <c r="C67" s="1042">
        <f t="shared" si="15"/>
        <v>2026</v>
      </c>
      <c r="D67" s="1043">
        <v>46042</v>
      </c>
      <c r="E67" s="1133" t="s">
        <v>1011</v>
      </c>
      <c r="F67" s="1044">
        <f t="shared" ca="1" si="16"/>
        <v>36</v>
      </c>
      <c r="G67" s="1041" t="s">
        <v>933</v>
      </c>
      <c r="H67" s="1045">
        <v>22983</v>
      </c>
      <c r="I67" s="1230">
        <v>5.4</v>
      </c>
      <c r="J67" s="1040" t="s">
        <v>555</v>
      </c>
      <c r="K67" s="1134"/>
      <c r="L67" s="1050" t="s">
        <v>859</v>
      </c>
      <c r="M67" s="326">
        <v>46146</v>
      </c>
      <c r="N67" s="326">
        <f t="shared" si="2"/>
        <v>46182</v>
      </c>
      <c r="O67" s="1124" t="s">
        <v>1013</v>
      </c>
      <c r="P67" s="351" t="s">
        <v>1014</v>
      </c>
      <c r="Q67" s="327"/>
      <c r="R67" s="328">
        <v>46466</v>
      </c>
      <c r="S67" s="329"/>
      <c r="T67" s="356"/>
    </row>
    <row r="68" spans="1:20">
      <c r="A68" s="1040" t="s">
        <v>842</v>
      </c>
      <c r="B68" s="1041">
        <v>46042</v>
      </c>
      <c r="C68" s="1042">
        <f t="shared" si="15"/>
        <v>2026</v>
      </c>
      <c r="D68" s="1043">
        <v>46042</v>
      </c>
      <c r="E68" s="1133" t="s">
        <v>1011</v>
      </c>
      <c r="F68" s="1044">
        <f t="shared" ca="1" si="16"/>
        <v>36</v>
      </c>
      <c r="G68" s="1041" t="s">
        <v>937</v>
      </c>
      <c r="H68" s="1045">
        <v>6119</v>
      </c>
      <c r="I68" s="1230">
        <v>5.4</v>
      </c>
      <c r="J68" s="1040" t="s">
        <v>555</v>
      </c>
      <c r="K68" s="1134"/>
      <c r="L68" s="1050" t="s">
        <v>859</v>
      </c>
      <c r="M68" s="326">
        <v>46146</v>
      </c>
      <c r="N68" s="326">
        <f t="shared" si="2"/>
        <v>46182</v>
      </c>
      <c r="O68" s="1124" t="s">
        <v>1013</v>
      </c>
      <c r="P68" s="351" t="s">
        <v>1014</v>
      </c>
      <c r="Q68" s="327"/>
      <c r="R68" s="328">
        <v>46466</v>
      </c>
      <c r="S68" s="329"/>
      <c r="T68" s="356"/>
    </row>
    <row r="69" spans="1:20">
      <c r="A69" s="1040" t="s">
        <v>842</v>
      </c>
      <c r="B69" s="1041">
        <v>46042</v>
      </c>
      <c r="C69" s="1042">
        <f t="shared" si="0"/>
        <v>2026</v>
      </c>
      <c r="D69" s="1043">
        <f t="shared" si="3"/>
        <v>46042</v>
      </c>
      <c r="E69" s="1133" t="s">
        <v>1015</v>
      </c>
      <c r="F69" s="1044">
        <f t="shared" ca="1" si="1"/>
        <v>36</v>
      </c>
      <c r="G69" s="1041" t="s">
        <v>1016</v>
      </c>
      <c r="H69" s="1045">
        <v>15360</v>
      </c>
      <c r="I69" s="1230">
        <v>64.290000000000006</v>
      </c>
      <c r="J69" s="1040" t="s">
        <v>555</v>
      </c>
      <c r="K69" s="1134">
        <f>D84-M69</f>
        <v>35</v>
      </c>
      <c r="L69" s="1049" t="s">
        <v>854</v>
      </c>
      <c r="M69" s="326">
        <v>46112</v>
      </c>
      <c r="N69" s="326">
        <f t="shared" si="2"/>
        <v>46182</v>
      </c>
      <c r="O69" s="1124" t="s">
        <v>1017</v>
      </c>
      <c r="P69" s="351" t="s">
        <v>1018</v>
      </c>
      <c r="Q69" s="327">
        <f t="shared" si="12"/>
        <v>14592</v>
      </c>
      <c r="R69" s="328">
        <v>46598</v>
      </c>
      <c r="S69" s="329">
        <v>81</v>
      </c>
      <c r="T69" s="356">
        <f>M123-R69</f>
        <v>68</v>
      </c>
    </row>
    <row r="70" spans="1:20">
      <c r="A70" s="1040" t="s">
        <v>842</v>
      </c>
      <c r="B70" s="1041">
        <v>46042</v>
      </c>
      <c r="C70" s="1042">
        <f t="shared" si="0"/>
        <v>2026</v>
      </c>
      <c r="D70" s="1043">
        <f t="shared" si="3"/>
        <v>46042</v>
      </c>
      <c r="E70" s="1133" t="s">
        <v>1015</v>
      </c>
      <c r="F70" s="1044">
        <f t="shared" ca="1" si="1"/>
        <v>36</v>
      </c>
      <c r="G70" s="1041" t="s">
        <v>1016</v>
      </c>
      <c r="H70" s="1045">
        <v>18368</v>
      </c>
      <c r="I70" s="1230">
        <v>46.37</v>
      </c>
      <c r="J70" s="1040" t="s">
        <v>555</v>
      </c>
      <c r="K70" s="1134">
        <f>D84-M70</f>
        <v>35</v>
      </c>
      <c r="L70" s="1050" t="s">
        <v>859</v>
      </c>
      <c r="M70" s="326">
        <v>46112</v>
      </c>
      <c r="N70" s="326">
        <f t="shared" si="2"/>
        <v>46182</v>
      </c>
      <c r="O70" s="1124" t="s">
        <v>1017</v>
      </c>
      <c r="P70" s="351" t="s">
        <v>1018</v>
      </c>
      <c r="Q70" s="327">
        <f t="shared" si="12"/>
        <v>17449.599999999999</v>
      </c>
      <c r="R70" s="328">
        <v>46598</v>
      </c>
      <c r="S70" s="329">
        <v>79</v>
      </c>
      <c r="T70" s="356">
        <f>M125-R70</f>
        <v>68</v>
      </c>
    </row>
    <row r="71" spans="1:20">
      <c r="A71" s="1040" t="s">
        <v>842</v>
      </c>
      <c r="B71" s="1041">
        <v>46049</v>
      </c>
      <c r="C71" s="1042">
        <f t="shared" si="0"/>
        <v>2026</v>
      </c>
      <c r="D71" s="1043">
        <f t="shared" si="3"/>
        <v>46049</v>
      </c>
      <c r="E71" s="1133" t="s">
        <v>1019</v>
      </c>
      <c r="F71" s="1044">
        <f t="shared" ca="1" si="1"/>
        <v>35</v>
      </c>
      <c r="G71" s="1041" t="s">
        <v>1020</v>
      </c>
      <c r="H71" s="1045">
        <v>16320</v>
      </c>
      <c r="I71" s="1230">
        <v>32.14</v>
      </c>
      <c r="J71" s="1040" t="s">
        <v>555</v>
      </c>
      <c r="K71" s="1134">
        <f>D83-M71</f>
        <v>21</v>
      </c>
      <c r="L71" s="1051" t="s">
        <v>845</v>
      </c>
      <c r="M71" s="326">
        <v>46119</v>
      </c>
      <c r="N71" s="326">
        <f t="shared" si="2"/>
        <v>46189</v>
      </c>
      <c r="O71" s="1124" t="s">
        <v>1021</v>
      </c>
      <c r="P71" s="351" t="s">
        <v>1022</v>
      </c>
      <c r="Q71" s="327">
        <f t="shared" si="12"/>
        <v>15504</v>
      </c>
      <c r="R71" s="328">
        <v>46598</v>
      </c>
      <c r="S71" s="329">
        <v>78</v>
      </c>
      <c r="T71" s="356">
        <f>M126-R71</f>
        <v>68</v>
      </c>
    </row>
    <row r="72" spans="1:20">
      <c r="A72" s="1040" t="s">
        <v>842</v>
      </c>
      <c r="B72" s="1041">
        <v>46060</v>
      </c>
      <c r="C72" s="1042">
        <f t="shared" ref="C72" si="17">YEAR(B72)</f>
        <v>2026</v>
      </c>
      <c r="D72" s="1043">
        <v>46060</v>
      </c>
      <c r="E72" s="1133" t="s">
        <v>1023</v>
      </c>
      <c r="F72" s="1044">
        <f t="shared" ca="1" si="1"/>
        <v>33.428571428571431</v>
      </c>
      <c r="G72" s="1041" t="s">
        <v>979</v>
      </c>
      <c r="H72" s="1045">
        <v>56000</v>
      </c>
      <c r="I72" s="1230">
        <v>5.63</v>
      </c>
      <c r="J72" s="1040" t="s">
        <v>555</v>
      </c>
      <c r="K72" s="1134">
        <f>D127-M72</f>
        <v>413</v>
      </c>
      <c r="L72" s="1051" t="s">
        <v>845</v>
      </c>
      <c r="M72" s="1043">
        <v>46165</v>
      </c>
      <c r="N72" s="1043">
        <f>D72+20*7</f>
        <v>46200</v>
      </c>
      <c r="O72" s="1133" t="s">
        <v>1023</v>
      </c>
      <c r="P72" s="553" t="s">
        <v>1010</v>
      </c>
      <c r="Q72" s="1027"/>
      <c r="R72" s="1028">
        <v>46167</v>
      </c>
      <c r="S72" s="1029"/>
      <c r="T72" s="558"/>
    </row>
    <row r="73" spans="1:20">
      <c r="A73" s="1040" t="s">
        <v>842</v>
      </c>
      <c r="B73" s="1041">
        <v>46080</v>
      </c>
      <c r="C73" s="1042">
        <f t="shared" si="0"/>
        <v>2026</v>
      </c>
      <c r="D73" s="1043">
        <v>46080</v>
      </c>
      <c r="E73" s="1133" t="s">
        <v>1024</v>
      </c>
      <c r="F73" s="1044">
        <f t="shared" ca="1" si="1"/>
        <v>30.571428571428573</v>
      </c>
      <c r="G73" s="1041" t="s">
        <v>955</v>
      </c>
      <c r="H73" s="1045">
        <v>9207</v>
      </c>
      <c r="I73" s="1230">
        <v>31.35</v>
      </c>
      <c r="J73" s="1040" t="s">
        <v>555</v>
      </c>
      <c r="K73" s="1134">
        <f>D90-M73</f>
        <v>43</v>
      </c>
      <c r="L73" s="1050" t="s">
        <v>859</v>
      </c>
      <c r="M73" s="326">
        <f t="shared" si="4"/>
        <v>46192</v>
      </c>
      <c r="N73" s="326">
        <f t="shared" si="2"/>
        <v>46220</v>
      </c>
      <c r="O73" s="1124" t="s">
        <v>1728</v>
      </c>
      <c r="P73" s="351" t="s">
        <v>904</v>
      </c>
      <c r="Q73" s="327">
        <f t="shared" si="12"/>
        <v>8746.65</v>
      </c>
      <c r="R73" s="328">
        <v>46642</v>
      </c>
      <c r="S73" s="329">
        <v>80</v>
      </c>
      <c r="T73" s="356">
        <f>M127-R73</f>
        <v>48</v>
      </c>
    </row>
    <row r="74" spans="1:20">
      <c r="A74" s="1040" t="s">
        <v>842</v>
      </c>
      <c r="B74" s="1041">
        <v>46086</v>
      </c>
      <c r="C74" s="1042">
        <f t="shared" si="0"/>
        <v>2026</v>
      </c>
      <c r="D74" s="1043">
        <v>46086</v>
      </c>
      <c r="E74" s="1133" t="s">
        <v>1025</v>
      </c>
      <c r="F74" s="1044">
        <f t="shared" ca="1" si="1"/>
        <v>29.714285714285715</v>
      </c>
      <c r="G74" s="1041" t="s">
        <v>955</v>
      </c>
      <c r="H74" s="1045">
        <v>18358</v>
      </c>
      <c r="I74" s="1230">
        <v>32.119999999999997</v>
      </c>
      <c r="J74" s="1040" t="s">
        <v>555</v>
      </c>
      <c r="K74" s="1134">
        <f>D90-M74</f>
        <v>37</v>
      </c>
      <c r="L74" s="1051" t="s">
        <v>845</v>
      </c>
      <c r="M74" s="326">
        <f t="shared" si="4"/>
        <v>46198</v>
      </c>
      <c r="N74" s="326">
        <f t="shared" si="2"/>
        <v>46226</v>
      </c>
      <c r="O74" s="1124" t="s">
        <v>1730</v>
      </c>
      <c r="P74" s="351" t="s">
        <v>904</v>
      </c>
      <c r="Q74" s="327">
        <f t="shared" si="12"/>
        <v>17440.099999999999</v>
      </c>
      <c r="R74" s="328">
        <v>46642</v>
      </c>
      <c r="S74" s="329">
        <v>79</v>
      </c>
      <c r="T74" s="356">
        <f>M127-R74</f>
        <v>48</v>
      </c>
    </row>
    <row r="75" spans="1:20">
      <c r="A75" s="1040" t="s">
        <v>842</v>
      </c>
      <c r="B75" s="1041">
        <v>46088</v>
      </c>
      <c r="C75" s="1042">
        <f t="shared" si="0"/>
        <v>2026</v>
      </c>
      <c r="D75" s="1043">
        <v>46088</v>
      </c>
      <c r="E75" s="1133" t="s">
        <v>1026</v>
      </c>
      <c r="F75" s="1044">
        <f t="shared" ca="1" si="1"/>
        <v>29.428571428571427</v>
      </c>
      <c r="G75" s="1041" t="s">
        <v>955</v>
      </c>
      <c r="H75" s="1045">
        <v>9208</v>
      </c>
      <c r="I75" s="1230">
        <v>31.95</v>
      </c>
      <c r="J75" s="1040" t="s">
        <v>555</v>
      </c>
      <c r="K75" s="1134">
        <f>D90-M75</f>
        <v>35</v>
      </c>
      <c r="L75" s="1049" t="s">
        <v>854</v>
      </c>
      <c r="M75" s="326">
        <f t="shared" si="4"/>
        <v>46200</v>
      </c>
      <c r="N75" s="326">
        <f t="shared" si="2"/>
        <v>46228</v>
      </c>
      <c r="O75" s="1124" t="s">
        <v>1729</v>
      </c>
      <c r="P75" s="351" t="s">
        <v>910</v>
      </c>
      <c r="Q75" s="327">
        <f t="shared" si="12"/>
        <v>8747.6</v>
      </c>
      <c r="R75" s="328">
        <v>46642</v>
      </c>
      <c r="S75" s="329">
        <v>79</v>
      </c>
      <c r="T75" s="356">
        <f>M128-R75</f>
        <v>48</v>
      </c>
    </row>
    <row r="76" spans="1:20">
      <c r="A76" s="1040" t="s">
        <v>842</v>
      </c>
      <c r="B76" s="1041">
        <v>46099</v>
      </c>
      <c r="C76" s="1042">
        <f>YEAR(B76)</f>
        <v>2026</v>
      </c>
      <c r="D76" s="1043">
        <v>46099</v>
      </c>
      <c r="E76" s="1133" t="s">
        <v>1027</v>
      </c>
      <c r="F76" s="1044">
        <f ca="1">IF((TODAY()-D76)/7&gt;R76,T76,(TODAY()-D76)/7)</f>
        <v>27.857142857142858</v>
      </c>
      <c r="G76" s="1041" t="s">
        <v>1028</v>
      </c>
      <c r="H76" s="1045">
        <v>21226</v>
      </c>
      <c r="I76" s="1230">
        <v>34.15</v>
      </c>
      <c r="J76" s="1040" t="s">
        <v>555</v>
      </c>
      <c r="K76" s="1134">
        <f>T76</f>
        <v>51</v>
      </c>
      <c r="L76" s="1050" t="s">
        <v>859</v>
      </c>
      <c r="M76" s="336">
        <f>D76+(16*7)</f>
        <v>46211</v>
      </c>
      <c r="N76" s="336">
        <f>D76+20*7</f>
        <v>46239</v>
      </c>
      <c r="O76" s="1139" t="s">
        <v>1731</v>
      </c>
      <c r="P76" s="354" t="s">
        <v>1028</v>
      </c>
      <c r="Q76" s="337">
        <f>H76-H76*0.05</f>
        <v>20164.7</v>
      </c>
      <c r="R76" s="338">
        <v>46659</v>
      </c>
      <c r="S76" s="339">
        <v>80</v>
      </c>
      <c r="T76" s="355">
        <f>B133-R76</f>
        <v>51</v>
      </c>
    </row>
    <row r="77" spans="1:20" s="349" customFormat="1">
      <c r="A77" s="1040" t="s">
        <v>842</v>
      </c>
      <c r="B77" s="1041">
        <v>46107</v>
      </c>
      <c r="C77" s="1042">
        <f t="shared" ref="C77" si="18">YEAR(B77)</f>
        <v>2026</v>
      </c>
      <c r="D77" s="1043">
        <f t="shared" ref="D77" si="19">B77</f>
        <v>46107</v>
      </c>
      <c r="E77" s="1133" t="s">
        <v>1029</v>
      </c>
      <c r="F77" s="1044">
        <f t="shared" ca="1" si="1"/>
        <v>26.714285714285715</v>
      </c>
      <c r="G77" s="1041" t="s">
        <v>1003</v>
      </c>
      <c r="H77" s="1045">
        <v>40092</v>
      </c>
      <c r="I77" s="1230">
        <v>5.44</v>
      </c>
      <c r="J77" s="1040" t="s">
        <v>555</v>
      </c>
      <c r="K77" s="1134"/>
      <c r="L77" s="1050" t="s">
        <v>859</v>
      </c>
      <c r="M77" s="323">
        <v>46206</v>
      </c>
      <c r="N77" s="326">
        <f t="shared" si="2"/>
        <v>46247</v>
      </c>
      <c r="O77" s="1138" t="s">
        <v>1732</v>
      </c>
      <c r="P77" s="351" t="s">
        <v>953</v>
      </c>
      <c r="Q77" s="438"/>
      <c r="R77" s="439">
        <v>46513</v>
      </c>
      <c r="S77" s="440"/>
      <c r="T77" s="441"/>
    </row>
    <row r="78" spans="1:20" s="349" customFormat="1">
      <c r="A78" s="1040" t="s">
        <v>842</v>
      </c>
      <c r="B78" s="1041">
        <v>46107</v>
      </c>
      <c r="C78" s="1042">
        <f t="shared" ref="C78:C82" si="20">YEAR(B78)</f>
        <v>2026</v>
      </c>
      <c r="D78" s="1043">
        <f t="shared" ref="D78:D82" si="21">B78</f>
        <v>46107</v>
      </c>
      <c r="E78" s="1133" t="s">
        <v>1029</v>
      </c>
      <c r="F78" s="1044">
        <f t="shared" ca="1" si="1"/>
        <v>26.714285714285715</v>
      </c>
      <c r="G78" s="1041" t="s">
        <v>1001</v>
      </c>
      <c r="H78" s="1045">
        <v>39592</v>
      </c>
      <c r="I78" s="1230">
        <v>5.44</v>
      </c>
      <c r="J78" s="1040" t="s">
        <v>555</v>
      </c>
      <c r="K78" s="1134"/>
      <c r="L78" s="1050" t="s">
        <v>859</v>
      </c>
      <c r="M78" s="323">
        <v>46206</v>
      </c>
      <c r="N78" s="326">
        <f t="shared" si="2"/>
        <v>46247</v>
      </c>
      <c r="O78" s="1138" t="s">
        <v>1732</v>
      </c>
      <c r="P78" s="351" t="s">
        <v>953</v>
      </c>
      <c r="Q78" s="438"/>
      <c r="R78" s="439">
        <v>46513</v>
      </c>
      <c r="S78" s="440"/>
      <c r="T78" s="441"/>
    </row>
    <row r="79" spans="1:20" s="349" customFormat="1">
      <c r="A79" s="1040" t="s">
        <v>842</v>
      </c>
      <c r="B79" s="1041">
        <v>46107</v>
      </c>
      <c r="C79" s="1042">
        <f t="shared" si="20"/>
        <v>2026</v>
      </c>
      <c r="D79" s="1043">
        <f t="shared" si="21"/>
        <v>46107</v>
      </c>
      <c r="E79" s="1133" t="s">
        <v>1029</v>
      </c>
      <c r="F79" s="1044">
        <f t="shared" ca="1" si="1"/>
        <v>26.714285714285715</v>
      </c>
      <c r="G79" s="1041" t="s">
        <v>999</v>
      </c>
      <c r="H79" s="1045">
        <v>10196</v>
      </c>
      <c r="I79" s="1230">
        <v>5.44</v>
      </c>
      <c r="J79" s="1040" t="s">
        <v>555</v>
      </c>
      <c r="K79" s="1134">
        <f>D92-M79</f>
        <v>29</v>
      </c>
      <c r="L79" s="1050" t="s">
        <v>859</v>
      </c>
      <c r="M79" s="323">
        <v>46206</v>
      </c>
      <c r="N79" s="326">
        <f t="shared" si="2"/>
        <v>46247</v>
      </c>
      <c r="O79" s="1138" t="s">
        <v>1732</v>
      </c>
      <c r="P79" s="351" t="s">
        <v>953</v>
      </c>
      <c r="Q79" s="438"/>
      <c r="R79" s="439">
        <v>46513</v>
      </c>
      <c r="S79" s="440"/>
      <c r="T79" s="441"/>
    </row>
    <row r="80" spans="1:20" s="349" customFormat="1">
      <c r="A80" s="1040" t="s">
        <v>842</v>
      </c>
      <c r="B80" s="1041">
        <v>46107</v>
      </c>
      <c r="C80" s="1042">
        <f t="shared" si="20"/>
        <v>2026</v>
      </c>
      <c r="D80" s="1043">
        <f t="shared" si="21"/>
        <v>46107</v>
      </c>
      <c r="E80" s="1133" t="s">
        <v>1029</v>
      </c>
      <c r="F80" s="1044">
        <f t="shared" ca="1" si="1"/>
        <v>26.714285714285715</v>
      </c>
      <c r="G80" s="1041" t="s">
        <v>862</v>
      </c>
      <c r="H80" s="1045">
        <v>10198</v>
      </c>
      <c r="I80" s="1230">
        <v>5.44</v>
      </c>
      <c r="J80" s="1040" t="s">
        <v>555</v>
      </c>
      <c r="K80" s="1134">
        <f>D91-M80</f>
        <v>29</v>
      </c>
      <c r="L80" s="1050" t="s">
        <v>859</v>
      </c>
      <c r="M80" s="323">
        <v>46206</v>
      </c>
      <c r="N80" s="326">
        <f t="shared" si="2"/>
        <v>46247</v>
      </c>
      <c r="O80" s="1138" t="s">
        <v>1732</v>
      </c>
      <c r="P80" s="351" t="s">
        <v>953</v>
      </c>
      <c r="Q80" s="438"/>
      <c r="R80" s="439">
        <v>46513</v>
      </c>
      <c r="S80" s="440"/>
      <c r="T80" s="441"/>
    </row>
    <row r="81" spans="1:21" s="349" customFormat="1">
      <c r="A81" s="1040" t="s">
        <v>842</v>
      </c>
      <c r="B81" s="1041">
        <v>46107</v>
      </c>
      <c r="C81" s="1042">
        <f t="shared" si="20"/>
        <v>2026</v>
      </c>
      <c r="D81" s="1043">
        <f t="shared" si="21"/>
        <v>46107</v>
      </c>
      <c r="E81" s="1133" t="s">
        <v>1029</v>
      </c>
      <c r="F81" s="1044">
        <f t="shared" ca="1" si="1"/>
        <v>26.714285714285715</v>
      </c>
      <c r="G81" s="1041" t="s">
        <v>853</v>
      </c>
      <c r="H81" s="1045">
        <v>45891</v>
      </c>
      <c r="I81" s="1230">
        <v>5.44</v>
      </c>
      <c r="J81" s="1040" t="s">
        <v>555</v>
      </c>
      <c r="K81" s="1134">
        <f>B93-M81</f>
        <v>32</v>
      </c>
      <c r="L81" s="1050" t="s">
        <v>859</v>
      </c>
      <c r="M81" s="323">
        <v>46206</v>
      </c>
      <c r="N81" s="326">
        <f t="shared" si="2"/>
        <v>46247</v>
      </c>
      <c r="O81" s="1138" t="s">
        <v>1732</v>
      </c>
      <c r="P81" s="351" t="s">
        <v>953</v>
      </c>
      <c r="Q81" s="438"/>
      <c r="R81" s="439">
        <v>46513</v>
      </c>
      <c r="S81" s="440"/>
      <c r="T81" s="441"/>
      <c r="U81" s="1140"/>
    </row>
    <row r="82" spans="1:21" s="349" customFormat="1">
      <c r="A82" s="1040" t="s">
        <v>842</v>
      </c>
      <c r="B82" s="1041">
        <v>46107</v>
      </c>
      <c r="C82" s="1042">
        <f t="shared" si="20"/>
        <v>2026</v>
      </c>
      <c r="D82" s="1043">
        <f t="shared" si="21"/>
        <v>46107</v>
      </c>
      <c r="E82" s="1133" t="s">
        <v>1029</v>
      </c>
      <c r="F82" s="1044">
        <f t="shared" ca="1" si="1"/>
        <v>26.714285714285715</v>
      </c>
      <c r="G82" s="1041" t="s">
        <v>858</v>
      </c>
      <c r="H82" s="1045">
        <v>57990</v>
      </c>
      <c r="I82" s="1230">
        <v>5.44</v>
      </c>
      <c r="J82" s="1040" t="s">
        <v>555</v>
      </c>
      <c r="K82" s="1134">
        <f>B94-M82</f>
        <v>39</v>
      </c>
      <c r="L82" s="1050" t="s">
        <v>859</v>
      </c>
      <c r="M82" s="323">
        <v>46206</v>
      </c>
      <c r="N82" s="326">
        <f t="shared" si="2"/>
        <v>46247</v>
      </c>
      <c r="O82" s="1138" t="s">
        <v>1732</v>
      </c>
      <c r="P82" s="351" t="s">
        <v>953</v>
      </c>
      <c r="Q82" s="438"/>
      <c r="R82" s="439">
        <v>46513</v>
      </c>
      <c r="S82" s="440"/>
      <c r="T82" s="441"/>
      <c r="U82" s="1140"/>
    </row>
    <row r="83" spans="1:21">
      <c r="A83" s="1040" t="s">
        <v>842</v>
      </c>
      <c r="B83" s="1137">
        <v>46140</v>
      </c>
      <c r="C83" s="1040">
        <f>YEAR(B83)</f>
        <v>2026</v>
      </c>
      <c r="D83" s="1043">
        <f t="shared" ref="D83:D84" si="22">B83</f>
        <v>46140</v>
      </c>
      <c r="E83" s="1133" t="s">
        <v>1030</v>
      </c>
      <c r="F83" s="1044">
        <f ca="1">IF((TODAY()-D83)/7&gt;R83,T83,(TODAY()-D83)/7)</f>
        <v>22</v>
      </c>
      <c r="G83" s="1041" t="s">
        <v>1031</v>
      </c>
      <c r="H83" s="1045">
        <v>18613</v>
      </c>
      <c r="I83" s="1230">
        <v>30.71</v>
      </c>
      <c r="J83" s="1040" t="s">
        <v>555</v>
      </c>
      <c r="K83" s="1134">
        <f>B102-M83</f>
        <v>100</v>
      </c>
      <c r="L83" s="1050" t="s">
        <v>859</v>
      </c>
      <c r="M83" s="326">
        <f>D83+(16*7)</f>
        <v>46252</v>
      </c>
      <c r="N83" s="326">
        <f>D83+20*7</f>
        <v>46280</v>
      </c>
      <c r="O83" s="1124" t="s">
        <v>1733</v>
      </c>
      <c r="P83" s="351" t="s">
        <v>922</v>
      </c>
      <c r="Q83" s="327">
        <f>H83-H83*0.05</f>
        <v>17682.349999999999</v>
      </c>
      <c r="R83" s="328">
        <v>46703</v>
      </c>
      <c r="S83" s="329">
        <v>80</v>
      </c>
      <c r="T83" s="356">
        <f>M130-R83</f>
        <v>48</v>
      </c>
      <c r="U83" s="1136"/>
    </row>
    <row r="84" spans="1:21">
      <c r="A84" s="1040" t="s">
        <v>842</v>
      </c>
      <c r="B84" s="1137">
        <v>46147</v>
      </c>
      <c r="C84" s="1040">
        <f>YEAR(B84)</f>
        <v>2026</v>
      </c>
      <c r="D84" s="1043">
        <f t="shared" si="22"/>
        <v>46147</v>
      </c>
      <c r="E84" s="1133" t="s">
        <v>1030</v>
      </c>
      <c r="F84" s="1044">
        <f ca="1">IF((TODAY()-D84)/7&gt;R84,T84,(TODAY()-D84)/7)</f>
        <v>21</v>
      </c>
      <c r="G84" s="1041" t="s">
        <v>1032</v>
      </c>
      <c r="H84" s="1045">
        <v>28081</v>
      </c>
      <c r="I84" s="1230">
        <v>30.71</v>
      </c>
      <c r="J84" s="1040" t="s">
        <v>555</v>
      </c>
      <c r="K84" s="1134">
        <f>D104-M84</f>
        <v>102</v>
      </c>
      <c r="L84" s="1050" t="s">
        <v>859</v>
      </c>
      <c r="M84" s="326">
        <f>D84+(16*7)</f>
        <v>46259</v>
      </c>
      <c r="N84" s="326">
        <f>D84+20*7</f>
        <v>46287</v>
      </c>
      <c r="O84" s="1124" t="s">
        <v>1733</v>
      </c>
      <c r="P84" s="351" t="s">
        <v>926</v>
      </c>
      <c r="Q84" s="327">
        <f>H84-H84*0.05</f>
        <v>26676.95</v>
      </c>
      <c r="R84" s="328">
        <v>46703</v>
      </c>
      <c r="S84" s="329">
        <v>80</v>
      </c>
      <c r="T84" s="356">
        <f>M132-R84</f>
        <v>48</v>
      </c>
      <c r="U84" s="1136"/>
    </row>
    <row r="85" spans="1:21">
      <c r="A85" s="1040" t="s">
        <v>842</v>
      </c>
      <c r="B85" s="1041">
        <v>46169</v>
      </c>
      <c r="C85" s="1040">
        <f>YEAR(B85)</f>
        <v>2026</v>
      </c>
      <c r="D85" s="1043">
        <v>46169</v>
      </c>
      <c r="E85" s="1133" t="s">
        <v>1033</v>
      </c>
      <c r="F85" s="1044">
        <f ca="1">IF((TODAY()-D85)/7&gt;R85,T85,(TODAY()-D85)/7)</f>
        <v>17.857142857142858</v>
      </c>
      <c r="G85" s="1041" t="s">
        <v>1034</v>
      </c>
      <c r="H85" s="1045">
        <v>13376</v>
      </c>
      <c r="I85" s="1230">
        <v>32.799999999999997</v>
      </c>
      <c r="J85" s="1133" t="s">
        <v>555</v>
      </c>
      <c r="K85" s="1134">
        <f>T85</f>
        <v>39</v>
      </c>
      <c r="L85" s="1050" t="s">
        <v>859</v>
      </c>
      <c r="M85" s="336">
        <f>D85+(16*7)</f>
        <v>46281</v>
      </c>
      <c r="N85" s="336">
        <f>D85+20*7</f>
        <v>46309</v>
      </c>
      <c r="O85" s="1139"/>
      <c r="P85" s="352" t="s">
        <v>1034</v>
      </c>
      <c r="Q85" s="337">
        <f>H85-H85*0.05</f>
        <v>12707.2</v>
      </c>
      <c r="R85" s="338">
        <v>46729</v>
      </c>
      <c r="S85" s="339">
        <v>80</v>
      </c>
      <c r="T85" s="355">
        <f>B139-R85</f>
        <v>39</v>
      </c>
      <c r="U85" s="1136"/>
    </row>
    <row r="86" spans="1:21">
      <c r="A86" s="1040" t="s">
        <v>842</v>
      </c>
      <c r="B86" s="1041">
        <v>46169</v>
      </c>
      <c r="C86" s="1040">
        <f>YEAR(B86)</f>
        <v>2026</v>
      </c>
      <c r="D86" s="1043">
        <v>46169</v>
      </c>
      <c r="E86" s="1133" t="s">
        <v>1035</v>
      </c>
      <c r="F86" s="1044">
        <f ca="1">IF((TODAY()-D86)/7&gt;R86,T86,(TODAY()-D86)/7)</f>
        <v>17.857142857142858</v>
      </c>
      <c r="G86" s="1041" t="s">
        <v>1034</v>
      </c>
      <c r="H86" s="1045">
        <v>13696</v>
      </c>
      <c r="I86" s="1230">
        <v>32.799999999999997</v>
      </c>
      <c r="J86" s="1133" t="s">
        <v>555</v>
      </c>
      <c r="K86" s="1134">
        <f>T86</f>
        <v>39</v>
      </c>
      <c r="L86" s="1051" t="s">
        <v>845</v>
      </c>
      <c r="M86" s="336">
        <f>D86+(16*7)</f>
        <v>46281</v>
      </c>
      <c r="N86" s="336">
        <f>D86+20*7</f>
        <v>46309</v>
      </c>
      <c r="O86" s="1139"/>
      <c r="P86" s="352" t="s">
        <v>1034</v>
      </c>
      <c r="Q86" s="337">
        <f>H86-H86*0.05</f>
        <v>13011.2</v>
      </c>
      <c r="R86" s="338">
        <v>46729</v>
      </c>
      <c r="S86" s="339">
        <v>80</v>
      </c>
      <c r="T86" s="355">
        <f>B140-R86</f>
        <v>39</v>
      </c>
      <c r="U86" s="1136"/>
    </row>
    <row r="87" spans="1:21">
      <c r="A87" s="1040" t="s">
        <v>842</v>
      </c>
      <c r="B87" s="1342">
        <v>46186</v>
      </c>
      <c r="C87" s="1040">
        <f>YEAR(B87)</f>
        <v>2026</v>
      </c>
      <c r="D87" s="1043">
        <f>B87</f>
        <v>46186</v>
      </c>
      <c r="E87" s="1331" t="s">
        <v>1738</v>
      </c>
      <c r="F87" s="1044">
        <f ca="1">IF((TODAY()-D87)/7&gt;R87,T87,(TODAY()-D87)/7)</f>
        <v>0</v>
      </c>
      <c r="G87" s="1041" t="s">
        <v>1739</v>
      </c>
      <c r="H87" s="1045">
        <v>56858</v>
      </c>
      <c r="I87" s="1230"/>
      <c r="J87" s="1040" t="s">
        <v>555</v>
      </c>
      <c r="K87" s="1332"/>
      <c r="L87" s="1049" t="s">
        <v>854</v>
      </c>
      <c r="M87" s="326">
        <f>D87+(16*7)</f>
        <v>46298</v>
      </c>
      <c r="N87" s="326">
        <f>D87+20*7</f>
        <v>46326</v>
      </c>
      <c r="O87" s="1328" t="s">
        <v>1738</v>
      </c>
      <c r="P87" s="351" t="s">
        <v>1010</v>
      </c>
      <c r="Q87" s="327">
        <f>H87-H87*0.05</f>
        <v>54015.1</v>
      </c>
      <c r="R87" s="328"/>
      <c r="S87" s="329"/>
      <c r="T87" s="356"/>
      <c r="U87" s="1330"/>
    </row>
    <row r="88" spans="1:21">
      <c r="A88" s="1040" t="s">
        <v>842</v>
      </c>
      <c r="B88" s="1041">
        <v>46209</v>
      </c>
      <c r="C88" s="1040">
        <f t="shared" ref="C88:C111" si="23">YEAR(B88)</f>
        <v>2026</v>
      </c>
      <c r="D88" s="1043">
        <v>46209</v>
      </c>
      <c r="E88" s="1133" t="s">
        <v>1033</v>
      </c>
      <c r="F88" s="1044">
        <f t="shared" ref="F88:F105" ca="1" si="24">IF((TODAY()-D88)/7&gt;R88,T88,(TODAY()-D88)/7)</f>
        <v>12.142857142857142</v>
      </c>
      <c r="G88" s="1041" t="s">
        <v>1036</v>
      </c>
      <c r="H88" s="1045">
        <v>17216</v>
      </c>
      <c r="I88" s="1230">
        <v>35.56</v>
      </c>
      <c r="J88" s="1133" t="s">
        <v>555</v>
      </c>
      <c r="K88" s="1134">
        <f>T88</f>
        <v>53</v>
      </c>
      <c r="L88" s="1050" t="s">
        <v>859</v>
      </c>
      <c r="M88" s="336">
        <f t="shared" ref="M88:M111" si="25">D88+(16*7)</f>
        <v>46321</v>
      </c>
      <c r="N88" s="336">
        <f t="shared" ref="N88:N111" si="26">D88+20*7</f>
        <v>46349</v>
      </c>
      <c r="O88" s="1139"/>
      <c r="P88" s="352" t="s">
        <v>1036</v>
      </c>
      <c r="Q88" s="337">
        <f t="shared" ref="Q88:Q111" si="27">H88-H88*0.05</f>
        <v>16355.2</v>
      </c>
      <c r="R88" s="338">
        <v>46769</v>
      </c>
      <c r="S88" s="339">
        <v>80</v>
      </c>
      <c r="T88" s="355">
        <f>B142-R88</f>
        <v>53</v>
      </c>
      <c r="U88" s="1136"/>
    </row>
    <row r="89" spans="1:21">
      <c r="A89" s="1040" t="s">
        <v>842</v>
      </c>
      <c r="B89" s="1041">
        <v>46209</v>
      </c>
      <c r="C89" s="1040">
        <f t="shared" si="23"/>
        <v>2026</v>
      </c>
      <c r="D89" s="1043">
        <v>46209</v>
      </c>
      <c r="E89" s="1133" t="s">
        <v>1035</v>
      </c>
      <c r="F89" s="1044">
        <f t="shared" ca="1" si="24"/>
        <v>12.142857142857142</v>
      </c>
      <c r="G89" s="1041" t="s">
        <v>1036</v>
      </c>
      <c r="H89" s="1045">
        <v>28480</v>
      </c>
      <c r="I89" s="1230">
        <v>34.380000000000003</v>
      </c>
      <c r="J89" s="1133" t="s">
        <v>555</v>
      </c>
      <c r="K89" s="1134">
        <f>T89</f>
        <v>53</v>
      </c>
      <c r="L89" s="1051" t="s">
        <v>845</v>
      </c>
      <c r="M89" s="336">
        <f t="shared" si="25"/>
        <v>46321</v>
      </c>
      <c r="N89" s="336">
        <f t="shared" si="26"/>
        <v>46349</v>
      </c>
      <c r="O89" s="1139"/>
      <c r="P89" s="352" t="s">
        <v>1036</v>
      </c>
      <c r="Q89" s="337">
        <f t="shared" si="27"/>
        <v>27056</v>
      </c>
      <c r="R89" s="338">
        <v>46769</v>
      </c>
      <c r="S89" s="339">
        <v>80</v>
      </c>
      <c r="T89" s="355">
        <f>B143-R89</f>
        <v>53</v>
      </c>
      <c r="U89" s="1136"/>
    </row>
    <row r="90" spans="1:21">
      <c r="A90" s="1040" t="s">
        <v>842</v>
      </c>
      <c r="B90" s="1041">
        <v>46235</v>
      </c>
      <c r="C90" s="1040">
        <f t="shared" si="23"/>
        <v>2026</v>
      </c>
      <c r="D90" s="1043">
        <v>46235</v>
      </c>
      <c r="E90" s="1133" t="s">
        <v>1711</v>
      </c>
      <c r="F90" s="1044">
        <f t="shared" ca="1" si="24"/>
        <v>8.4285714285714288</v>
      </c>
      <c r="G90" s="1041" t="s">
        <v>1039</v>
      </c>
      <c r="H90" s="1045">
        <v>9787</v>
      </c>
      <c r="I90" s="1230">
        <v>61.66</v>
      </c>
      <c r="J90" s="1331" t="s">
        <v>555</v>
      </c>
      <c r="K90" s="1332">
        <f>D137-M90</f>
        <v>384</v>
      </c>
      <c r="L90" s="1049" t="s">
        <v>854</v>
      </c>
      <c r="M90" s="326">
        <f t="shared" si="25"/>
        <v>46347</v>
      </c>
      <c r="N90" s="326">
        <f t="shared" si="26"/>
        <v>46375</v>
      </c>
      <c r="O90" s="1124"/>
      <c r="P90" s="351" t="s">
        <v>935</v>
      </c>
      <c r="Q90" s="327">
        <f t="shared" si="27"/>
        <v>9297.65</v>
      </c>
      <c r="R90" s="328">
        <f t="shared" ref="R90:R105" si="28">D90+(S90*7)-1</f>
        <v>46794</v>
      </c>
      <c r="S90" s="329">
        <v>80</v>
      </c>
      <c r="T90" s="356">
        <f>N134-R90</f>
        <v>77</v>
      </c>
      <c r="U90" s="1136"/>
    </row>
    <row r="91" spans="1:21">
      <c r="A91" s="1040" t="s">
        <v>842</v>
      </c>
      <c r="B91" s="1041">
        <v>46235</v>
      </c>
      <c r="C91" s="1040">
        <f>YEAR(B91)</f>
        <v>2026</v>
      </c>
      <c r="D91" s="1043">
        <v>46235</v>
      </c>
      <c r="E91" s="1331" t="s">
        <v>1710</v>
      </c>
      <c r="F91" s="1044">
        <f ca="1">IF((TODAY()-D91)/7&gt;R91,T91,(TODAY()-D91)/7)</f>
        <v>8.4285714285714288</v>
      </c>
      <c r="G91" s="1041" t="s">
        <v>1716</v>
      </c>
      <c r="H91" s="1045">
        <v>5758</v>
      </c>
      <c r="I91" s="1230">
        <v>61.66</v>
      </c>
      <c r="J91" s="1331" t="s">
        <v>555</v>
      </c>
      <c r="K91" s="1332">
        <f>D135-M91</f>
        <v>384</v>
      </c>
      <c r="L91" s="1051" t="s">
        <v>845</v>
      </c>
      <c r="M91" s="326">
        <f>D91+(16*7)</f>
        <v>46347</v>
      </c>
      <c r="N91" s="326">
        <f>D91+20*7</f>
        <v>46375</v>
      </c>
      <c r="O91" s="1328"/>
      <c r="P91" s="351" t="s">
        <v>939</v>
      </c>
      <c r="Q91" s="327">
        <f>H91-H91*0.05</f>
        <v>5470.1</v>
      </c>
      <c r="R91" s="328">
        <f>D91+(S91*7)-1</f>
        <v>46794</v>
      </c>
      <c r="S91" s="329">
        <v>80</v>
      </c>
      <c r="T91" s="356">
        <f>N135-R91</f>
        <v>77</v>
      </c>
      <c r="U91" s="1330"/>
    </row>
    <row r="92" spans="1:21">
      <c r="A92" s="1040" t="s">
        <v>842</v>
      </c>
      <c r="B92" s="1041">
        <v>46235</v>
      </c>
      <c r="C92" s="1040">
        <f t="shared" si="23"/>
        <v>2026</v>
      </c>
      <c r="D92" s="1043">
        <v>46235</v>
      </c>
      <c r="E92" s="1133" t="s">
        <v>1713</v>
      </c>
      <c r="F92" s="1044">
        <f t="shared" ca="1" si="24"/>
        <v>8.4285714285714288</v>
      </c>
      <c r="G92" s="1041" t="s">
        <v>1712</v>
      </c>
      <c r="H92" s="1045">
        <v>10365</v>
      </c>
      <c r="I92" s="1230">
        <v>61.66</v>
      </c>
      <c r="J92" s="1133" t="s">
        <v>555</v>
      </c>
      <c r="K92" s="1134">
        <f>D134-M92</f>
        <v>384</v>
      </c>
      <c r="L92" s="1048" t="s">
        <v>850</v>
      </c>
      <c r="M92" s="326">
        <f t="shared" si="25"/>
        <v>46347</v>
      </c>
      <c r="N92" s="326">
        <f t="shared" si="26"/>
        <v>46375</v>
      </c>
      <c r="O92" s="1124"/>
      <c r="P92" s="351" t="s">
        <v>939</v>
      </c>
      <c r="Q92" s="327">
        <f t="shared" si="27"/>
        <v>9846.75</v>
      </c>
      <c r="R92" s="328">
        <f t="shared" si="28"/>
        <v>46794</v>
      </c>
      <c r="S92" s="329">
        <v>80</v>
      </c>
      <c r="T92" s="356">
        <f>N134-R92</f>
        <v>77</v>
      </c>
      <c r="U92" s="1136"/>
    </row>
    <row r="93" spans="1:21">
      <c r="A93" s="1040" t="s">
        <v>842</v>
      </c>
      <c r="B93" s="1041">
        <v>46238</v>
      </c>
      <c r="C93" s="1040">
        <f t="shared" si="23"/>
        <v>2026</v>
      </c>
      <c r="D93" s="1043">
        <v>46238</v>
      </c>
      <c r="E93" s="1133" t="s">
        <v>1714</v>
      </c>
      <c r="F93" s="1044">
        <f t="shared" ca="1" si="24"/>
        <v>8</v>
      </c>
      <c r="G93" s="1041" t="s">
        <v>1039</v>
      </c>
      <c r="H93" s="1045">
        <v>15914</v>
      </c>
      <c r="I93" s="1230">
        <v>62.71</v>
      </c>
      <c r="J93" s="1133" t="s">
        <v>555</v>
      </c>
      <c r="K93" s="1134">
        <f>D137-M93</f>
        <v>381</v>
      </c>
      <c r="L93" s="1051" t="s">
        <v>845</v>
      </c>
      <c r="M93" s="326">
        <f t="shared" si="25"/>
        <v>46350</v>
      </c>
      <c r="N93" s="326">
        <f t="shared" si="26"/>
        <v>46378</v>
      </c>
      <c r="O93" s="1124"/>
      <c r="P93" s="351" t="s">
        <v>1038</v>
      </c>
      <c r="Q93" s="327">
        <f t="shared" si="27"/>
        <v>15118.3</v>
      </c>
      <c r="R93" s="328">
        <f t="shared" si="28"/>
        <v>46797</v>
      </c>
      <c r="S93" s="329">
        <v>80</v>
      </c>
      <c r="T93" s="356">
        <f>N136-R93</f>
        <v>74</v>
      </c>
      <c r="U93" s="1136"/>
    </row>
    <row r="94" spans="1:21">
      <c r="A94" s="1040" t="s">
        <v>842</v>
      </c>
      <c r="B94" s="1041">
        <v>46245</v>
      </c>
      <c r="C94" s="1040">
        <f t="shared" si="23"/>
        <v>2026</v>
      </c>
      <c r="D94" s="1043">
        <v>46245</v>
      </c>
      <c r="E94" s="1133" t="s">
        <v>1715</v>
      </c>
      <c r="F94" s="1044">
        <f t="shared" ca="1" si="24"/>
        <v>7</v>
      </c>
      <c r="G94" s="1041" t="s">
        <v>1037</v>
      </c>
      <c r="H94" s="1045">
        <v>29811</v>
      </c>
      <c r="I94" s="1230">
        <v>62.89</v>
      </c>
      <c r="J94" s="1133" t="s">
        <v>555</v>
      </c>
      <c r="K94" s="1134">
        <f>D136-M94</f>
        <v>374</v>
      </c>
      <c r="L94" s="1050" t="s">
        <v>859</v>
      </c>
      <c r="M94" s="326">
        <f t="shared" si="25"/>
        <v>46357</v>
      </c>
      <c r="N94" s="326">
        <f t="shared" si="26"/>
        <v>46385</v>
      </c>
      <c r="O94" s="1124"/>
      <c r="P94" s="351" t="s">
        <v>947</v>
      </c>
      <c r="Q94" s="327">
        <f t="shared" si="27"/>
        <v>28320.45</v>
      </c>
      <c r="R94" s="328">
        <f t="shared" si="28"/>
        <v>46804</v>
      </c>
      <c r="S94" s="329">
        <v>80</v>
      </c>
      <c r="T94" s="356">
        <f>N137-R94</f>
        <v>67</v>
      </c>
      <c r="U94" s="1136"/>
    </row>
    <row r="95" spans="1:21">
      <c r="A95" s="1040" t="s">
        <v>842</v>
      </c>
      <c r="B95" s="1041">
        <v>46246</v>
      </c>
      <c r="C95" s="1040">
        <f>YEAR(B95)</f>
        <v>2026</v>
      </c>
      <c r="D95" s="1043">
        <v>46246</v>
      </c>
      <c r="E95" s="1331" t="s">
        <v>1710</v>
      </c>
      <c r="F95" s="1044">
        <f ca="1">IF((TODAY()-D95)/7&gt;R95,T95,(TODAY()-D95)/7)</f>
        <v>6.8571428571428568</v>
      </c>
      <c r="G95" s="1041" t="s">
        <v>1716</v>
      </c>
      <c r="H95" s="1045">
        <v>5753</v>
      </c>
      <c r="I95" s="1230">
        <v>62.89</v>
      </c>
      <c r="J95" s="1331" t="s">
        <v>555</v>
      </c>
      <c r="K95" s="1332">
        <f>K91</f>
        <v>384</v>
      </c>
      <c r="L95" s="1051" t="s">
        <v>845</v>
      </c>
      <c r="M95" s="326">
        <f>D95+(16*7)</f>
        <v>46358</v>
      </c>
      <c r="N95" s="326">
        <f>D95+20*7</f>
        <v>46386</v>
      </c>
      <c r="O95" s="1328"/>
      <c r="P95" s="351" t="s">
        <v>1040</v>
      </c>
      <c r="Q95" s="327">
        <f>H95-H95*0.05</f>
        <v>5465.35</v>
      </c>
      <c r="R95" s="328">
        <f>D95+(S95*7)-1</f>
        <v>46805</v>
      </c>
      <c r="S95" s="329">
        <v>80</v>
      </c>
      <c r="T95" s="356">
        <f>N136-R95</f>
        <v>66</v>
      </c>
      <c r="U95" s="1330"/>
    </row>
    <row r="96" spans="1:21">
      <c r="A96" s="1040" t="s">
        <v>842</v>
      </c>
      <c r="B96" s="1041">
        <v>46260</v>
      </c>
      <c r="C96" s="1040">
        <f>YEAR(B96)</f>
        <v>2026</v>
      </c>
      <c r="D96" s="1043">
        <v>46260</v>
      </c>
      <c r="E96" s="1133" t="s">
        <v>1709</v>
      </c>
      <c r="F96" s="1044">
        <f ca="1">IF((TODAY()-D96)/7&gt;R96,T96,(TODAY()-D96)/7)</f>
        <v>4.8571428571428568</v>
      </c>
      <c r="G96" s="1041" t="s">
        <v>955</v>
      </c>
      <c r="H96" s="1045">
        <v>11520</v>
      </c>
      <c r="I96" s="1230">
        <v>63.7</v>
      </c>
      <c r="J96" s="1331" t="s">
        <v>555</v>
      </c>
      <c r="K96" s="1332">
        <f>D107-M96</f>
        <v>8</v>
      </c>
      <c r="L96" s="1051" t="s">
        <v>845</v>
      </c>
      <c r="M96" s="326">
        <f>D96+(16*7)</f>
        <v>46372</v>
      </c>
      <c r="N96" s="326">
        <f>D96+20*7</f>
        <v>46400</v>
      </c>
      <c r="O96" s="1124"/>
      <c r="P96" s="357" t="s">
        <v>1708</v>
      </c>
      <c r="Q96" s="327">
        <f>H96-H96*0.05</f>
        <v>10944</v>
      </c>
      <c r="R96" s="328">
        <v>46811</v>
      </c>
      <c r="S96" s="329">
        <v>79</v>
      </c>
      <c r="T96" s="356">
        <f>N138-R96</f>
        <v>70</v>
      </c>
      <c r="U96" s="1136"/>
    </row>
    <row r="97" spans="1:21">
      <c r="A97" s="1040" t="s">
        <v>842</v>
      </c>
      <c r="B97" s="1041">
        <v>46260</v>
      </c>
      <c r="C97" s="1040">
        <f>YEAR(B97)</f>
        <v>2026</v>
      </c>
      <c r="D97" s="1043">
        <v>46260</v>
      </c>
      <c r="E97" s="1331" t="s">
        <v>1710</v>
      </c>
      <c r="F97" s="1044">
        <f ca="1">IF((TODAY()-D97)/7&gt;R97,T97,(TODAY()-D97)/7)</f>
        <v>4.8571428571428568</v>
      </c>
      <c r="G97" s="1041" t="s">
        <v>955</v>
      </c>
      <c r="H97" s="1045">
        <v>11520</v>
      </c>
      <c r="I97" s="1230">
        <v>63.7</v>
      </c>
      <c r="J97" s="1331" t="s">
        <v>555</v>
      </c>
      <c r="K97" s="1332">
        <f>D107-M97</f>
        <v>8</v>
      </c>
      <c r="L97" s="1048" t="s">
        <v>850</v>
      </c>
      <c r="M97" s="326">
        <f>D97+(16*7)</f>
        <v>46372</v>
      </c>
      <c r="N97" s="326">
        <f>D97+20*7</f>
        <v>46400</v>
      </c>
      <c r="O97" s="1328"/>
      <c r="P97" s="357" t="s">
        <v>957</v>
      </c>
      <c r="Q97" s="327">
        <f>H97-H97*0.05</f>
        <v>10944</v>
      </c>
      <c r="R97" s="328">
        <v>46811</v>
      </c>
      <c r="S97" s="329">
        <v>79</v>
      </c>
      <c r="T97" s="356">
        <f>N138-R97</f>
        <v>70</v>
      </c>
      <c r="U97" s="1330"/>
    </row>
    <row r="98" spans="1:21">
      <c r="A98" s="1040" t="s">
        <v>842</v>
      </c>
      <c r="B98" s="1041">
        <v>46267</v>
      </c>
      <c r="C98" s="1040">
        <f>YEAR(B98)</f>
        <v>2026</v>
      </c>
      <c r="D98" s="1043">
        <v>46267</v>
      </c>
      <c r="E98" s="1331" t="s">
        <v>1709</v>
      </c>
      <c r="F98" s="1044">
        <f ca="1">IF((TODAY()-D98)/7&gt;R98,T98,(TODAY()-D98)/7)</f>
        <v>3.8571428571428572</v>
      </c>
      <c r="G98" s="1041" t="s">
        <v>955</v>
      </c>
      <c r="H98" s="1045">
        <v>22912</v>
      </c>
      <c r="I98" s="1230">
        <v>64.09</v>
      </c>
      <c r="J98" s="1331" t="s">
        <v>555</v>
      </c>
      <c r="K98" s="1332">
        <f>D108-M98</f>
        <v>6</v>
      </c>
      <c r="L98" s="1051" t="s">
        <v>845</v>
      </c>
      <c r="M98" s="326">
        <f>D98+(16*7)</f>
        <v>46379</v>
      </c>
      <c r="N98" s="326">
        <f>D98+20*7</f>
        <v>46407</v>
      </c>
      <c r="O98" s="1328"/>
      <c r="P98" s="357" t="s">
        <v>959</v>
      </c>
      <c r="Q98" s="327">
        <f>H98-H98*0.05</f>
        <v>21766.400000000001</v>
      </c>
      <c r="R98" s="328">
        <v>46811</v>
      </c>
      <c r="S98" s="329">
        <v>78</v>
      </c>
      <c r="T98" s="356">
        <f>N138-R98</f>
        <v>70</v>
      </c>
      <c r="U98" s="1330"/>
    </row>
    <row r="99" spans="1:21">
      <c r="A99" s="332" t="s">
        <v>842</v>
      </c>
      <c r="B99" s="352">
        <v>46276</v>
      </c>
      <c r="C99" s="333">
        <f t="shared" si="23"/>
        <v>2026</v>
      </c>
      <c r="D99" s="334">
        <v>46276</v>
      </c>
      <c r="E99" s="1139"/>
      <c r="F99" s="335">
        <f t="shared" ca="1" si="24"/>
        <v>2.5714285714285716</v>
      </c>
      <c r="G99" s="352" t="s">
        <v>912</v>
      </c>
      <c r="H99" s="353">
        <v>14560</v>
      </c>
      <c r="I99" s="353"/>
      <c r="J99" s="1139"/>
      <c r="K99" s="1141">
        <f>T99</f>
        <v>43</v>
      </c>
      <c r="L99" s="1050" t="s">
        <v>859</v>
      </c>
      <c r="M99" s="336">
        <f t="shared" si="25"/>
        <v>46388</v>
      </c>
      <c r="N99" s="336">
        <f t="shared" si="26"/>
        <v>46416</v>
      </c>
      <c r="O99" s="1139"/>
      <c r="P99" s="354" t="s">
        <v>914</v>
      </c>
      <c r="Q99" s="337">
        <f t="shared" si="27"/>
        <v>13832</v>
      </c>
      <c r="R99" s="338">
        <v>46836</v>
      </c>
      <c r="S99" s="339">
        <v>80</v>
      </c>
      <c r="T99" s="355">
        <f>B144-R99</f>
        <v>43</v>
      </c>
      <c r="U99" s="1136"/>
    </row>
    <row r="100" spans="1:21">
      <c r="A100" s="332" t="s">
        <v>842</v>
      </c>
      <c r="B100" s="352">
        <v>46281</v>
      </c>
      <c r="C100" s="333">
        <f t="shared" si="23"/>
        <v>2026</v>
      </c>
      <c r="D100" s="334">
        <v>46281</v>
      </c>
      <c r="E100" s="1139"/>
      <c r="F100" s="335">
        <f t="shared" ca="1" si="24"/>
        <v>1.8571428571428572</v>
      </c>
      <c r="G100" s="352" t="s">
        <v>912</v>
      </c>
      <c r="H100" s="353">
        <v>28000</v>
      </c>
      <c r="I100" s="353"/>
      <c r="J100" s="1139"/>
      <c r="K100" s="1141">
        <f>T100</f>
        <v>38</v>
      </c>
      <c r="L100" s="1051" t="s">
        <v>845</v>
      </c>
      <c r="M100" s="336">
        <f t="shared" si="25"/>
        <v>46393</v>
      </c>
      <c r="N100" s="336">
        <f t="shared" si="26"/>
        <v>46421</v>
      </c>
      <c r="O100" s="1139"/>
      <c r="P100" s="354" t="s">
        <v>914</v>
      </c>
      <c r="Q100" s="337">
        <f t="shared" si="27"/>
        <v>26600</v>
      </c>
      <c r="R100" s="338">
        <v>46841</v>
      </c>
      <c r="S100" s="339">
        <v>80</v>
      </c>
      <c r="T100" s="355">
        <f>B145-R100</f>
        <v>38</v>
      </c>
      <c r="U100" s="1136"/>
    </row>
    <row r="101" spans="1:21">
      <c r="A101" s="321" t="s">
        <v>842</v>
      </c>
      <c r="B101" s="347">
        <v>46326</v>
      </c>
      <c r="C101" s="322">
        <f>YEAR(B101)</f>
        <v>2026</v>
      </c>
      <c r="D101" s="323">
        <v>46326</v>
      </c>
      <c r="E101" s="1124"/>
      <c r="F101" s="325">
        <f ca="1">IF((TODAY()-D101)/7&gt;R101,T101,(TODAY()-D101)/7)</f>
        <v>-4.5714285714285712</v>
      </c>
      <c r="G101" s="347" t="s">
        <v>1717</v>
      </c>
      <c r="H101" s="350">
        <v>18720</v>
      </c>
      <c r="I101" s="350"/>
      <c r="J101" s="1124"/>
      <c r="K101" s="1125">
        <f>D123-M101</f>
        <v>116</v>
      </c>
      <c r="L101" s="1051" t="s">
        <v>845</v>
      </c>
      <c r="M101" s="326">
        <f>D101+(16*7)</f>
        <v>46438</v>
      </c>
      <c r="N101" s="326">
        <f>D101+20*7</f>
        <v>46466</v>
      </c>
      <c r="O101" s="1124"/>
      <c r="P101" s="351" t="s">
        <v>978</v>
      </c>
      <c r="Q101" s="327">
        <f>H101-H101*0.05</f>
        <v>17784</v>
      </c>
      <c r="R101" s="328">
        <v>46886</v>
      </c>
      <c r="S101" s="329">
        <v>80</v>
      </c>
      <c r="T101" s="356">
        <f>N141-R101</f>
        <v>67</v>
      </c>
      <c r="U101" s="1136"/>
    </row>
    <row r="102" spans="1:21">
      <c r="A102" s="321" t="s">
        <v>842</v>
      </c>
      <c r="B102" s="347">
        <v>46352</v>
      </c>
      <c r="C102" s="322">
        <f t="shared" si="23"/>
        <v>2026</v>
      </c>
      <c r="D102" s="323">
        <v>46352</v>
      </c>
      <c r="E102" s="1124"/>
      <c r="F102" s="325">
        <f t="shared" ca="1" si="24"/>
        <v>-8.2857142857142865</v>
      </c>
      <c r="G102" s="347" t="s">
        <v>1020</v>
      </c>
      <c r="H102" s="350">
        <v>25760</v>
      </c>
      <c r="I102" s="350"/>
      <c r="J102" s="1124"/>
      <c r="K102" s="1125">
        <f>D114-M102</f>
        <v>33</v>
      </c>
      <c r="L102" s="1050" t="s">
        <v>859</v>
      </c>
      <c r="M102" s="326">
        <f t="shared" si="25"/>
        <v>46464</v>
      </c>
      <c r="N102" s="326">
        <f t="shared" si="26"/>
        <v>46492</v>
      </c>
      <c r="O102" s="1124"/>
      <c r="P102" s="351" t="s">
        <v>972</v>
      </c>
      <c r="Q102" s="327">
        <f t="shared" si="27"/>
        <v>24472</v>
      </c>
      <c r="R102" s="328">
        <f t="shared" si="28"/>
        <v>46911</v>
      </c>
      <c r="S102" s="329">
        <v>80</v>
      </c>
      <c r="T102" s="356">
        <f>N146-R102</f>
        <v>111</v>
      </c>
      <c r="U102" s="1136"/>
    </row>
    <row r="103" spans="1:21">
      <c r="A103" s="321" t="s">
        <v>842</v>
      </c>
      <c r="B103" s="347">
        <v>46354</v>
      </c>
      <c r="C103" s="322">
        <f t="shared" si="23"/>
        <v>2026</v>
      </c>
      <c r="D103" s="323">
        <v>46354</v>
      </c>
      <c r="E103" s="1124"/>
      <c r="F103" s="325">
        <f t="shared" ca="1" si="24"/>
        <v>-8.5714285714285712</v>
      </c>
      <c r="G103" s="347" t="s">
        <v>1041</v>
      </c>
      <c r="H103" s="350">
        <v>12320</v>
      </c>
      <c r="I103" s="350"/>
      <c r="J103" s="1124"/>
      <c r="K103" s="1125">
        <f>K102</f>
        <v>33</v>
      </c>
      <c r="L103" s="1051" t="s">
        <v>845</v>
      </c>
      <c r="M103" s="326">
        <f t="shared" si="25"/>
        <v>46466</v>
      </c>
      <c r="N103" s="326">
        <f t="shared" si="26"/>
        <v>46494</v>
      </c>
      <c r="O103" s="1124"/>
      <c r="P103" s="351" t="s">
        <v>972</v>
      </c>
      <c r="Q103" s="327">
        <f t="shared" si="27"/>
        <v>11704</v>
      </c>
      <c r="R103" s="328">
        <f t="shared" si="28"/>
        <v>46913</v>
      </c>
      <c r="S103" s="329">
        <v>80</v>
      </c>
      <c r="T103" s="356">
        <f>N146-R103</f>
        <v>109</v>
      </c>
      <c r="U103" s="1136"/>
    </row>
    <row r="104" spans="1:21">
      <c r="A104" s="321" t="s">
        <v>842</v>
      </c>
      <c r="B104" s="347">
        <v>46361</v>
      </c>
      <c r="C104" s="322">
        <f t="shared" si="23"/>
        <v>2026</v>
      </c>
      <c r="D104" s="323">
        <v>46361</v>
      </c>
      <c r="E104" s="1124"/>
      <c r="F104" s="325">
        <f t="shared" ca="1" si="24"/>
        <v>-9.5714285714285712</v>
      </c>
      <c r="G104" s="347" t="s">
        <v>1041</v>
      </c>
      <c r="H104" s="350">
        <v>12320</v>
      </c>
      <c r="I104" s="350"/>
      <c r="J104" s="1124"/>
      <c r="K104" s="1125">
        <f>K103</f>
        <v>33</v>
      </c>
      <c r="L104" s="1051" t="s">
        <v>845</v>
      </c>
      <c r="M104" s="326">
        <f t="shared" si="25"/>
        <v>46473</v>
      </c>
      <c r="N104" s="326">
        <f t="shared" si="26"/>
        <v>46501</v>
      </c>
      <c r="O104" s="1124"/>
      <c r="P104" s="351" t="s">
        <v>972</v>
      </c>
      <c r="Q104" s="327">
        <f t="shared" si="27"/>
        <v>11704</v>
      </c>
      <c r="R104" s="328">
        <f t="shared" si="28"/>
        <v>46920</v>
      </c>
      <c r="S104" s="329">
        <v>80</v>
      </c>
      <c r="T104" s="356">
        <f>N146-R104</f>
        <v>102</v>
      </c>
      <c r="U104" s="1136"/>
    </row>
    <row r="105" spans="1:21">
      <c r="A105" s="321" t="s">
        <v>842</v>
      </c>
      <c r="B105" s="347">
        <v>46361</v>
      </c>
      <c r="C105" s="322">
        <f t="shared" si="23"/>
        <v>2026</v>
      </c>
      <c r="D105" s="323">
        <v>46361</v>
      </c>
      <c r="E105" s="1124"/>
      <c r="F105" s="325">
        <f t="shared" ca="1" si="24"/>
        <v>-9.5714285714285712</v>
      </c>
      <c r="G105" s="347" t="s">
        <v>1042</v>
      </c>
      <c r="H105" s="350">
        <v>12320</v>
      </c>
      <c r="I105" s="350"/>
      <c r="J105" s="1124"/>
      <c r="K105" s="1125">
        <f>D116-M105</f>
        <v>24</v>
      </c>
      <c r="L105" s="1050" t="s">
        <v>859</v>
      </c>
      <c r="M105" s="326">
        <f t="shared" si="25"/>
        <v>46473</v>
      </c>
      <c r="N105" s="326">
        <f t="shared" si="26"/>
        <v>46501</v>
      </c>
      <c r="O105" s="1124"/>
      <c r="P105" s="351" t="s">
        <v>972</v>
      </c>
      <c r="Q105" s="327">
        <f t="shared" si="27"/>
        <v>11704</v>
      </c>
      <c r="R105" s="328">
        <f t="shared" si="28"/>
        <v>46920</v>
      </c>
      <c r="S105" s="329">
        <v>80</v>
      </c>
      <c r="T105" s="356">
        <f>N146-R105</f>
        <v>102</v>
      </c>
      <c r="U105" s="1136"/>
    </row>
    <row r="106" spans="1:21">
      <c r="A106" s="321" t="s">
        <v>842</v>
      </c>
      <c r="B106" s="347">
        <v>46372</v>
      </c>
      <c r="C106" s="322">
        <f>YEAR(B106)</f>
        <v>2026</v>
      </c>
      <c r="D106" s="323">
        <v>46372</v>
      </c>
      <c r="E106" s="1124"/>
      <c r="F106" s="325">
        <f t="shared" ref="F106:F153" ca="1" si="29">IF((TODAY()-D106)/7&gt;R106,T106,(TODAY()-D106)/7)</f>
        <v>-11.142857142857142</v>
      </c>
      <c r="G106" s="347" t="s">
        <v>1043</v>
      </c>
      <c r="H106" s="350">
        <v>12320</v>
      </c>
      <c r="I106" s="350"/>
      <c r="J106" s="1124"/>
      <c r="K106" s="1125">
        <f>D117-M106</f>
        <v>13</v>
      </c>
      <c r="L106" s="1049" t="s">
        <v>854</v>
      </c>
      <c r="M106" s="326">
        <f>D106+(16*7)</f>
        <v>46484</v>
      </c>
      <c r="N106" s="326">
        <f>D106+20*7</f>
        <v>46512</v>
      </c>
      <c r="O106" s="1124"/>
      <c r="P106" s="351" t="s">
        <v>972</v>
      </c>
      <c r="Q106" s="327">
        <f>H106-H106*0.05</f>
        <v>11704</v>
      </c>
      <c r="R106" s="328">
        <f>D106+(S106*7)-1</f>
        <v>46931</v>
      </c>
      <c r="S106" s="329">
        <v>80</v>
      </c>
      <c r="T106" s="356">
        <f>N146-R106</f>
        <v>91</v>
      </c>
      <c r="U106" s="1125"/>
    </row>
    <row r="107" spans="1:21">
      <c r="A107" s="321" t="s">
        <v>842</v>
      </c>
      <c r="B107" s="347">
        <v>46380</v>
      </c>
      <c r="C107" s="322">
        <f>YEAR(B107)</f>
        <v>2026</v>
      </c>
      <c r="D107" s="323">
        <f t="shared" ref="D107:D153" si="30">B107</f>
        <v>46380</v>
      </c>
      <c r="E107" s="1124"/>
      <c r="F107" s="325">
        <f t="shared" ca="1" si="29"/>
        <v>-12.285714285714286</v>
      </c>
      <c r="G107" s="347" t="s">
        <v>955</v>
      </c>
      <c r="H107" s="350">
        <v>16800</v>
      </c>
      <c r="I107" s="350"/>
      <c r="J107" s="1124"/>
      <c r="K107" s="1125">
        <f>D118-M107</f>
        <v>16</v>
      </c>
      <c r="L107" s="1051" t="s">
        <v>845</v>
      </c>
      <c r="M107" s="326">
        <f>D107+(16*7)</f>
        <v>46492</v>
      </c>
      <c r="N107" s="326">
        <f>D107+20*7</f>
        <v>46520</v>
      </c>
      <c r="O107" s="1124"/>
      <c r="P107" s="351" t="s">
        <v>847</v>
      </c>
      <c r="Q107" s="327">
        <f>H107-H107*0.05</f>
        <v>15960</v>
      </c>
      <c r="R107" s="328">
        <f t="shared" ref="R107:R112" si="31">D107+(S107*7)</f>
        <v>46940</v>
      </c>
      <c r="S107" s="329">
        <v>80</v>
      </c>
      <c r="T107" s="356">
        <f>N150-R107</f>
        <v>112</v>
      </c>
      <c r="U107" s="1125"/>
    </row>
    <row r="108" spans="1:21">
      <c r="A108" s="321" t="s">
        <v>842</v>
      </c>
      <c r="B108" s="347">
        <v>46385</v>
      </c>
      <c r="C108" s="322">
        <f t="shared" si="23"/>
        <v>2026</v>
      </c>
      <c r="D108" s="323">
        <f t="shared" si="30"/>
        <v>46385</v>
      </c>
      <c r="E108" s="1124"/>
      <c r="F108" s="325">
        <f t="shared" ca="1" si="29"/>
        <v>-13</v>
      </c>
      <c r="G108" s="347" t="s">
        <v>955</v>
      </c>
      <c r="H108" s="350">
        <v>16800</v>
      </c>
      <c r="I108" s="350"/>
      <c r="J108" s="1124"/>
      <c r="K108" s="1125">
        <f>K107</f>
        <v>16</v>
      </c>
      <c r="L108" s="1048" t="s">
        <v>850</v>
      </c>
      <c r="M108" s="326">
        <f t="shared" si="25"/>
        <v>46497</v>
      </c>
      <c r="N108" s="326">
        <f t="shared" si="26"/>
        <v>46525</v>
      </c>
      <c r="O108" s="1124"/>
      <c r="P108" s="351" t="s">
        <v>847</v>
      </c>
      <c r="Q108" s="327">
        <f t="shared" si="27"/>
        <v>15960</v>
      </c>
      <c r="R108" s="328">
        <f t="shared" si="31"/>
        <v>46945</v>
      </c>
      <c r="S108" s="329">
        <v>80</v>
      </c>
      <c r="T108" s="356">
        <f>N150-R108</f>
        <v>107</v>
      </c>
      <c r="U108" s="1125"/>
    </row>
    <row r="109" spans="1:21">
      <c r="A109" s="332" t="s">
        <v>842</v>
      </c>
      <c r="B109" s="352">
        <v>46393</v>
      </c>
      <c r="C109" s="333">
        <f t="shared" si="23"/>
        <v>2027</v>
      </c>
      <c r="D109" s="334">
        <f t="shared" si="30"/>
        <v>46393</v>
      </c>
      <c r="E109" s="1338"/>
      <c r="F109" s="335">
        <f t="shared" ca="1" si="29"/>
        <v>-14.142857142857142</v>
      </c>
      <c r="G109" s="352" t="s">
        <v>961</v>
      </c>
      <c r="H109" s="353">
        <v>26320</v>
      </c>
      <c r="I109" s="353"/>
      <c r="J109" s="1338"/>
      <c r="K109" s="1341">
        <f>T109</f>
        <v>78</v>
      </c>
      <c r="L109" s="1050" t="s">
        <v>859</v>
      </c>
      <c r="M109" s="336">
        <f t="shared" si="25"/>
        <v>46505</v>
      </c>
      <c r="N109" s="336">
        <f t="shared" si="26"/>
        <v>46533</v>
      </c>
      <c r="O109" s="336"/>
      <c r="P109" s="354" t="s">
        <v>1718</v>
      </c>
      <c r="Q109" s="337">
        <f t="shared" si="27"/>
        <v>25004</v>
      </c>
      <c r="R109" s="338">
        <f t="shared" si="31"/>
        <v>46953</v>
      </c>
      <c r="S109" s="339">
        <v>80</v>
      </c>
      <c r="T109" s="339">
        <f>B152-R109</f>
        <v>78</v>
      </c>
      <c r="U109" s="1125"/>
    </row>
    <row r="110" spans="1:21">
      <c r="A110" s="332" t="s">
        <v>842</v>
      </c>
      <c r="B110" s="352">
        <v>46393</v>
      </c>
      <c r="C110" s="333">
        <f t="shared" si="23"/>
        <v>2027</v>
      </c>
      <c r="D110" s="334">
        <f t="shared" si="30"/>
        <v>46393</v>
      </c>
      <c r="E110" s="1139"/>
      <c r="F110" s="335">
        <f t="shared" ca="1" si="29"/>
        <v>-14.142857142857142</v>
      </c>
      <c r="G110" s="352" t="s">
        <v>961</v>
      </c>
      <c r="H110" s="353">
        <v>15120</v>
      </c>
      <c r="I110" s="353"/>
      <c r="J110" s="1139"/>
      <c r="K110" s="1341">
        <f>T110</f>
        <v>78</v>
      </c>
      <c r="L110" s="1051" t="s">
        <v>845</v>
      </c>
      <c r="M110" s="336">
        <f t="shared" si="25"/>
        <v>46505</v>
      </c>
      <c r="N110" s="336">
        <f t="shared" si="26"/>
        <v>46533</v>
      </c>
      <c r="O110" s="1139"/>
      <c r="P110" s="354" t="s">
        <v>1718</v>
      </c>
      <c r="Q110" s="337">
        <f t="shared" si="27"/>
        <v>14364</v>
      </c>
      <c r="R110" s="338">
        <f t="shared" si="31"/>
        <v>46953</v>
      </c>
      <c r="S110" s="339">
        <v>80</v>
      </c>
      <c r="T110" s="355">
        <f>B153-R110</f>
        <v>78</v>
      </c>
      <c r="U110" s="1136"/>
    </row>
    <row r="111" spans="1:21" s="349" customFormat="1">
      <c r="A111" s="321" t="s">
        <v>842</v>
      </c>
      <c r="B111" s="347">
        <v>46350</v>
      </c>
      <c r="C111" s="321">
        <f t="shared" si="23"/>
        <v>2026</v>
      </c>
      <c r="D111" s="323">
        <f t="shared" si="30"/>
        <v>46350</v>
      </c>
      <c r="E111" s="1138"/>
      <c r="F111" s="325">
        <f t="shared" ca="1" si="29"/>
        <v>-8</v>
      </c>
      <c r="G111" s="347" t="s">
        <v>920</v>
      </c>
      <c r="H111" s="350">
        <v>13740</v>
      </c>
      <c r="I111" s="350"/>
      <c r="J111" s="1138"/>
      <c r="K111" s="1334"/>
      <c r="L111" s="1392" t="s">
        <v>967</v>
      </c>
      <c r="M111" s="323">
        <f t="shared" si="25"/>
        <v>46462</v>
      </c>
      <c r="N111" s="323">
        <f t="shared" si="26"/>
        <v>46490</v>
      </c>
      <c r="O111" s="1138"/>
      <c r="P111" s="358" t="s">
        <v>920</v>
      </c>
      <c r="Q111" s="438">
        <f t="shared" si="27"/>
        <v>13053</v>
      </c>
      <c r="R111" s="328">
        <f t="shared" si="31"/>
        <v>46910</v>
      </c>
      <c r="S111" s="440">
        <v>80</v>
      </c>
      <c r="T111" s="441"/>
      <c r="U111" s="1140"/>
    </row>
    <row r="112" spans="1:21">
      <c r="A112" s="321" t="s">
        <v>842</v>
      </c>
      <c r="B112" s="347">
        <v>46364</v>
      </c>
      <c r="C112" s="321">
        <f t="shared" ref="C112:C153" si="32">YEAR(B112)</f>
        <v>2026</v>
      </c>
      <c r="D112" s="323">
        <f t="shared" si="30"/>
        <v>46364</v>
      </c>
      <c r="E112" s="1337"/>
      <c r="F112" s="325">
        <f t="shared" ca="1" si="29"/>
        <v>-10</v>
      </c>
      <c r="G112" s="347" t="s">
        <v>924</v>
      </c>
      <c r="H112" s="350">
        <v>14860</v>
      </c>
      <c r="I112" s="350"/>
      <c r="J112" s="1337"/>
      <c r="K112" s="1336"/>
      <c r="L112" s="1392"/>
      <c r="M112" s="323">
        <f t="shared" ref="M112:M153" si="33">D112+(16*7)</f>
        <v>46476</v>
      </c>
      <c r="N112" s="323">
        <f t="shared" ref="N112:N153" si="34">D112+20*7</f>
        <v>46504</v>
      </c>
      <c r="O112" s="1337"/>
      <c r="P112" s="358" t="s">
        <v>924</v>
      </c>
      <c r="Q112" s="438">
        <f t="shared" ref="Q112:Q153" si="35">H112-H112*0.05</f>
        <v>14117</v>
      </c>
      <c r="R112" s="328">
        <f t="shared" si="31"/>
        <v>46924</v>
      </c>
      <c r="S112" s="440">
        <v>80</v>
      </c>
      <c r="T112" s="441"/>
      <c r="U112" s="1340"/>
    </row>
    <row r="113" spans="1:21">
      <c r="A113" s="332" t="s">
        <v>842</v>
      </c>
      <c r="B113" s="352">
        <v>46472</v>
      </c>
      <c r="C113" s="333">
        <f t="shared" si="32"/>
        <v>2027</v>
      </c>
      <c r="D113" s="334">
        <f t="shared" si="30"/>
        <v>46472</v>
      </c>
      <c r="E113" s="1338"/>
      <c r="F113" s="335">
        <f t="shared" ca="1" si="29"/>
        <v>-25.428571428571427</v>
      </c>
      <c r="G113" s="352" t="s">
        <v>991</v>
      </c>
      <c r="H113" s="353">
        <v>22400</v>
      </c>
      <c r="I113" s="353"/>
      <c r="J113" s="1338"/>
      <c r="K113" s="1339"/>
      <c r="L113" s="1050" t="s">
        <v>859</v>
      </c>
      <c r="M113" s="336">
        <f t="shared" si="33"/>
        <v>46584</v>
      </c>
      <c r="N113" s="336">
        <f t="shared" si="34"/>
        <v>46612</v>
      </c>
      <c r="O113" s="1338"/>
      <c r="P113" s="354" t="s">
        <v>991</v>
      </c>
      <c r="Q113" s="337">
        <f t="shared" si="35"/>
        <v>21280</v>
      </c>
      <c r="R113" s="338">
        <f>D113+(S113*7)-1</f>
        <v>47031</v>
      </c>
      <c r="S113" s="339">
        <v>80</v>
      </c>
      <c r="T113" s="355"/>
      <c r="U113" s="1340"/>
    </row>
    <row r="114" spans="1:21">
      <c r="A114" s="321" t="s">
        <v>842</v>
      </c>
      <c r="B114" s="347">
        <v>46497</v>
      </c>
      <c r="C114" s="321">
        <f t="shared" si="32"/>
        <v>2027</v>
      </c>
      <c r="D114" s="323">
        <f t="shared" si="30"/>
        <v>46497</v>
      </c>
      <c r="E114" s="1337"/>
      <c r="F114" s="325">
        <f t="shared" ca="1" si="29"/>
        <v>-29</v>
      </c>
      <c r="G114" s="347" t="s">
        <v>1020</v>
      </c>
      <c r="H114" s="350">
        <v>9630</v>
      </c>
      <c r="I114" s="350"/>
      <c r="J114" s="1337"/>
      <c r="K114" s="1336">
        <f>D130-M114</f>
        <v>30</v>
      </c>
      <c r="L114" s="1049" t="s">
        <v>854</v>
      </c>
      <c r="M114" s="323">
        <f t="shared" si="33"/>
        <v>46609</v>
      </c>
      <c r="N114" s="323">
        <f t="shared" si="34"/>
        <v>46637</v>
      </c>
      <c r="O114" s="1337"/>
      <c r="P114" s="351" t="s">
        <v>875</v>
      </c>
      <c r="Q114" s="438">
        <f t="shared" si="35"/>
        <v>9148.5</v>
      </c>
      <c r="R114" s="328">
        <f t="shared" ref="R114:R153" si="36">D114+(S114*7)</f>
        <v>47057</v>
      </c>
      <c r="S114" s="440">
        <v>80</v>
      </c>
      <c r="T114" s="441"/>
      <c r="U114" s="1340"/>
    </row>
    <row r="115" spans="1:21">
      <c r="A115" s="321" t="s">
        <v>842</v>
      </c>
      <c r="B115" s="347">
        <v>46497</v>
      </c>
      <c r="C115" s="321">
        <f t="shared" si="32"/>
        <v>2027</v>
      </c>
      <c r="D115" s="323">
        <f t="shared" si="30"/>
        <v>46497</v>
      </c>
      <c r="E115" s="1337"/>
      <c r="F115" s="325">
        <f t="shared" ca="1" si="29"/>
        <v>-29</v>
      </c>
      <c r="G115" s="347" t="s">
        <v>1041</v>
      </c>
      <c r="H115" s="350">
        <v>9630</v>
      </c>
      <c r="I115" s="350"/>
      <c r="J115" s="1337"/>
      <c r="K115" s="1336">
        <f>K114</f>
        <v>30</v>
      </c>
      <c r="L115" s="1051" t="s">
        <v>845</v>
      </c>
      <c r="M115" s="323">
        <f t="shared" si="33"/>
        <v>46609</v>
      </c>
      <c r="N115" s="323">
        <f t="shared" si="34"/>
        <v>46637</v>
      </c>
      <c r="O115" s="1337"/>
      <c r="P115" s="351" t="s">
        <v>875</v>
      </c>
      <c r="Q115" s="438">
        <f t="shared" si="35"/>
        <v>9148.5</v>
      </c>
      <c r="R115" s="328">
        <f t="shared" si="36"/>
        <v>47057</v>
      </c>
      <c r="S115" s="440">
        <v>80</v>
      </c>
      <c r="T115" s="441"/>
      <c r="U115" s="1340"/>
    </row>
    <row r="116" spans="1:21">
      <c r="A116" s="321" t="s">
        <v>842</v>
      </c>
      <c r="B116" s="347">
        <v>46497</v>
      </c>
      <c r="C116" s="321">
        <f t="shared" si="32"/>
        <v>2027</v>
      </c>
      <c r="D116" s="323">
        <f t="shared" si="30"/>
        <v>46497</v>
      </c>
      <c r="E116" s="1337"/>
      <c r="F116" s="325">
        <f t="shared" ca="1" si="29"/>
        <v>-29</v>
      </c>
      <c r="G116" s="347" t="s">
        <v>1042</v>
      </c>
      <c r="H116" s="350">
        <v>19710</v>
      </c>
      <c r="I116" s="350"/>
      <c r="J116" s="1337"/>
      <c r="K116" s="1336">
        <f>D132-M116</f>
        <v>30</v>
      </c>
      <c r="L116" s="1051" t="s">
        <v>845</v>
      </c>
      <c r="M116" s="323">
        <f t="shared" si="33"/>
        <v>46609</v>
      </c>
      <c r="N116" s="323">
        <f t="shared" si="34"/>
        <v>46637</v>
      </c>
      <c r="O116" s="1337"/>
      <c r="P116" s="351" t="s">
        <v>871</v>
      </c>
      <c r="Q116" s="438">
        <f t="shared" si="35"/>
        <v>18724.5</v>
      </c>
      <c r="R116" s="328">
        <f t="shared" si="36"/>
        <v>47057</v>
      </c>
      <c r="S116" s="440">
        <v>80</v>
      </c>
      <c r="T116" s="441"/>
      <c r="U116" s="1340"/>
    </row>
    <row r="117" spans="1:21">
      <c r="A117" s="321" t="s">
        <v>842</v>
      </c>
      <c r="B117" s="347">
        <v>46497</v>
      </c>
      <c r="C117" s="321">
        <f t="shared" si="32"/>
        <v>2027</v>
      </c>
      <c r="D117" s="323">
        <f t="shared" si="30"/>
        <v>46497</v>
      </c>
      <c r="E117" s="1337"/>
      <c r="F117" s="325">
        <f t="shared" ca="1" si="29"/>
        <v>-29</v>
      </c>
      <c r="G117" s="347" t="s">
        <v>1043</v>
      </c>
      <c r="H117" s="350">
        <v>19710</v>
      </c>
      <c r="I117" s="350"/>
      <c r="J117" s="1337"/>
      <c r="K117" s="1336">
        <f>D132-M117</f>
        <v>30</v>
      </c>
      <c r="L117" s="1050" t="s">
        <v>859</v>
      </c>
      <c r="M117" s="323">
        <f t="shared" si="33"/>
        <v>46609</v>
      </c>
      <c r="N117" s="323">
        <f t="shared" si="34"/>
        <v>46637</v>
      </c>
      <c r="O117" s="1337"/>
      <c r="P117" s="351" t="s">
        <v>885</v>
      </c>
      <c r="Q117" s="438">
        <f t="shared" si="35"/>
        <v>18724.5</v>
      </c>
      <c r="R117" s="328">
        <f t="shared" si="36"/>
        <v>47057</v>
      </c>
      <c r="S117" s="440">
        <v>80</v>
      </c>
      <c r="T117" s="441"/>
      <c r="U117" s="1340"/>
    </row>
    <row r="118" spans="1:21">
      <c r="A118" s="321" t="s">
        <v>842</v>
      </c>
      <c r="B118" s="347">
        <v>46508</v>
      </c>
      <c r="C118" s="321">
        <f t="shared" si="32"/>
        <v>2027</v>
      </c>
      <c r="D118" s="323">
        <f t="shared" si="30"/>
        <v>46508</v>
      </c>
      <c r="E118" s="1337"/>
      <c r="F118" s="325">
        <f t="shared" ca="1" si="29"/>
        <v>-30.571428571428573</v>
      </c>
      <c r="G118" s="347" t="s">
        <v>955</v>
      </c>
      <c r="H118" s="350">
        <v>14860</v>
      </c>
      <c r="I118" s="350"/>
      <c r="J118" s="1337"/>
      <c r="K118" s="1336">
        <f>D138-M118</f>
        <v>121</v>
      </c>
      <c r="L118" s="1051" t="s">
        <v>845</v>
      </c>
      <c r="M118" s="323">
        <f t="shared" si="33"/>
        <v>46620</v>
      </c>
      <c r="N118" s="323">
        <f t="shared" si="34"/>
        <v>46648</v>
      </c>
      <c r="O118" s="1337"/>
      <c r="P118" s="351" t="s">
        <v>898</v>
      </c>
      <c r="Q118" s="438">
        <f t="shared" si="35"/>
        <v>14117</v>
      </c>
      <c r="R118" s="328">
        <f t="shared" si="36"/>
        <v>47068</v>
      </c>
      <c r="S118" s="440">
        <v>80</v>
      </c>
      <c r="T118" s="441"/>
      <c r="U118" s="1340"/>
    </row>
    <row r="119" spans="1:21">
      <c r="A119" s="321" t="s">
        <v>842</v>
      </c>
      <c r="B119" s="347">
        <v>46508</v>
      </c>
      <c r="C119" s="321">
        <f t="shared" si="32"/>
        <v>2027</v>
      </c>
      <c r="D119" s="323">
        <f t="shared" si="30"/>
        <v>46508</v>
      </c>
      <c r="E119" s="1337"/>
      <c r="F119" s="325">
        <f t="shared" ca="1" si="29"/>
        <v>-30.571428571428573</v>
      </c>
      <c r="G119" s="347" t="s">
        <v>955</v>
      </c>
      <c r="H119" s="350">
        <v>14740</v>
      </c>
      <c r="I119" s="350"/>
      <c r="J119" s="1337"/>
      <c r="K119" s="1336">
        <f>K118</f>
        <v>121</v>
      </c>
      <c r="L119" s="1051" t="s">
        <v>845</v>
      </c>
      <c r="M119" s="323">
        <f t="shared" si="33"/>
        <v>46620</v>
      </c>
      <c r="N119" s="323">
        <f t="shared" si="34"/>
        <v>46648</v>
      </c>
      <c r="O119" s="1337"/>
      <c r="P119" s="351" t="s">
        <v>896</v>
      </c>
      <c r="Q119" s="438">
        <f t="shared" si="35"/>
        <v>14003</v>
      </c>
      <c r="R119" s="328">
        <f t="shared" si="36"/>
        <v>47068</v>
      </c>
      <c r="S119" s="440">
        <v>80</v>
      </c>
      <c r="T119" s="441"/>
      <c r="U119" s="1340"/>
    </row>
    <row r="120" spans="1:21">
      <c r="A120" s="321" t="s">
        <v>842</v>
      </c>
      <c r="B120" s="347">
        <v>46508</v>
      </c>
      <c r="C120" s="321">
        <f t="shared" si="32"/>
        <v>2027</v>
      </c>
      <c r="D120" s="323">
        <f t="shared" si="30"/>
        <v>46508</v>
      </c>
      <c r="E120" s="1337"/>
      <c r="F120" s="325">
        <f t="shared" ca="1" si="29"/>
        <v>-30.571428571428573</v>
      </c>
      <c r="G120" s="347" t="s">
        <v>955</v>
      </c>
      <c r="H120" s="350">
        <v>15420</v>
      </c>
      <c r="I120" s="350"/>
      <c r="J120" s="1337"/>
      <c r="K120" s="1336">
        <f>K119</f>
        <v>121</v>
      </c>
      <c r="L120" s="1051" t="s">
        <v>845</v>
      </c>
      <c r="M120" s="323">
        <f t="shared" si="33"/>
        <v>46620</v>
      </c>
      <c r="N120" s="323">
        <f t="shared" si="34"/>
        <v>46648</v>
      </c>
      <c r="O120" s="1337"/>
      <c r="P120" s="351" t="s">
        <v>892</v>
      </c>
      <c r="Q120" s="438">
        <f t="shared" si="35"/>
        <v>14649</v>
      </c>
      <c r="R120" s="328">
        <f t="shared" si="36"/>
        <v>47068</v>
      </c>
      <c r="S120" s="440">
        <v>80</v>
      </c>
      <c r="T120" s="441"/>
      <c r="U120" s="1340"/>
    </row>
    <row r="121" spans="1:21">
      <c r="A121" s="332" t="s">
        <v>842</v>
      </c>
      <c r="B121" s="352">
        <v>46513</v>
      </c>
      <c r="C121" s="333">
        <f t="shared" si="32"/>
        <v>2027</v>
      </c>
      <c r="D121" s="334">
        <f t="shared" si="30"/>
        <v>46513</v>
      </c>
      <c r="E121" s="1338"/>
      <c r="F121" s="335">
        <f t="shared" ca="1" si="29"/>
        <v>-31.285714285714285</v>
      </c>
      <c r="G121" s="352" t="s">
        <v>993</v>
      </c>
      <c r="H121" s="353">
        <v>22400</v>
      </c>
      <c r="I121" s="353"/>
      <c r="J121" s="1338"/>
      <c r="K121" s="1339"/>
      <c r="L121" s="1051" t="s">
        <v>845</v>
      </c>
      <c r="M121" s="336">
        <f t="shared" si="33"/>
        <v>46625</v>
      </c>
      <c r="N121" s="336">
        <f t="shared" si="34"/>
        <v>46653</v>
      </c>
      <c r="O121" s="1338"/>
      <c r="P121" s="354" t="s">
        <v>993</v>
      </c>
      <c r="Q121" s="337">
        <f t="shared" si="35"/>
        <v>21280</v>
      </c>
      <c r="R121" s="338">
        <f t="shared" si="36"/>
        <v>47073</v>
      </c>
      <c r="S121" s="339">
        <v>80</v>
      </c>
      <c r="T121" s="355"/>
      <c r="U121" s="1340"/>
    </row>
    <row r="122" spans="1:21">
      <c r="A122" s="332" t="s">
        <v>842</v>
      </c>
      <c r="B122" s="352">
        <v>46527</v>
      </c>
      <c r="C122" s="333">
        <f t="shared" si="32"/>
        <v>2027</v>
      </c>
      <c r="D122" s="334">
        <f t="shared" si="30"/>
        <v>46527</v>
      </c>
      <c r="E122" s="1338"/>
      <c r="F122" s="335">
        <f t="shared" ca="1" si="29"/>
        <v>-33.285714285714285</v>
      </c>
      <c r="G122" s="352" t="s">
        <v>983</v>
      </c>
      <c r="H122" s="353">
        <v>22400</v>
      </c>
      <c r="I122" s="353"/>
      <c r="J122" s="1338"/>
      <c r="K122" s="1339"/>
      <c r="L122" s="1051" t="s">
        <v>845</v>
      </c>
      <c r="M122" s="336">
        <f t="shared" si="33"/>
        <v>46639</v>
      </c>
      <c r="N122" s="336">
        <f t="shared" si="34"/>
        <v>46667</v>
      </c>
      <c r="O122" s="1338"/>
      <c r="P122" s="354" t="s">
        <v>983</v>
      </c>
      <c r="Q122" s="337">
        <f t="shared" si="35"/>
        <v>21280</v>
      </c>
      <c r="R122" s="338">
        <f t="shared" si="36"/>
        <v>47087</v>
      </c>
      <c r="S122" s="339">
        <v>80</v>
      </c>
      <c r="T122" s="355"/>
      <c r="U122" s="1340"/>
    </row>
    <row r="123" spans="1:21">
      <c r="A123" s="321" t="s">
        <v>842</v>
      </c>
      <c r="B123" s="347">
        <v>46554</v>
      </c>
      <c r="C123" s="321">
        <f t="shared" si="32"/>
        <v>2027</v>
      </c>
      <c r="D123" s="323">
        <f t="shared" si="30"/>
        <v>46554</v>
      </c>
      <c r="E123" s="1337"/>
      <c r="F123" s="325">
        <f t="shared" ca="1" si="29"/>
        <v>-37.142857142857146</v>
      </c>
      <c r="G123" s="347" t="s">
        <v>1717</v>
      </c>
      <c r="H123" s="350">
        <v>11456</v>
      </c>
      <c r="I123" s="350"/>
      <c r="J123" s="1337"/>
      <c r="K123" s="1336">
        <f>D141-M123</f>
        <v>147</v>
      </c>
      <c r="L123" s="1048" t="s">
        <v>850</v>
      </c>
      <c r="M123" s="323">
        <f t="shared" si="33"/>
        <v>46666</v>
      </c>
      <c r="N123" s="323">
        <f t="shared" si="34"/>
        <v>46694</v>
      </c>
      <c r="O123" s="1337"/>
      <c r="P123" s="351" t="s">
        <v>1008</v>
      </c>
      <c r="Q123" s="438">
        <f t="shared" si="35"/>
        <v>10883.2</v>
      </c>
      <c r="R123" s="328">
        <f t="shared" si="36"/>
        <v>47114</v>
      </c>
      <c r="S123" s="440">
        <v>80</v>
      </c>
      <c r="T123" s="441"/>
      <c r="U123" s="1340"/>
    </row>
    <row r="124" spans="1:21">
      <c r="A124" s="321" t="s">
        <v>842</v>
      </c>
      <c r="B124" s="347">
        <v>46554</v>
      </c>
      <c r="C124" s="321">
        <f t="shared" si="32"/>
        <v>2027</v>
      </c>
      <c r="D124" s="323">
        <f t="shared" si="30"/>
        <v>46554</v>
      </c>
      <c r="E124" s="1337"/>
      <c r="F124" s="325">
        <f t="shared" ca="1" si="29"/>
        <v>-37.142857142857146</v>
      </c>
      <c r="G124" s="347" t="s">
        <v>1735</v>
      </c>
      <c r="H124" s="350">
        <v>11456</v>
      </c>
      <c r="I124" s="350"/>
      <c r="J124" s="1337"/>
      <c r="K124" s="1336">
        <f>K123</f>
        <v>147</v>
      </c>
      <c r="L124" s="1050" t="s">
        <v>859</v>
      </c>
      <c r="M124" s="323">
        <f t="shared" si="33"/>
        <v>46666</v>
      </c>
      <c r="N124" s="323">
        <f t="shared" si="34"/>
        <v>46694</v>
      </c>
      <c r="O124" s="1337"/>
      <c r="P124" s="351" t="s">
        <v>1008</v>
      </c>
      <c r="Q124" s="438">
        <f t="shared" si="35"/>
        <v>10883.2</v>
      </c>
      <c r="R124" s="328">
        <f t="shared" si="36"/>
        <v>47114</v>
      </c>
      <c r="S124" s="440">
        <v>80</v>
      </c>
      <c r="T124" s="441"/>
      <c r="U124" s="1340"/>
    </row>
    <row r="125" spans="1:21">
      <c r="A125" s="321" t="s">
        <v>842</v>
      </c>
      <c r="B125" s="347">
        <v>46554</v>
      </c>
      <c r="C125" s="321">
        <f t="shared" si="32"/>
        <v>2027</v>
      </c>
      <c r="D125" s="323">
        <f t="shared" si="30"/>
        <v>46554</v>
      </c>
      <c r="E125" s="1337"/>
      <c r="F125" s="325">
        <f t="shared" ca="1" si="29"/>
        <v>-37.142857142857146</v>
      </c>
      <c r="G125" s="347" t="s">
        <v>1736</v>
      </c>
      <c r="H125" s="350">
        <v>19540</v>
      </c>
      <c r="I125" s="350"/>
      <c r="J125" s="1337"/>
      <c r="K125" s="1336">
        <f>K124</f>
        <v>147</v>
      </c>
      <c r="L125" s="1050" t="s">
        <v>859</v>
      </c>
      <c r="M125" s="323">
        <f t="shared" si="33"/>
        <v>46666</v>
      </c>
      <c r="N125" s="323">
        <f t="shared" si="34"/>
        <v>46694</v>
      </c>
      <c r="O125" s="1337"/>
      <c r="P125" s="351" t="s">
        <v>1018</v>
      </c>
      <c r="Q125" s="438">
        <f t="shared" si="35"/>
        <v>18563</v>
      </c>
      <c r="R125" s="328">
        <f t="shared" si="36"/>
        <v>47114</v>
      </c>
      <c r="S125" s="440">
        <v>80</v>
      </c>
      <c r="T125" s="441"/>
      <c r="U125" s="1340"/>
    </row>
    <row r="126" spans="1:21">
      <c r="A126" s="321" t="s">
        <v>842</v>
      </c>
      <c r="B126" s="347">
        <v>46554</v>
      </c>
      <c r="C126" s="321">
        <f t="shared" si="32"/>
        <v>2027</v>
      </c>
      <c r="D126" s="323">
        <f t="shared" si="30"/>
        <v>46554</v>
      </c>
      <c r="E126" s="1337"/>
      <c r="F126" s="325">
        <f t="shared" ca="1" si="29"/>
        <v>-37.142857142857146</v>
      </c>
      <c r="G126" s="347" t="s">
        <v>1737</v>
      </c>
      <c r="H126" s="350">
        <v>18284</v>
      </c>
      <c r="I126" s="350"/>
      <c r="J126" s="1337"/>
      <c r="K126" s="1336"/>
      <c r="L126" s="1051" t="s">
        <v>845</v>
      </c>
      <c r="M126" s="323">
        <f t="shared" si="33"/>
        <v>46666</v>
      </c>
      <c r="N126" s="323">
        <f t="shared" si="34"/>
        <v>46694</v>
      </c>
      <c r="O126" s="1337"/>
      <c r="P126" s="351" t="s">
        <v>1022</v>
      </c>
      <c r="Q126" s="438">
        <f t="shared" si="35"/>
        <v>17369.8</v>
      </c>
      <c r="R126" s="328">
        <f t="shared" si="36"/>
        <v>47114</v>
      </c>
      <c r="S126" s="440">
        <v>80</v>
      </c>
      <c r="T126" s="441"/>
      <c r="U126" s="1340"/>
    </row>
    <row r="127" spans="1:21">
      <c r="A127" s="321" t="s">
        <v>842</v>
      </c>
      <c r="B127" s="347">
        <v>46578</v>
      </c>
      <c r="C127" s="321">
        <f t="shared" si="32"/>
        <v>2027</v>
      </c>
      <c r="D127" s="323">
        <f t="shared" si="30"/>
        <v>46578</v>
      </c>
      <c r="E127" s="1337"/>
      <c r="F127" s="325">
        <f t="shared" ca="1" si="29"/>
        <v>-40.571428571428569</v>
      </c>
      <c r="G127" s="347" t="s">
        <v>1734</v>
      </c>
      <c r="H127" s="350">
        <v>20160</v>
      </c>
      <c r="I127" s="350"/>
      <c r="J127" s="1337"/>
      <c r="K127" s="1336"/>
      <c r="L127" s="1050" t="s">
        <v>859</v>
      </c>
      <c r="M127" s="323">
        <f t="shared" si="33"/>
        <v>46690</v>
      </c>
      <c r="N127" s="323">
        <f t="shared" si="34"/>
        <v>46718</v>
      </c>
      <c r="O127" s="1337"/>
      <c r="P127" s="351" t="s">
        <v>904</v>
      </c>
      <c r="Q127" s="438">
        <f t="shared" si="35"/>
        <v>19152</v>
      </c>
      <c r="R127" s="328">
        <f t="shared" si="36"/>
        <v>47138</v>
      </c>
      <c r="S127" s="440">
        <v>80</v>
      </c>
      <c r="T127" s="441"/>
      <c r="U127" s="1340"/>
    </row>
    <row r="128" spans="1:21">
      <c r="A128" s="321" t="s">
        <v>842</v>
      </c>
      <c r="B128" s="347">
        <v>46578</v>
      </c>
      <c r="C128" s="321">
        <f t="shared" si="32"/>
        <v>2027</v>
      </c>
      <c r="D128" s="323">
        <f t="shared" si="30"/>
        <v>46578</v>
      </c>
      <c r="E128" s="1337"/>
      <c r="F128" s="325">
        <f t="shared" ca="1" si="29"/>
        <v>-40.571428571428569</v>
      </c>
      <c r="G128" s="347" t="s">
        <v>1734</v>
      </c>
      <c r="H128" s="350">
        <v>19080</v>
      </c>
      <c r="I128" s="350"/>
      <c r="J128" s="1337"/>
      <c r="K128" s="1336"/>
      <c r="L128" s="1049" t="s">
        <v>854</v>
      </c>
      <c r="M128" s="323">
        <f t="shared" si="33"/>
        <v>46690</v>
      </c>
      <c r="N128" s="323">
        <f t="shared" si="34"/>
        <v>46718</v>
      </c>
      <c r="O128" s="1337"/>
      <c r="P128" s="351" t="s">
        <v>910</v>
      </c>
      <c r="Q128" s="438">
        <f t="shared" si="35"/>
        <v>18126</v>
      </c>
      <c r="R128" s="328">
        <f t="shared" si="36"/>
        <v>47138</v>
      </c>
      <c r="S128" s="440">
        <v>80</v>
      </c>
      <c r="T128" s="441"/>
      <c r="U128" s="1340"/>
    </row>
    <row r="129" spans="1:21">
      <c r="A129" s="332" t="s">
        <v>842</v>
      </c>
      <c r="B129" s="352">
        <v>46586</v>
      </c>
      <c r="C129" s="333">
        <f t="shared" si="32"/>
        <v>2027</v>
      </c>
      <c r="D129" s="334">
        <f t="shared" si="30"/>
        <v>46586</v>
      </c>
      <c r="E129" s="1338"/>
      <c r="F129" s="335">
        <f t="shared" ca="1" si="29"/>
        <v>-41.714285714285715</v>
      </c>
      <c r="G129" s="352" t="s">
        <v>1720</v>
      </c>
      <c r="H129" s="353">
        <v>17920</v>
      </c>
      <c r="I129" s="353"/>
      <c r="J129" s="1338"/>
      <c r="K129" s="1339"/>
      <c r="L129" s="1050" t="s">
        <v>859</v>
      </c>
      <c r="M129" s="336">
        <f t="shared" si="33"/>
        <v>46698</v>
      </c>
      <c r="N129" s="336">
        <f t="shared" si="34"/>
        <v>46726</v>
      </c>
      <c r="O129" s="1338"/>
      <c r="P129" s="354" t="s">
        <v>1721</v>
      </c>
      <c r="Q129" s="337">
        <f t="shared" si="35"/>
        <v>17024</v>
      </c>
      <c r="R129" s="338">
        <f t="shared" si="36"/>
        <v>47146</v>
      </c>
      <c r="S129" s="339">
        <v>80</v>
      </c>
      <c r="T129" s="355"/>
      <c r="U129" s="1340"/>
    </row>
    <row r="130" spans="1:21">
      <c r="A130" s="321" t="s">
        <v>842</v>
      </c>
      <c r="B130" s="347">
        <v>46639</v>
      </c>
      <c r="C130" s="321">
        <f t="shared" si="32"/>
        <v>2027</v>
      </c>
      <c r="D130" s="323">
        <f t="shared" si="30"/>
        <v>46639</v>
      </c>
      <c r="E130" s="1337"/>
      <c r="F130" s="325">
        <f t="shared" ca="1" si="29"/>
        <v>-49.285714285714285</v>
      </c>
      <c r="G130" s="347" t="s">
        <v>1031</v>
      </c>
      <c r="H130" s="350">
        <v>20380</v>
      </c>
      <c r="I130" s="350"/>
      <c r="J130" s="1337"/>
      <c r="K130" s="1336">
        <f>D146-M130</f>
        <v>131</v>
      </c>
      <c r="L130" s="1050" t="s">
        <v>859</v>
      </c>
      <c r="M130" s="323">
        <f t="shared" si="33"/>
        <v>46751</v>
      </c>
      <c r="N130" s="323">
        <f t="shared" si="34"/>
        <v>46779</v>
      </c>
      <c r="O130" s="1337"/>
      <c r="P130" s="351" t="s">
        <v>922</v>
      </c>
      <c r="Q130" s="438">
        <f t="shared" si="35"/>
        <v>19361</v>
      </c>
      <c r="R130" s="328">
        <f t="shared" si="36"/>
        <v>47199</v>
      </c>
      <c r="S130" s="440">
        <v>80</v>
      </c>
      <c r="T130" s="441"/>
      <c r="U130" s="1340"/>
    </row>
    <row r="131" spans="1:21">
      <c r="A131" s="321" t="s">
        <v>842</v>
      </c>
      <c r="B131" s="347">
        <v>46639</v>
      </c>
      <c r="C131" s="321">
        <f t="shared" si="32"/>
        <v>2027</v>
      </c>
      <c r="D131" s="323">
        <f t="shared" si="30"/>
        <v>46639</v>
      </c>
      <c r="E131" s="1337"/>
      <c r="F131" s="325">
        <f t="shared" ca="1" si="29"/>
        <v>-49.285714285714285</v>
      </c>
      <c r="G131" s="347" t="s">
        <v>1031</v>
      </c>
      <c r="H131" s="350">
        <v>14900</v>
      </c>
      <c r="I131" s="350"/>
      <c r="J131" s="1337"/>
      <c r="K131" s="1336">
        <f>K130</f>
        <v>131</v>
      </c>
      <c r="L131" s="1050" t="s">
        <v>859</v>
      </c>
      <c r="M131" s="323">
        <f t="shared" si="33"/>
        <v>46751</v>
      </c>
      <c r="N131" s="323">
        <f t="shared" si="34"/>
        <v>46779</v>
      </c>
      <c r="O131" s="1337"/>
      <c r="P131" s="351" t="s">
        <v>922</v>
      </c>
      <c r="Q131" s="438">
        <f t="shared" si="35"/>
        <v>14155</v>
      </c>
      <c r="R131" s="328">
        <f t="shared" si="36"/>
        <v>47199</v>
      </c>
      <c r="S131" s="440">
        <v>80</v>
      </c>
      <c r="T131" s="441"/>
      <c r="U131" s="1340"/>
    </row>
    <row r="132" spans="1:21">
      <c r="A132" s="321" t="s">
        <v>842</v>
      </c>
      <c r="B132" s="347">
        <v>46639</v>
      </c>
      <c r="C132" s="321">
        <f t="shared" si="32"/>
        <v>2027</v>
      </c>
      <c r="D132" s="323">
        <f t="shared" si="30"/>
        <v>46639</v>
      </c>
      <c r="E132" s="1337"/>
      <c r="F132" s="325">
        <f t="shared" ca="1" si="29"/>
        <v>-49.285714285714285</v>
      </c>
      <c r="G132" s="347" t="s">
        <v>1032</v>
      </c>
      <c r="H132" s="350">
        <v>15900</v>
      </c>
      <c r="I132" s="350"/>
      <c r="J132" s="1337"/>
      <c r="K132" s="1336">
        <f>K131</f>
        <v>131</v>
      </c>
      <c r="L132" s="1050" t="s">
        <v>859</v>
      </c>
      <c r="M132" s="323">
        <f t="shared" si="33"/>
        <v>46751</v>
      </c>
      <c r="N132" s="323">
        <f t="shared" si="34"/>
        <v>46779</v>
      </c>
      <c r="O132" s="1337"/>
      <c r="P132" s="351" t="s">
        <v>926</v>
      </c>
      <c r="Q132" s="438">
        <f t="shared" si="35"/>
        <v>15105</v>
      </c>
      <c r="R132" s="328">
        <f t="shared" si="36"/>
        <v>47199</v>
      </c>
      <c r="S132" s="440">
        <v>80</v>
      </c>
      <c r="T132" s="441"/>
      <c r="U132" s="1340"/>
    </row>
    <row r="133" spans="1:21">
      <c r="A133" s="332" t="s">
        <v>842</v>
      </c>
      <c r="B133" s="352">
        <v>46710</v>
      </c>
      <c r="C133" s="333">
        <f t="shared" si="32"/>
        <v>2027</v>
      </c>
      <c r="D133" s="334">
        <f t="shared" si="30"/>
        <v>46710</v>
      </c>
      <c r="E133" s="1338"/>
      <c r="F133" s="335">
        <f t="shared" ca="1" si="29"/>
        <v>-59.428571428571431</v>
      </c>
      <c r="G133" s="352" t="s">
        <v>1723</v>
      </c>
      <c r="H133" s="353">
        <v>23294</v>
      </c>
      <c r="I133" s="353"/>
      <c r="J133" s="1338"/>
      <c r="K133" s="1339"/>
      <c r="L133" s="1051" t="s">
        <v>845</v>
      </c>
      <c r="M133" s="336">
        <f t="shared" si="33"/>
        <v>46822</v>
      </c>
      <c r="N133" s="336">
        <f t="shared" si="34"/>
        <v>46850</v>
      </c>
      <c r="O133" s="1338"/>
      <c r="P133" s="354" t="s">
        <v>1723</v>
      </c>
      <c r="Q133" s="337">
        <f t="shared" si="35"/>
        <v>22129.3</v>
      </c>
      <c r="R133" s="338">
        <f t="shared" si="36"/>
        <v>47270</v>
      </c>
      <c r="S133" s="339">
        <v>80</v>
      </c>
      <c r="T133" s="355"/>
      <c r="U133" s="1340"/>
    </row>
    <row r="134" spans="1:21">
      <c r="A134" s="321" t="s">
        <v>842</v>
      </c>
      <c r="B134" s="347">
        <v>46731</v>
      </c>
      <c r="C134" s="321">
        <f t="shared" si="32"/>
        <v>2027</v>
      </c>
      <c r="D134" s="323">
        <f t="shared" si="30"/>
        <v>46731</v>
      </c>
      <c r="E134" s="1337"/>
      <c r="F134" s="325">
        <f t="shared" ca="1" si="29"/>
        <v>-62.428571428571431</v>
      </c>
      <c r="G134" s="347" t="s">
        <v>1712</v>
      </c>
      <c r="H134" s="350">
        <v>10732</v>
      </c>
      <c r="I134" s="350"/>
      <c r="J134" s="1337"/>
      <c r="K134" s="1336"/>
      <c r="L134" s="1050" t="s">
        <v>859</v>
      </c>
      <c r="M134" s="323">
        <f t="shared" si="33"/>
        <v>46843</v>
      </c>
      <c r="N134" s="323">
        <f t="shared" si="34"/>
        <v>46871</v>
      </c>
      <c r="O134" s="1337"/>
      <c r="P134" s="351" t="s">
        <v>935</v>
      </c>
      <c r="Q134" s="438">
        <f t="shared" si="35"/>
        <v>10195.4</v>
      </c>
      <c r="R134" s="328">
        <f t="shared" si="36"/>
        <v>47291</v>
      </c>
      <c r="S134" s="440">
        <v>80</v>
      </c>
      <c r="T134" s="441"/>
      <c r="U134" s="1340"/>
    </row>
    <row r="135" spans="1:21">
      <c r="A135" s="321" t="s">
        <v>842</v>
      </c>
      <c r="B135" s="347">
        <v>46731</v>
      </c>
      <c r="C135" s="321">
        <f t="shared" si="32"/>
        <v>2027</v>
      </c>
      <c r="D135" s="323">
        <f t="shared" si="30"/>
        <v>46731</v>
      </c>
      <c r="E135" s="1337"/>
      <c r="F135" s="325">
        <f t="shared" ca="1" si="29"/>
        <v>-62.428571428571431</v>
      </c>
      <c r="G135" s="347" t="s">
        <v>1716</v>
      </c>
      <c r="H135" s="350">
        <v>10316</v>
      </c>
      <c r="I135" s="350"/>
      <c r="J135" s="1337"/>
      <c r="K135" s="1336"/>
      <c r="L135" s="1049" t="s">
        <v>854</v>
      </c>
      <c r="M135" s="323">
        <f t="shared" si="33"/>
        <v>46843</v>
      </c>
      <c r="N135" s="323">
        <f t="shared" si="34"/>
        <v>46871</v>
      </c>
      <c r="O135" s="1337"/>
      <c r="P135" s="351" t="s">
        <v>939</v>
      </c>
      <c r="Q135" s="438">
        <f t="shared" si="35"/>
        <v>9800.2000000000007</v>
      </c>
      <c r="R135" s="328">
        <f t="shared" si="36"/>
        <v>47291</v>
      </c>
      <c r="S135" s="440">
        <v>80</v>
      </c>
      <c r="T135" s="441"/>
      <c r="U135" s="1340"/>
    </row>
    <row r="136" spans="1:21">
      <c r="A136" s="321" t="s">
        <v>842</v>
      </c>
      <c r="B136" s="347">
        <v>46731</v>
      </c>
      <c r="C136" s="321">
        <f t="shared" si="32"/>
        <v>2027</v>
      </c>
      <c r="D136" s="323">
        <f t="shared" si="30"/>
        <v>46731</v>
      </c>
      <c r="E136" s="1337"/>
      <c r="F136" s="325">
        <f t="shared" ca="1" si="29"/>
        <v>-62.428571428571431</v>
      </c>
      <c r="G136" s="347" t="s">
        <v>1037</v>
      </c>
      <c r="H136" s="350">
        <v>21562</v>
      </c>
      <c r="I136" s="350"/>
      <c r="J136" s="1337"/>
      <c r="K136" s="1336"/>
      <c r="L136" s="1051" t="s">
        <v>845</v>
      </c>
      <c r="M136" s="323">
        <f t="shared" si="33"/>
        <v>46843</v>
      </c>
      <c r="N136" s="323">
        <f t="shared" si="34"/>
        <v>46871</v>
      </c>
      <c r="O136" s="1337"/>
      <c r="P136" s="351" t="s">
        <v>1038</v>
      </c>
      <c r="Q136" s="438">
        <f t="shared" si="35"/>
        <v>20483.900000000001</v>
      </c>
      <c r="R136" s="328">
        <f t="shared" si="36"/>
        <v>47291</v>
      </c>
      <c r="S136" s="440">
        <v>80</v>
      </c>
      <c r="T136" s="441"/>
      <c r="U136" s="1340"/>
    </row>
    <row r="137" spans="1:21">
      <c r="A137" s="321" t="s">
        <v>842</v>
      </c>
      <c r="B137" s="347">
        <v>46731</v>
      </c>
      <c r="C137" s="321">
        <f t="shared" si="32"/>
        <v>2027</v>
      </c>
      <c r="D137" s="323">
        <f t="shared" si="30"/>
        <v>46731</v>
      </c>
      <c r="E137" s="1337"/>
      <c r="F137" s="325">
        <f t="shared" ca="1" si="29"/>
        <v>-62.428571428571431</v>
      </c>
      <c r="G137" s="347" t="s">
        <v>1039</v>
      </c>
      <c r="H137" s="350">
        <v>20036</v>
      </c>
      <c r="I137" s="350"/>
      <c r="J137" s="1337"/>
      <c r="K137" s="1336"/>
      <c r="L137" s="1048" t="s">
        <v>850</v>
      </c>
      <c r="M137" s="323">
        <f t="shared" si="33"/>
        <v>46843</v>
      </c>
      <c r="N137" s="323">
        <f t="shared" si="34"/>
        <v>46871</v>
      </c>
      <c r="O137" s="1337"/>
      <c r="P137" s="351" t="s">
        <v>1040</v>
      </c>
      <c r="Q137" s="438">
        <f t="shared" si="35"/>
        <v>19034.2</v>
      </c>
      <c r="R137" s="328">
        <f t="shared" si="36"/>
        <v>47291</v>
      </c>
      <c r="S137" s="440">
        <v>80</v>
      </c>
      <c r="T137" s="441"/>
      <c r="U137" s="1340"/>
    </row>
    <row r="138" spans="1:21">
      <c r="A138" s="321" t="s">
        <v>842</v>
      </c>
      <c r="B138" s="347">
        <v>46741</v>
      </c>
      <c r="C138" s="321">
        <f t="shared" si="32"/>
        <v>2027</v>
      </c>
      <c r="D138" s="323">
        <f t="shared" si="30"/>
        <v>46741</v>
      </c>
      <c r="E138" s="1337"/>
      <c r="F138" s="325">
        <f t="shared" ca="1" si="29"/>
        <v>-63.857142857142854</v>
      </c>
      <c r="G138" s="347" t="s">
        <v>955</v>
      </c>
      <c r="H138" s="350">
        <v>44800</v>
      </c>
      <c r="I138" s="350"/>
      <c r="J138" s="1337"/>
      <c r="K138" s="1336"/>
      <c r="L138" s="1051" t="s">
        <v>845</v>
      </c>
      <c r="M138" s="323">
        <f t="shared" si="33"/>
        <v>46853</v>
      </c>
      <c r="N138" s="323">
        <f t="shared" si="34"/>
        <v>46881</v>
      </c>
      <c r="O138" s="1337"/>
      <c r="P138" s="351" t="s">
        <v>1722</v>
      </c>
      <c r="Q138" s="438">
        <f t="shared" si="35"/>
        <v>42560</v>
      </c>
      <c r="R138" s="328">
        <f t="shared" si="36"/>
        <v>47301</v>
      </c>
      <c r="S138" s="440">
        <v>80</v>
      </c>
      <c r="T138" s="441"/>
      <c r="U138" s="1340"/>
    </row>
    <row r="139" spans="1:21">
      <c r="A139" s="332" t="s">
        <v>842</v>
      </c>
      <c r="B139" s="352">
        <v>46768</v>
      </c>
      <c r="C139" s="333">
        <f t="shared" si="32"/>
        <v>2028</v>
      </c>
      <c r="D139" s="334">
        <f t="shared" si="30"/>
        <v>46768</v>
      </c>
      <c r="E139" s="1338"/>
      <c r="F139" s="335">
        <f t="shared" ca="1" si="29"/>
        <v>-67.714285714285708</v>
      </c>
      <c r="G139" s="352" t="s">
        <v>1724</v>
      </c>
      <c r="H139" s="353">
        <v>13036</v>
      </c>
      <c r="I139" s="353"/>
      <c r="J139" s="1338"/>
      <c r="K139" s="1339"/>
      <c r="L139" s="1050" t="s">
        <v>859</v>
      </c>
      <c r="M139" s="336">
        <f t="shared" si="33"/>
        <v>46880</v>
      </c>
      <c r="N139" s="336">
        <f t="shared" si="34"/>
        <v>46908</v>
      </c>
      <c r="O139" s="1338"/>
      <c r="P139" s="352" t="s">
        <v>1724</v>
      </c>
      <c r="Q139" s="337">
        <f t="shared" si="35"/>
        <v>12384.2</v>
      </c>
      <c r="R139" s="338">
        <f t="shared" si="36"/>
        <v>47328</v>
      </c>
      <c r="S139" s="339">
        <v>80</v>
      </c>
      <c r="T139" s="355"/>
      <c r="U139" s="1340"/>
    </row>
    <row r="140" spans="1:21">
      <c r="A140" s="332" t="s">
        <v>842</v>
      </c>
      <c r="B140" s="352">
        <v>46768</v>
      </c>
      <c r="C140" s="333">
        <f t="shared" si="32"/>
        <v>2028</v>
      </c>
      <c r="D140" s="334">
        <f t="shared" si="30"/>
        <v>46768</v>
      </c>
      <c r="E140" s="1338"/>
      <c r="F140" s="335">
        <f t="shared" ca="1" si="29"/>
        <v>-67.714285714285708</v>
      </c>
      <c r="G140" s="352" t="s">
        <v>1725</v>
      </c>
      <c r="H140" s="353">
        <v>13036</v>
      </c>
      <c r="I140" s="353"/>
      <c r="J140" s="1338"/>
      <c r="K140" s="1339"/>
      <c r="L140" s="1051" t="s">
        <v>845</v>
      </c>
      <c r="M140" s="336">
        <f t="shared" si="33"/>
        <v>46880</v>
      </c>
      <c r="N140" s="336">
        <f t="shared" si="34"/>
        <v>46908</v>
      </c>
      <c r="O140" s="1338"/>
      <c r="P140" s="352" t="s">
        <v>1725</v>
      </c>
      <c r="Q140" s="337">
        <f t="shared" si="35"/>
        <v>12384.2</v>
      </c>
      <c r="R140" s="338">
        <f t="shared" si="36"/>
        <v>47328</v>
      </c>
      <c r="S140" s="339">
        <v>80</v>
      </c>
      <c r="T140" s="355"/>
      <c r="U140" s="1340"/>
    </row>
    <row r="141" spans="1:21">
      <c r="A141" s="321" t="s">
        <v>842</v>
      </c>
      <c r="B141" s="347">
        <v>46813</v>
      </c>
      <c r="C141" s="321">
        <f t="shared" si="32"/>
        <v>2028</v>
      </c>
      <c r="D141" s="323">
        <f t="shared" si="30"/>
        <v>46813</v>
      </c>
      <c r="E141" s="1337"/>
      <c r="F141" s="325">
        <f t="shared" ca="1" si="29"/>
        <v>-74.142857142857139</v>
      </c>
      <c r="G141" s="347" t="s">
        <v>1717</v>
      </c>
      <c r="H141" s="350">
        <v>20720</v>
      </c>
      <c r="I141" s="350"/>
      <c r="J141" s="1337"/>
      <c r="K141" s="1336"/>
      <c r="L141" s="1051" t="s">
        <v>845</v>
      </c>
      <c r="M141" s="323">
        <f t="shared" si="33"/>
        <v>46925</v>
      </c>
      <c r="N141" s="323">
        <f t="shared" si="34"/>
        <v>46953</v>
      </c>
      <c r="O141" s="1337"/>
      <c r="P141" s="351" t="s">
        <v>978</v>
      </c>
      <c r="Q141" s="438">
        <f t="shared" si="35"/>
        <v>19684</v>
      </c>
      <c r="R141" s="328">
        <f t="shared" si="36"/>
        <v>47373</v>
      </c>
      <c r="S141" s="440">
        <v>80</v>
      </c>
      <c r="T141" s="441"/>
      <c r="U141" s="1340"/>
    </row>
    <row r="142" spans="1:21">
      <c r="A142" s="332" t="s">
        <v>842</v>
      </c>
      <c r="B142" s="352">
        <v>46822</v>
      </c>
      <c r="C142" s="333">
        <f t="shared" si="32"/>
        <v>2028</v>
      </c>
      <c r="D142" s="334">
        <f t="shared" si="30"/>
        <v>46822</v>
      </c>
      <c r="E142" s="1338"/>
      <c r="F142" s="335">
        <f t="shared" ca="1" si="29"/>
        <v>-75.428571428571431</v>
      </c>
      <c r="G142" s="352" t="s">
        <v>1726</v>
      </c>
      <c r="H142" s="353">
        <v>25320</v>
      </c>
      <c r="I142" s="353"/>
      <c r="J142" s="1338"/>
      <c r="K142" s="1339"/>
      <c r="L142" s="1051" t="s">
        <v>845</v>
      </c>
      <c r="M142" s="336">
        <f t="shared" si="33"/>
        <v>46934</v>
      </c>
      <c r="N142" s="336">
        <f t="shared" si="34"/>
        <v>46962</v>
      </c>
      <c r="O142" s="1338"/>
      <c r="P142" s="352" t="s">
        <v>1726</v>
      </c>
      <c r="Q142" s="337">
        <f t="shared" si="35"/>
        <v>24054</v>
      </c>
      <c r="R142" s="338">
        <f t="shared" si="36"/>
        <v>47382</v>
      </c>
      <c r="S142" s="339">
        <v>80</v>
      </c>
      <c r="T142" s="355"/>
      <c r="U142" s="1340"/>
    </row>
    <row r="143" spans="1:21">
      <c r="A143" s="332" t="s">
        <v>842</v>
      </c>
      <c r="B143" s="352">
        <v>46822</v>
      </c>
      <c r="C143" s="333">
        <f t="shared" si="32"/>
        <v>2028</v>
      </c>
      <c r="D143" s="334">
        <f t="shared" si="30"/>
        <v>46822</v>
      </c>
      <c r="E143" s="1338"/>
      <c r="F143" s="335">
        <f t="shared" ca="1" si="29"/>
        <v>-75.428571428571431</v>
      </c>
      <c r="G143" s="352" t="s">
        <v>1727</v>
      </c>
      <c r="H143" s="353">
        <v>13336</v>
      </c>
      <c r="I143" s="353"/>
      <c r="J143" s="1338"/>
      <c r="K143" s="1339"/>
      <c r="L143" s="1050" t="s">
        <v>859</v>
      </c>
      <c r="M143" s="336">
        <f t="shared" si="33"/>
        <v>46934</v>
      </c>
      <c r="N143" s="336">
        <f t="shared" si="34"/>
        <v>46962</v>
      </c>
      <c r="O143" s="1338"/>
      <c r="P143" s="352" t="s">
        <v>1727</v>
      </c>
      <c r="Q143" s="337">
        <f t="shared" si="35"/>
        <v>12669.2</v>
      </c>
      <c r="R143" s="338">
        <f t="shared" si="36"/>
        <v>47382</v>
      </c>
      <c r="S143" s="339">
        <v>80</v>
      </c>
      <c r="T143" s="355"/>
      <c r="U143" s="1340"/>
    </row>
    <row r="144" spans="1:21">
      <c r="A144" s="332" t="s">
        <v>842</v>
      </c>
      <c r="B144" s="352">
        <v>46879</v>
      </c>
      <c r="C144" s="333">
        <f t="shared" si="32"/>
        <v>2028</v>
      </c>
      <c r="D144" s="334">
        <f t="shared" si="30"/>
        <v>46879</v>
      </c>
      <c r="E144" s="1338"/>
      <c r="F144" s="335">
        <f t="shared" ca="1" si="29"/>
        <v>-83.571428571428569</v>
      </c>
      <c r="G144" s="352" t="s">
        <v>912</v>
      </c>
      <c r="H144" s="353">
        <v>14560</v>
      </c>
      <c r="I144" s="353"/>
      <c r="J144" s="1338"/>
      <c r="K144" s="1339"/>
      <c r="L144" s="1050" t="s">
        <v>859</v>
      </c>
      <c r="M144" s="336">
        <f t="shared" si="33"/>
        <v>46991</v>
      </c>
      <c r="N144" s="336">
        <f t="shared" si="34"/>
        <v>47019</v>
      </c>
      <c r="O144" s="1338"/>
      <c r="P144" s="354" t="s">
        <v>914</v>
      </c>
      <c r="Q144" s="337">
        <f t="shared" si="35"/>
        <v>13832</v>
      </c>
      <c r="R144" s="338">
        <f t="shared" si="36"/>
        <v>47439</v>
      </c>
      <c r="S144" s="339">
        <v>80</v>
      </c>
      <c r="T144" s="355"/>
      <c r="U144" s="1330"/>
    </row>
    <row r="145" spans="1:21">
      <c r="A145" s="332" t="s">
        <v>842</v>
      </c>
      <c r="B145" s="352">
        <v>46879</v>
      </c>
      <c r="C145" s="333">
        <f t="shared" si="32"/>
        <v>2028</v>
      </c>
      <c r="D145" s="334">
        <f t="shared" si="30"/>
        <v>46879</v>
      </c>
      <c r="E145" s="1338"/>
      <c r="F145" s="335">
        <f t="shared" ca="1" si="29"/>
        <v>-83.571428571428569</v>
      </c>
      <c r="G145" s="352" t="s">
        <v>912</v>
      </c>
      <c r="H145" s="353">
        <v>28000</v>
      </c>
      <c r="I145" s="353"/>
      <c r="J145" s="1338"/>
      <c r="K145" s="1339"/>
      <c r="L145" s="1051" t="s">
        <v>845</v>
      </c>
      <c r="M145" s="336">
        <f t="shared" si="33"/>
        <v>46991</v>
      </c>
      <c r="N145" s="336">
        <f t="shared" si="34"/>
        <v>47019</v>
      </c>
      <c r="O145" s="1338"/>
      <c r="P145" s="354" t="s">
        <v>914</v>
      </c>
      <c r="Q145" s="337">
        <f t="shared" si="35"/>
        <v>26600</v>
      </c>
      <c r="R145" s="338">
        <f t="shared" si="36"/>
        <v>47439</v>
      </c>
      <c r="S145" s="339">
        <v>80</v>
      </c>
      <c r="T145" s="355"/>
      <c r="U145" s="1330"/>
    </row>
    <row r="146" spans="1:21">
      <c r="A146" s="321" t="s">
        <v>842</v>
      </c>
      <c r="B146" s="347">
        <v>46882</v>
      </c>
      <c r="C146" s="321">
        <f t="shared" si="32"/>
        <v>2028</v>
      </c>
      <c r="D146" s="323">
        <f t="shared" si="30"/>
        <v>46882</v>
      </c>
      <c r="E146" s="1337"/>
      <c r="F146" s="325">
        <f t="shared" ca="1" si="29"/>
        <v>-84</v>
      </c>
      <c r="G146" s="347" t="s">
        <v>1020</v>
      </c>
      <c r="H146" s="350">
        <v>12320</v>
      </c>
      <c r="I146" s="350"/>
      <c r="J146" s="1337"/>
      <c r="K146" s="1336"/>
      <c r="L146" s="1049" t="s">
        <v>854</v>
      </c>
      <c r="M146" s="323">
        <f t="shared" si="33"/>
        <v>46994</v>
      </c>
      <c r="N146" s="323">
        <f t="shared" si="34"/>
        <v>47022</v>
      </c>
      <c r="O146" s="1337"/>
      <c r="P146" s="351" t="s">
        <v>972</v>
      </c>
      <c r="Q146" s="438">
        <f t="shared" si="35"/>
        <v>11704</v>
      </c>
      <c r="R146" s="328">
        <f t="shared" si="36"/>
        <v>47442</v>
      </c>
      <c r="S146" s="440">
        <v>80</v>
      </c>
      <c r="T146" s="441"/>
      <c r="U146" s="1340"/>
    </row>
    <row r="147" spans="1:21">
      <c r="A147" s="321" t="s">
        <v>842</v>
      </c>
      <c r="B147" s="347">
        <v>46882</v>
      </c>
      <c r="C147" s="321">
        <f t="shared" si="32"/>
        <v>2028</v>
      </c>
      <c r="D147" s="323">
        <f t="shared" si="30"/>
        <v>46882</v>
      </c>
      <c r="E147" s="1337"/>
      <c r="F147" s="325">
        <f t="shared" ca="1" si="29"/>
        <v>-84</v>
      </c>
      <c r="G147" s="347" t="s">
        <v>1041</v>
      </c>
      <c r="H147" s="350">
        <v>12320</v>
      </c>
      <c r="I147" s="350"/>
      <c r="J147" s="1337"/>
      <c r="K147" s="1336"/>
      <c r="L147" s="1051" t="s">
        <v>845</v>
      </c>
      <c r="M147" s="323">
        <f t="shared" si="33"/>
        <v>46994</v>
      </c>
      <c r="N147" s="323">
        <f t="shared" si="34"/>
        <v>47022</v>
      </c>
      <c r="O147" s="1337"/>
      <c r="P147" s="351" t="s">
        <v>972</v>
      </c>
      <c r="Q147" s="438">
        <f t="shared" si="35"/>
        <v>11704</v>
      </c>
      <c r="R147" s="328">
        <f t="shared" si="36"/>
        <v>47442</v>
      </c>
      <c r="S147" s="440">
        <v>80</v>
      </c>
      <c r="T147" s="441"/>
      <c r="U147" s="1340"/>
    </row>
    <row r="148" spans="1:21">
      <c r="A148" s="321" t="s">
        <v>842</v>
      </c>
      <c r="B148" s="347">
        <v>46882</v>
      </c>
      <c r="C148" s="321">
        <f t="shared" si="32"/>
        <v>2028</v>
      </c>
      <c r="D148" s="323">
        <f t="shared" si="30"/>
        <v>46882</v>
      </c>
      <c r="E148" s="1337"/>
      <c r="F148" s="325">
        <f t="shared" ca="1" si="29"/>
        <v>-84</v>
      </c>
      <c r="G148" s="347" t="s">
        <v>1041</v>
      </c>
      <c r="H148" s="350">
        <v>25760</v>
      </c>
      <c r="I148" s="350"/>
      <c r="J148" s="1337"/>
      <c r="K148" s="1336"/>
      <c r="L148" s="1051" t="s">
        <v>845</v>
      </c>
      <c r="M148" s="323">
        <f t="shared" si="33"/>
        <v>46994</v>
      </c>
      <c r="N148" s="323">
        <f t="shared" si="34"/>
        <v>47022</v>
      </c>
      <c r="O148" s="1337"/>
      <c r="P148" s="351" t="s">
        <v>972</v>
      </c>
      <c r="Q148" s="438">
        <f t="shared" si="35"/>
        <v>24472</v>
      </c>
      <c r="R148" s="328">
        <f t="shared" si="36"/>
        <v>47442</v>
      </c>
      <c r="S148" s="440">
        <v>80</v>
      </c>
      <c r="T148" s="441"/>
      <c r="U148" s="1340"/>
    </row>
    <row r="149" spans="1:21">
      <c r="A149" s="321" t="s">
        <v>842</v>
      </c>
      <c r="B149" s="347">
        <v>46882</v>
      </c>
      <c r="C149" s="321">
        <f t="shared" si="32"/>
        <v>2028</v>
      </c>
      <c r="D149" s="323">
        <f t="shared" si="30"/>
        <v>46882</v>
      </c>
      <c r="E149" s="1337"/>
      <c r="F149" s="325">
        <f t="shared" ca="1" si="29"/>
        <v>-84</v>
      </c>
      <c r="G149" s="347" t="s">
        <v>1042</v>
      </c>
      <c r="H149" s="350">
        <v>25760</v>
      </c>
      <c r="I149" s="350"/>
      <c r="J149" s="1337"/>
      <c r="K149" s="1336"/>
      <c r="L149" s="1050" t="s">
        <v>859</v>
      </c>
      <c r="M149" s="323">
        <f t="shared" si="33"/>
        <v>46994</v>
      </c>
      <c r="N149" s="323">
        <f t="shared" si="34"/>
        <v>47022</v>
      </c>
      <c r="O149" s="1337"/>
      <c r="P149" s="351" t="s">
        <v>972</v>
      </c>
      <c r="Q149" s="438">
        <f t="shared" si="35"/>
        <v>24472</v>
      </c>
      <c r="R149" s="328">
        <f t="shared" si="36"/>
        <v>47442</v>
      </c>
      <c r="S149" s="440">
        <v>80</v>
      </c>
      <c r="T149" s="441"/>
      <c r="U149" s="1340"/>
    </row>
    <row r="150" spans="1:21">
      <c r="A150" s="321" t="s">
        <v>842</v>
      </c>
      <c r="B150" s="347">
        <v>46912</v>
      </c>
      <c r="C150" s="321">
        <f t="shared" si="32"/>
        <v>2028</v>
      </c>
      <c r="D150" s="323">
        <f t="shared" si="30"/>
        <v>46912</v>
      </c>
      <c r="E150" s="1337"/>
      <c r="F150" s="325">
        <f t="shared" ca="1" si="29"/>
        <v>-88.285714285714292</v>
      </c>
      <c r="G150" s="347" t="s">
        <v>1719</v>
      </c>
      <c r="H150" s="350">
        <v>16800</v>
      </c>
      <c r="I150" s="350"/>
      <c r="J150" s="1337"/>
      <c r="K150" s="1336"/>
      <c r="L150" s="1051" t="s">
        <v>845</v>
      </c>
      <c r="M150" s="323">
        <f t="shared" si="33"/>
        <v>47024</v>
      </c>
      <c r="N150" s="323">
        <f t="shared" si="34"/>
        <v>47052</v>
      </c>
      <c r="O150" s="1337"/>
      <c r="P150" s="351" t="s">
        <v>847</v>
      </c>
      <c r="Q150" s="438">
        <f t="shared" si="35"/>
        <v>15960</v>
      </c>
      <c r="R150" s="328">
        <f t="shared" si="36"/>
        <v>47472</v>
      </c>
      <c r="S150" s="440">
        <v>80</v>
      </c>
      <c r="T150" s="441"/>
      <c r="U150" s="1340"/>
    </row>
    <row r="151" spans="1:21">
      <c r="A151" s="321" t="s">
        <v>842</v>
      </c>
      <c r="B151" s="347">
        <v>46912</v>
      </c>
      <c r="C151" s="321">
        <f t="shared" si="32"/>
        <v>2028</v>
      </c>
      <c r="D151" s="323">
        <f t="shared" si="30"/>
        <v>46912</v>
      </c>
      <c r="E151" s="1337"/>
      <c r="F151" s="325">
        <f t="shared" ca="1" si="29"/>
        <v>-88.285714285714292</v>
      </c>
      <c r="G151" s="347" t="s">
        <v>1719</v>
      </c>
      <c r="H151" s="350">
        <v>16800</v>
      </c>
      <c r="I151" s="350"/>
      <c r="J151" s="1337"/>
      <c r="K151" s="1336"/>
      <c r="L151" s="1048" t="s">
        <v>850</v>
      </c>
      <c r="M151" s="323">
        <f t="shared" si="33"/>
        <v>47024</v>
      </c>
      <c r="N151" s="323">
        <f t="shared" si="34"/>
        <v>47052</v>
      </c>
      <c r="O151" s="1337"/>
      <c r="P151" s="351" t="s">
        <v>847</v>
      </c>
      <c r="Q151" s="438">
        <f t="shared" si="35"/>
        <v>15960</v>
      </c>
      <c r="R151" s="328">
        <f t="shared" si="36"/>
        <v>47472</v>
      </c>
      <c r="S151" s="440">
        <v>80</v>
      </c>
      <c r="T151" s="441"/>
      <c r="U151" s="1340"/>
    </row>
    <row r="152" spans="1:21">
      <c r="A152" s="332" t="s">
        <v>842</v>
      </c>
      <c r="B152" s="352">
        <v>47031</v>
      </c>
      <c r="C152" s="333">
        <f t="shared" si="32"/>
        <v>2028</v>
      </c>
      <c r="D152" s="334">
        <f t="shared" si="30"/>
        <v>47031</v>
      </c>
      <c r="E152" s="1338"/>
      <c r="F152" s="335">
        <f t="shared" ca="1" si="29"/>
        <v>-105.28571428571429</v>
      </c>
      <c r="G152" s="352" t="s">
        <v>961</v>
      </c>
      <c r="H152" s="353">
        <v>26320</v>
      </c>
      <c r="I152" s="353"/>
      <c r="J152" s="1338"/>
      <c r="K152" s="1339"/>
      <c r="L152" s="1050" t="s">
        <v>859</v>
      </c>
      <c r="M152" s="336">
        <f t="shared" si="33"/>
        <v>47143</v>
      </c>
      <c r="N152" s="336">
        <f t="shared" si="34"/>
        <v>47171</v>
      </c>
      <c r="O152" s="336"/>
      <c r="P152" s="354" t="s">
        <v>1718</v>
      </c>
      <c r="Q152" s="337">
        <f t="shared" si="35"/>
        <v>25004</v>
      </c>
      <c r="R152" s="338">
        <f t="shared" si="36"/>
        <v>47591</v>
      </c>
      <c r="S152" s="339">
        <v>80</v>
      </c>
      <c r="T152" s="339"/>
      <c r="U152" s="1329"/>
    </row>
    <row r="153" spans="1:21">
      <c r="A153" s="332" t="s">
        <v>842</v>
      </c>
      <c r="B153" s="352">
        <v>47031</v>
      </c>
      <c r="C153" s="333">
        <f t="shared" si="32"/>
        <v>2028</v>
      </c>
      <c r="D153" s="334">
        <f t="shared" si="30"/>
        <v>47031</v>
      </c>
      <c r="E153" s="1338"/>
      <c r="F153" s="335">
        <f t="shared" ca="1" si="29"/>
        <v>-105.28571428571429</v>
      </c>
      <c r="G153" s="352" t="s">
        <v>961</v>
      </c>
      <c r="H153" s="353">
        <v>15120</v>
      </c>
      <c r="I153" s="353"/>
      <c r="J153" s="1338"/>
      <c r="K153" s="1339"/>
      <c r="L153" s="1051" t="s">
        <v>845</v>
      </c>
      <c r="M153" s="336">
        <f t="shared" si="33"/>
        <v>47143</v>
      </c>
      <c r="N153" s="336">
        <f t="shared" si="34"/>
        <v>47171</v>
      </c>
      <c r="O153" s="1338"/>
      <c r="P153" s="354" t="s">
        <v>1718</v>
      </c>
      <c r="Q153" s="337">
        <f t="shared" si="35"/>
        <v>14364</v>
      </c>
      <c r="R153" s="338">
        <f t="shared" si="36"/>
        <v>47591</v>
      </c>
      <c r="S153" s="339">
        <v>80</v>
      </c>
      <c r="T153" s="355"/>
      <c r="U153" s="1330"/>
    </row>
    <row r="154" spans="1:21">
      <c r="A154" s="321"/>
      <c r="B154" s="347"/>
      <c r="C154" s="321"/>
      <c r="D154" s="323"/>
      <c r="E154" s="1337"/>
      <c r="F154" s="1333"/>
      <c r="G154" s="347"/>
      <c r="H154" s="350"/>
      <c r="I154" s="350"/>
      <c r="J154" s="1337"/>
      <c r="K154" s="1336"/>
      <c r="L154" s="1335"/>
      <c r="M154" s="323"/>
      <c r="N154" s="323"/>
      <c r="O154" s="1337"/>
      <c r="P154" s="351"/>
      <c r="Q154" s="438"/>
      <c r="R154" s="439"/>
      <c r="S154" s="440"/>
      <c r="T154" s="441"/>
      <c r="U154" s="1340"/>
    </row>
    <row r="155" spans="1:21">
      <c r="A155" s="321"/>
      <c r="B155" s="347"/>
      <c r="C155" s="321"/>
      <c r="D155" s="323"/>
      <c r="E155" s="1337"/>
      <c r="F155" s="1333"/>
      <c r="G155" s="347"/>
      <c r="H155" s="350"/>
      <c r="I155" s="350"/>
      <c r="J155" s="1337"/>
      <c r="K155" s="1336"/>
      <c r="L155" s="1335"/>
      <c r="M155" s="323"/>
      <c r="N155" s="323"/>
      <c r="O155" s="1337"/>
      <c r="P155" s="351"/>
      <c r="Q155" s="438"/>
      <c r="R155" s="439"/>
      <c r="S155" s="440"/>
      <c r="T155" s="441"/>
      <c r="U155" s="1340"/>
    </row>
    <row r="156" spans="1:21">
      <c r="A156" s="321"/>
      <c r="B156" s="347"/>
      <c r="C156" s="321"/>
      <c r="D156" s="323"/>
      <c r="E156" s="1337"/>
      <c r="F156" s="1333"/>
      <c r="G156" s="347"/>
      <c r="H156" s="350"/>
      <c r="I156" s="350"/>
      <c r="J156" s="1337"/>
      <c r="K156" s="1336"/>
      <c r="L156" s="1335"/>
      <c r="M156" s="323"/>
      <c r="N156" s="323"/>
      <c r="O156" s="1337"/>
      <c r="P156" s="351"/>
      <c r="Q156" s="438"/>
      <c r="R156" s="439"/>
      <c r="S156" s="440"/>
      <c r="T156" s="441"/>
      <c r="U156" s="1340"/>
    </row>
    <row r="157" spans="1:21">
      <c r="A157" s="321"/>
      <c r="B157" s="347"/>
      <c r="C157" s="321"/>
      <c r="D157" s="323"/>
      <c r="E157" s="1337"/>
      <c r="F157" s="1333"/>
      <c r="G157" s="347"/>
      <c r="H157" s="350"/>
      <c r="I157" s="350"/>
      <c r="J157" s="1337"/>
      <c r="K157" s="1336"/>
      <c r="L157" s="1335"/>
      <c r="M157" s="323"/>
      <c r="N157" s="323"/>
      <c r="O157" s="1337"/>
      <c r="P157" s="351"/>
      <c r="Q157" s="438"/>
      <c r="R157" s="439"/>
      <c r="S157" s="440"/>
      <c r="T157" s="441"/>
      <c r="U157" s="1340"/>
    </row>
    <row r="158" spans="1:21">
      <c r="A158" s="321"/>
      <c r="B158" s="347"/>
      <c r="C158" s="321"/>
      <c r="D158" s="323"/>
      <c r="E158" s="1337"/>
      <c r="F158" s="1333"/>
      <c r="G158" s="347"/>
      <c r="H158" s="350"/>
      <c r="I158" s="350"/>
      <c r="J158" s="1337"/>
      <c r="K158" s="1336"/>
      <c r="L158" s="1335"/>
      <c r="M158" s="323"/>
      <c r="N158" s="323"/>
      <c r="O158" s="1337"/>
      <c r="P158" s="351"/>
      <c r="Q158" s="438"/>
      <c r="R158" s="439"/>
      <c r="S158" s="440"/>
      <c r="T158" s="441"/>
      <c r="U158" s="1340"/>
    </row>
    <row r="159" spans="1:21">
      <c r="A159" s="321"/>
      <c r="B159" s="347"/>
      <c r="C159" s="321"/>
      <c r="D159" s="323"/>
      <c r="E159" s="1337"/>
      <c r="F159" s="1333"/>
      <c r="G159" s="347"/>
      <c r="H159" s="350"/>
      <c r="I159" s="350"/>
      <c r="J159" s="1337"/>
      <c r="K159" s="1336"/>
      <c r="L159" s="1335"/>
      <c r="M159" s="323"/>
      <c r="N159" s="323"/>
      <c r="O159" s="1337"/>
      <c r="P159" s="351"/>
      <c r="Q159" s="438"/>
      <c r="R159" s="439"/>
      <c r="S159" s="440"/>
      <c r="T159" s="441"/>
      <c r="U159" s="1340"/>
    </row>
  </sheetData>
  <sheetProtection formatColumns="0" autoFilter="0"/>
  <autoFilter ref="A1:U111" xr:uid="{F3E57430-3C64-4796-9DD3-953300FFCA65}"/>
  <mergeCells count="15">
    <mergeCell ref="G7:G8"/>
    <mergeCell ref="O7:O8"/>
    <mergeCell ref="Q7:Q8"/>
    <mergeCell ref="O12:O13"/>
    <mergeCell ref="P12:P13"/>
    <mergeCell ref="Q12:Q13"/>
    <mergeCell ref="K7:K8"/>
    <mergeCell ref="L111:L112"/>
    <mergeCell ref="E10:E11"/>
    <mergeCell ref="F10:F11"/>
    <mergeCell ref="G10:G11"/>
    <mergeCell ref="H10:H11"/>
    <mergeCell ref="L10:L11"/>
    <mergeCell ref="L42:L43"/>
    <mergeCell ref="H17:H18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 filterMode="1">
    <pageSetUpPr fitToPage="1"/>
  </sheetPr>
  <dimension ref="A1:AD121"/>
  <sheetViews>
    <sheetView showGridLines="0" zoomScale="80" zoomScaleNormal="80" workbookViewId="0">
      <pane ySplit="1" topLeftCell="A115" activePane="bottomLeft" state="frozen"/>
      <selection activeCell="H260" sqref="H260"/>
      <selection pane="bottomLeft" activeCell="P1" sqref="P1"/>
    </sheetView>
  </sheetViews>
  <sheetFormatPr defaultColWidth="14.3984375" defaultRowHeight="15" customHeight="1"/>
  <cols>
    <col min="1" max="1" width="7.09765625" bestFit="1" customWidth="1"/>
    <col min="2" max="2" width="14.69921875" style="18" bestFit="1" customWidth="1"/>
    <col min="3" max="3" width="14.69921875" bestFit="1" customWidth="1"/>
    <col min="4" max="4" width="7.3984375" bestFit="1" customWidth="1"/>
    <col min="5" max="5" width="6.3984375" bestFit="1" customWidth="1"/>
    <col min="6" max="6" width="10.09765625" bestFit="1" customWidth="1"/>
    <col min="7" max="7" width="23.09765625" bestFit="1" customWidth="1"/>
    <col min="8" max="8" width="7.8984375" bestFit="1" customWidth="1"/>
    <col min="9" max="9" width="7.09765625" bestFit="1" customWidth="1"/>
    <col min="10" max="10" width="6.59765625" bestFit="1" customWidth="1"/>
    <col min="11" max="11" width="3.59765625" bestFit="1" customWidth="1"/>
    <col min="12" max="12" width="6.3984375" bestFit="1" customWidth="1"/>
    <col min="13" max="13" width="18.3984375" bestFit="1" customWidth="1"/>
    <col min="14" max="14" width="15.59765625" bestFit="1" customWidth="1"/>
    <col min="15" max="15" width="7.3984375" bestFit="1" customWidth="1"/>
    <col min="16" max="16" width="10.09765625" bestFit="1" customWidth="1"/>
    <col min="17" max="17" width="24" bestFit="1" customWidth="1"/>
    <col min="18" max="18" width="7.8984375" bestFit="1" customWidth="1"/>
    <col min="19" max="19" width="7.09765625" bestFit="1" customWidth="1"/>
    <col min="20" max="20" width="15.3984375" bestFit="1" customWidth="1"/>
    <col min="21" max="21" width="6.59765625" bestFit="1" customWidth="1"/>
    <col min="22" max="22" width="4.3984375" style="18" bestFit="1" customWidth="1"/>
    <col min="23" max="23" width="10.59765625" bestFit="1" customWidth="1"/>
    <col min="30" max="30" width="14.3984375" style="18"/>
  </cols>
  <sheetData>
    <row r="1" spans="1:23" ht="15" customHeight="1">
      <c r="A1" s="633" t="s">
        <v>0</v>
      </c>
      <c r="B1" s="633" t="s">
        <v>1</v>
      </c>
      <c r="C1" s="633" t="s">
        <v>2</v>
      </c>
      <c r="D1" s="633" t="s">
        <v>3</v>
      </c>
      <c r="E1" s="633" t="s">
        <v>362</v>
      </c>
      <c r="F1" s="633" t="s">
        <v>5</v>
      </c>
      <c r="G1" s="633" t="s">
        <v>6</v>
      </c>
      <c r="H1" s="633" t="s">
        <v>7</v>
      </c>
      <c r="I1" s="633" t="s">
        <v>8</v>
      </c>
      <c r="J1" s="633" t="s">
        <v>9</v>
      </c>
      <c r="K1" s="633" t="s">
        <v>10</v>
      </c>
      <c r="L1" s="633"/>
      <c r="M1" s="633" t="s">
        <v>1044</v>
      </c>
      <c r="N1" s="634" t="s">
        <v>13</v>
      </c>
      <c r="O1" s="633" t="s">
        <v>3</v>
      </c>
      <c r="P1" s="633" t="s">
        <v>5</v>
      </c>
      <c r="Q1" s="633" t="s">
        <v>775</v>
      </c>
      <c r="R1" s="633" t="s">
        <v>7</v>
      </c>
      <c r="S1" s="635" t="s">
        <v>8</v>
      </c>
      <c r="T1" s="633" t="s">
        <v>14</v>
      </c>
      <c r="U1" s="633" t="s">
        <v>15</v>
      </c>
      <c r="V1" s="636" t="s">
        <v>10</v>
      </c>
      <c r="W1" s="637" t="s">
        <v>16</v>
      </c>
    </row>
    <row r="2" spans="1:23" ht="15" hidden="1" customHeight="1">
      <c r="A2" s="455" t="s">
        <v>17</v>
      </c>
      <c r="B2" s="456">
        <v>45392</v>
      </c>
      <c r="C2" s="629">
        <v>45393</v>
      </c>
      <c r="D2" s="457" t="s">
        <v>364</v>
      </c>
      <c r="E2" s="457">
        <v>69</v>
      </c>
      <c r="F2" s="457" t="s">
        <v>1045</v>
      </c>
      <c r="G2" s="458" t="s">
        <v>89</v>
      </c>
      <c r="H2" s="483" t="s">
        <v>1046</v>
      </c>
      <c r="I2" s="459"/>
      <c r="J2" s="455" t="s">
        <v>20</v>
      </c>
      <c r="K2" s="455">
        <v>26</v>
      </c>
      <c r="L2" s="455"/>
      <c r="M2" s="638" t="s">
        <v>365</v>
      </c>
      <c r="N2" s="630">
        <v>45540</v>
      </c>
      <c r="O2" s="460" t="s">
        <v>366</v>
      </c>
      <c r="P2" s="460" t="s">
        <v>1047</v>
      </c>
      <c r="Q2" s="461" t="s">
        <v>93</v>
      </c>
      <c r="R2" s="455" t="s">
        <v>1048</v>
      </c>
      <c r="S2" s="462">
        <v>15376</v>
      </c>
      <c r="T2" s="463">
        <v>45875</v>
      </c>
      <c r="U2" s="464">
        <v>69</v>
      </c>
      <c r="V2" s="465">
        <v>57</v>
      </c>
      <c r="W2" s="466">
        <v>45932</v>
      </c>
    </row>
    <row r="3" spans="1:23" ht="15" hidden="1" customHeight="1">
      <c r="A3" s="467" t="s">
        <v>17</v>
      </c>
      <c r="B3" s="456">
        <v>45426</v>
      </c>
      <c r="C3" s="631">
        <v>45428</v>
      </c>
      <c r="D3" s="468" t="s">
        <v>367</v>
      </c>
      <c r="E3" s="468">
        <v>68</v>
      </c>
      <c r="F3" s="468" t="s">
        <v>1049</v>
      </c>
      <c r="G3" s="458" t="s">
        <v>115</v>
      </c>
      <c r="H3" s="483" t="s">
        <v>333</v>
      </c>
      <c r="I3" s="459">
        <v>63000</v>
      </c>
      <c r="J3" s="455" t="s">
        <v>45</v>
      </c>
      <c r="K3" s="455">
        <v>68</v>
      </c>
      <c r="L3" s="455"/>
      <c r="M3" s="469" t="s">
        <v>1050</v>
      </c>
      <c r="N3" s="630">
        <v>45575</v>
      </c>
      <c r="O3" s="460" t="s">
        <v>369</v>
      </c>
      <c r="P3" s="460" t="s">
        <v>1051</v>
      </c>
      <c r="Q3" s="461" t="s">
        <v>99</v>
      </c>
      <c r="R3" s="455" t="s">
        <v>333</v>
      </c>
      <c r="S3" s="462">
        <v>58048</v>
      </c>
      <c r="T3" s="463">
        <v>45903</v>
      </c>
      <c r="U3" s="464">
        <v>68</v>
      </c>
      <c r="V3" s="465">
        <v>29</v>
      </c>
      <c r="W3" s="466">
        <v>45932</v>
      </c>
    </row>
    <row r="4" spans="1:23" ht="15" hidden="1" customHeight="1">
      <c r="A4" s="467" t="s">
        <v>17</v>
      </c>
      <c r="B4" s="456">
        <v>45423</v>
      </c>
      <c r="C4" s="631">
        <v>45421</v>
      </c>
      <c r="D4" s="468" t="s">
        <v>370</v>
      </c>
      <c r="E4" s="468">
        <v>72</v>
      </c>
      <c r="F4" s="468" t="s">
        <v>1052</v>
      </c>
      <c r="G4" s="458" t="s">
        <v>132</v>
      </c>
      <c r="H4" s="483" t="s">
        <v>1048</v>
      </c>
      <c r="I4" s="459">
        <v>36000</v>
      </c>
      <c r="J4" s="455" t="s">
        <v>45</v>
      </c>
      <c r="K4" s="455">
        <v>57</v>
      </c>
      <c r="L4" s="455"/>
      <c r="M4" s="638" t="s">
        <v>365</v>
      </c>
      <c r="N4" s="630">
        <v>45568</v>
      </c>
      <c r="O4" s="460" t="s">
        <v>371</v>
      </c>
      <c r="P4" s="460" t="s">
        <v>1053</v>
      </c>
      <c r="Q4" s="461" t="s">
        <v>105</v>
      </c>
      <c r="R4" s="455" t="s">
        <v>333</v>
      </c>
      <c r="S4" s="462">
        <v>33142</v>
      </c>
      <c r="T4" s="463">
        <v>45924</v>
      </c>
      <c r="U4" s="464">
        <v>72</v>
      </c>
      <c r="V4" s="465">
        <v>29</v>
      </c>
      <c r="W4" s="466">
        <v>45953</v>
      </c>
    </row>
    <row r="5" spans="1:23" ht="15" hidden="1" customHeight="1">
      <c r="A5" s="467" t="s">
        <v>17</v>
      </c>
      <c r="B5" s="456">
        <v>45428</v>
      </c>
      <c r="C5" s="631">
        <v>45428</v>
      </c>
      <c r="D5" s="468" t="s">
        <v>372</v>
      </c>
      <c r="E5" s="468">
        <v>71</v>
      </c>
      <c r="F5" s="468" t="s">
        <v>1054</v>
      </c>
      <c r="G5" s="458" t="s">
        <v>104</v>
      </c>
      <c r="H5" s="483" t="s">
        <v>1048</v>
      </c>
      <c r="I5" s="459">
        <v>66000</v>
      </c>
      <c r="J5" s="455" t="s">
        <v>60</v>
      </c>
      <c r="K5" s="455">
        <v>26</v>
      </c>
      <c r="L5" s="455"/>
      <c r="M5" s="638" t="s">
        <v>365</v>
      </c>
      <c r="N5" s="630">
        <v>45575</v>
      </c>
      <c r="O5" s="460" t="s">
        <v>371</v>
      </c>
      <c r="P5" s="460" t="s">
        <v>1053</v>
      </c>
      <c r="Q5" s="461" t="s">
        <v>105</v>
      </c>
      <c r="R5" s="455" t="s">
        <v>333</v>
      </c>
      <c r="S5" s="462">
        <v>7220</v>
      </c>
      <c r="T5" s="463">
        <v>45924</v>
      </c>
      <c r="U5" s="464">
        <v>71</v>
      </c>
      <c r="V5" s="465">
        <v>29</v>
      </c>
      <c r="W5" s="466">
        <v>45953</v>
      </c>
    </row>
    <row r="6" spans="1:23" ht="15" hidden="1" customHeight="1">
      <c r="A6" s="467" t="s">
        <v>17</v>
      </c>
      <c r="B6" s="456">
        <v>45428</v>
      </c>
      <c r="C6" s="631">
        <v>45428</v>
      </c>
      <c r="D6" s="468" t="s">
        <v>372</v>
      </c>
      <c r="E6" s="468">
        <v>66</v>
      </c>
      <c r="F6" s="468" t="s">
        <v>1054</v>
      </c>
      <c r="G6" s="458" t="s">
        <v>104</v>
      </c>
      <c r="H6" s="483" t="s">
        <v>1048</v>
      </c>
      <c r="I6" s="459"/>
      <c r="J6" s="455" t="s">
        <v>60</v>
      </c>
      <c r="K6" s="455">
        <v>26</v>
      </c>
      <c r="L6" s="455"/>
      <c r="M6" s="638" t="s">
        <v>365</v>
      </c>
      <c r="N6" s="630">
        <v>45575</v>
      </c>
      <c r="O6" s="460" t="s">
        <v>373</v>
      </c>
      <c r="P6" s="460" t="s">
        <v>1055</v>
      </c>
      <c r="Q6" s="461" t="s">
        <v>87</v>
      </c>
      <c r="R6" s="455" t="s">
        <v>333</v>
      </c>
      <c r="S6" s="462">
        <v>56416</v>
      </c>
      <c r="T6" s="463">
        <v>45889</v>
      </c>
      <c r="U6" s="464">
        <v>66</v>
      </c>
      <c r="V6" s="465">
        <v>36</v>
      </c>
      <c r="W6" s="466">
        <v>45925</v>
      </c>
    </row>
    <row r="7" spans="1:23" ht="15" hidden="1" customHeight="1">
      <c r="A7" s="455" t="s">
        <v>17</v>
      </c>
      <c r="B7" s="456">
        <v>45442</v>
      </c>
      <c r="C7" s="629">
        <v>45442</v>
      </c>
      <c r="D7" s="468" t="s">
        <v>374</v>
      </c>
      <c r="E7" s="457">
        <v>69</v>
      </c>
      <c r="F7" s="457" t="s">
        <v>332</v>
      </c>
      <c r="G7" s="458" t="s">
        <v>95</v>
      </c>
      <c r="H7" s="483" t="s">
        <v>333</v>
      </c>
      <c r="I7" s="459">
        <v>42000</v>
      </c>
      <c r="J7" s="455" t="s">
        <v>60</v>
      </c>
      <c r="K7" s="455">
        <v>19</v>
      </c>
      <c r="L7" s="455"/>
      <c r="M7" s="639" t="s">
        <v>376</v>
      </c>
      <c r="N7" s="630">
        <v>45589</v>
      </c>
      <c r="O7" s="460" t="s">
        <v>377</v>
      </c>
      <c r="P7" s="460" t="s">
        <v>1056</v>
      </c>
      <c r="Q7" s="461" t="s">
        <v>113</v>
      </c>
      <c r="R7" s="455" t="s">
        <v>1057</v>
      </c>
      <c r="S7" s="462">
        <v>40620</v>
      </c>
      <c r="T7" s="463">
        <v>45924</v>
      </c>
      <c r="U7" s="464">
        <v>69</v>
      </c>
      <c r="V7" s="465">
        <v>29</v>
      </c>
      <c r="W7" s="466">
        <v>45953</v>
      </c>
    </row>
    <row r="8" spans="1:23" ht="15" hidden="1" customHeight="1">
      <c r="A8" s="455" t="s">
        <v>17</v>
      </c>
      <c r="B8" s="456">
        <v>45442</v>
      </c>
      <c r="C8" s="629">
        <v>45442</v>
      </c>
      <c r="D8" s="468" t="s">
        <v>378</v>
      </c>
      <c r="E8" s="457">
        <v>66</v>
      </c>
      <c r="F8" s="457" t="s">
        <v>1058</v>
      </c>
      <c r="G8" s="458" t="s">
        <v>120</v>
      </c>
      <c r="H8" s="483" t="s">
        <v>333</v>
      </c>
      <c r="I8" s="459">
        <v>50000</v>
      </c>
      <c r="J8" s="455" t="s">
        <v>45</v>
      </c>
      <c r="K8" s="455">
        <v>49</v>
      </c>
      <c r="L8" s="455"/>
      <c r="M8" s="469" t="s">
        <v>1050</v>
      </c>
      <c r="N8" s="630">
        <v>45589</v>
      </c>
      <c r="O8" s="460" t="s">
        <v>379</v>
      </c>
      <c r="P8" s="460" t="s">
        <v>1059</v>
      </c>
      <c r="Q8" s="461" t="s">
        <v>121</v>
      </c>
      <c r="R8" s="455" t="s">
        <v>1046</v>
      </c>
      <c r="S8" s="462">
        <v>47680</v>
      </c>
      <c r="T8" s="463">
        <v>45903</v>
      </c>
      <c r="U8" s="464">
        <v>66</v>
      </c>
      <c r="V8" s="465">
        <v>64</v>
      </c>
      <c r="W8" s="466">
        <v>45967</v>
      </c>
    </row>
    <row r="9" spans="1:23" ht="15" hidden="1" customHeight="1">
      <c r="A9" s="455" t="s">
        <v>17</v>
      </c>
      <c r="B9" s="456">
        <v>45449</v>
      </c>
      <c r="C9" s="629">
        <v>45449</v>
      </c>
      <c r="D9" s="457" t="s">
        <v>380</v>
      </c>
      <c r="E9" s="457">
        <v>66</v>
      </c>
      <c r="F9" s="457" t="s">
        <v>1060</v>
      </c>
      <c r="G9" s="458" t="s">
        <v>129</v>
      </c>
      <c r="H9" s="483" t="s">
        <v>333</v>
      </c>
      <c r="I9" s="459">
        <v>37500</v>
      </c>
      <c r="J9" s="455" t="s">
        <v>45</v>
      </c>
      <c r="K9" s="455">
        <v>54</v>
      </c>
      <c r="L9" s="455"/>
      <c r="M9" s="638" t="s">
        <v>381</v>
      </c>
      <c r="N9" s="630">
        <v>45596</v>
      </c>
      <c r="O9" s="460" t="s">
        <v>382</v>
      </c>
      <c r="P9" s="460" t="s">
        <v>1061</v>
      </c>
      <c r="Q9" s="461" t="s">
        <v>102</v>
      </c>
      <c r="R9" s="455" t="s">
        <v>333</v>
      </c>
      <c r="S9" s="462">
        <v>36966</v>
      </c>
      <c r="T9" s="463">
        <v>45910</v>
      </c>
      <c r="U9" s="464">
        <v>66</v>
      </c>
      <c r="V9" s="465">
        <v>36</v>
      </c>
      <c r="W9" s="466">
        <v>45946</v>
      </c>
    </row>
    <row r="10" spans="1:23" ht="15" hidden="1" customHeight="1">
      <c r="A10" s="455" t="s">
        <v>383</v>
      </c>
      <c r="B10" s="456">
        <v>45449</v>
      </c>
      <c r="C10" s="629">
        <v>45449</v>
      </c>
      <c r="D10" s="457" t="s">
        <v>384</v>
      </c>
      <c r="E10" s="457">
        <v>69</v>
      </c>
      <c r="F10" s="457" t="s">
        <v>1062</v>
      </c>
      <c r="G10" s="458" t="s">
        <v>1063</v>
      </c>
      <c r="H10" s="483" t="s">
        <v>1062</v>
      </c>
      <c r="I10" s="459">
        <v>80000</v>
      </c>
      <c r="J10" s="455" t="s">
        <v>45</v>
      </c>
      <c r="K10" s="455">
        <v>51</v>
      </c>
      <c r="L10" s="455"/>
      <c r="M10" s="638" t="s">
        <v>365</v>
      </c>
      <c r="N10" s="630">
        <v>45596</v>
      </c>
      <c r="O10" s="460" t="s">
        <v>386</v>
      </c>
      <c r="P10" s="460" t="s">
        <v>1064</v>
      </c>
      <c r="Q10" s="461" t="s">
        <v>117</v>
      </c>
      <c r="R10" s="455" t="s">
        <v>333</v>
      </c>
      <c r="S10" s="462">
        <v>46000</v>
      </c>
      <c r="T10" s="463">
        <v>45931</v>
      </c>
      <c r="U10" s="464">
        <v>69</v>
      </c>
      <c r="V10" s="465">
        <v>36</v>
      </c>
      <c r="W10" s="466">
        <v>45967</v>
      </c>
    </row>
    <row r="11" spans="1:23" ht="15" hidden="1" customHeight="1">
      <c r="A11" s="455" t="s">
        <v>383</v>
      </c>
      <c r="B11" s="456">
        <v>45449</v>
      </c>
      <c r="C11" s="629">
        <v>45449</v>
      </c>
      <c r="D11" s="457" t="s">
        <v>384</v>
      </c>
      <c r="E11" s="457">
        <v>68</v>
      </c>
      <c r="F11" s="457" t="s">
        <v>1062</v>
      </c>
      <c r="G11" s="458" t="s">
        <v>1063</v>
      </c>
      <c r="H11" s="483" t="s">
        <v>1062</v>
      </c>
      <c r="I11" s="459"/>
      <c r="J11" s="455" t="s">
        <v>45</v>
      </c>
      <c r="K11" s="455">
        <v>51</v>
      </c>
      <c r="L11" s="455"/>
      <c r="M11" s="638" t="s">
        <v>365</v>
      </c>
      <c r="N11" s="630">
        <v>45596</v>
      </c>
      <c r="O11" s="460" t="s">
        <v>387</v>
      </c>
      <c r="P11" s="460" t="s">
        <v>1065</v>
      </c>
      <c r="Q11" s="461" t="s">
        <v>126</v>
      </c>
      <c r="R11" s="455" t="s">
        <v>333</v>
      </c>
      <c r="S11" s="462">
        <v>30000</v>
      </c>
      <c r="T11" s="463">
        <v>45924</v>
      </c>
      <c r="U11" s="464">
        <v>68</v>
      </c>
      <c r="V11" s="465">
        <v>50</v>
      </c>
      <c r="W11" s="466">
        <v>45974</v>
      </c>
    </row>
    <row r="12" spans="1:23" ht="15" hidden="1" customHeight="1">
      <c r="A12" s="455" t="s">
        <v>17</v>
      </c>
      <c r="B12" s="456">
        <v>45450</v>
      </c>
      <c r="C12" s="629">
        <v>45449</v>
      </c>
      <c r="D12" s="457" t="s">
        <v>388</v>
      </c>
      <c r="E12" s="457">
        <v>67</v>
      </c>
      <c r="F12" s="457" t="s">
        <v>1062</v>
      </c>
      <c r="G12" s="458" t="s">
        <v>1063</v>
      </c>
      <c r="H12" s="483" t="s">
        <v>1062</v>
      </c>
      <c r="I12" s="459">
        <v>22000</v>
      </c>
      <c r="J12" s="455" t="s">
        <v>45</v>
      </c>
      <c r="K12" s="455">
        <v>51</v>
      </c>
      <c r="L12" s="455"/>
      <c r="M12" s="638" t="s">
        <v>365</v>
      </c>
      <c r="N12" s="630">
        <v>45596</v>
      </c>
      <c r="O12" s="460" t="s">
        <v>389</v>
      </c>
      <c r="P12" s="460" t="s">
        <v>1066</v>
      </c>
      <c r="Q12" s="461" t="s">
        <v>109</v>
      </c>
      <c r="R12" s="455" t="s">
        <v>333</v>
      </c>
      <c r="S12" s="462">
        <v>21120</v>
      </c>
      <c r="T12" s="463">
        <v>45917</v>
      </c>
      <c r="U12" s="464">
        <v>67</v>
      </c>
      <c r="V12" s="465">
        <v>36</v>
      </c>
      <c r="W12" s="466">
        <v>45953</v>
      </c>
    </row>
    <row r="13" spans="1:23" ht="15" hidden="1" customHeight="1">
      <c r="A13" s="455" t="s">
        <v>17</v>
      </c>
      <c r="B13" s="456">
        <v>45454</v>
      </c>
      <c r="C13" s="629">
        <v>45456</v>
      </c>
      <c r="D13" s="457" t="s">
        <v>390</v>
      </c>
      <c r="E13" s="457">
        <v>67</v>
      </c>
      <c r="F13" s="457" t="s">
        <v>1067</v>
      </c>
      <c r="G13" s="458" t="s">
        <v>111</v>
      </c>
      <c r="H13" s="483" t="s">
        <v>1048</v>
      </c>
      <c r="I13" s="459">
        <v>42000</v>
      </c>
      <c r="J13" s="455" t="s">
        <v>48</v>
      </c>
      <c r="K13" s="455">
        <v>12</v>
      </c>
      <c r="L13" s="455"/>
      <c r="M13" s="638" t="s">
        <v>365</v>
      </c>
      <c r="N13" s="630">
        <v>45603</v>
      </c>
      <c r="O13" s="460" t="s">
        <v>391</v>
      </c>
      <c r="P13" s="460" t="s">
        <v>1068</v>
      </c>
      <c r="Q13" s="461" t="s">
        <v>108</v>
      </c>
      <c r="R13" s="455" t="s">
        <v>333</v>
      </c>
      <c r="S13" s="462">
        <v>23000</v>
      </c>
      <c r="T13" s="463">
        <v>45924</v>
      </c>
      <c r="U13" s="464">
        <v>67</v>
      </c>
      <c r="V13" s="465">
        <v>29</v>
      </c>
      <c r="W13" s="466">
        <v>45953</v>
      </c>
    </row>
    <row r="14" spans="1:23" ht="15" hidden="1" customHeight="1">
      <c r="A14" s="455" t="s">
        <v>17</v>
      </c>
      <c r="B14" s="456">
        <v>45454</v>
      </c>
      <c r="C14" s="629">
        <v>45456</v>
      </c>
      <c r="D14" s="457" t="s">
        <v>390</v>
      </c>
      <c r="E14" s="457">
        <v>66</v>
      </c>
      <c r="F14" s="457" t="s">
        <v>1067</v>
      </c>
      <c r="G14" s="458" t="s">
        <v>111</v>
      </c>
      <c r="H14" s="483" t="s">
        <v>1048</v>
      </c>
      <c r="I14" s="459"/>
      <c r="J14" s="455" t="s">
        <v>48</v>
      </c>
      <c r="K14" s="455">
        <v>12</v>
      </c>
      <c r="L14" s="455"/>
      <c r="M14" s="638" t="s">
        <v>365</v>
      </c>
      <c r="N14" s="630">
        <v>45603</v>
      </c>
      <c r="O14" s="460" t="s">
        <v>392</v>
      </c>
      <c r="P14" s="460" t="s">
        <v>1069</v>
      </c>
      <c r="Q14" s="461" t="s">
        <v>116</v>
      </c>
      <c r="R14" s="455" t="s">
        <v>1046</v>
      </c>
      <c r="S14" s="462">
        <v>17000</v>
      </c>
      <c r="T14" s="463">
        <v>45917</v>
      </c>
      <c r="U14" s="464">
        <v>66</v>
      </c>
      <c r="V14" s="465">
        <v>43</v>
      </c>
      <c r="W14" s="466">
        <v>45960</v>
      </c>
    </row>
    <row r="15" spans="1:23" ht="15" hidden="1" customHeight="1">
      <c r="A15" s="455" t="s">
        <v>17</v>
      </c>
      <c r="B15" s="456">
        <v>45463</v>
      </c>
      <c r="C15" s="629">
        <v>45463</v>
      </c>
      <c r="D15" s="457" t="s">
        <v>393</v>
      </c>
      <c r="E15" s="457">
        <v>68</v>
      </c>
      <c r="F15" s="457" t="s">
        <v>334</v>
      </c>
      <c r="G15" s="458" t="s">
        <v>123</v>
      </c>
      <c r="H15" s="483" t="s">
        <v>333</v>
      </c>
      <c r="I15" s="459">
        <v>44000</v>
      </c>
      <c r="J15" s="455" t="s">
        <v>45</v>
      </c>
      <c r="K15" s="455">
        <v>47</v>
      </c>
      <c r="L15" s="455"/>
      <c r="M15" s="469" t="s">
        <v>1050</v>
      </c>
      <c r="N15" s="630">
        <v>45610</v>
      </c>
      <c r="O15" s="460" t="s">
        <v>394</v>
      </c>
      <c r="P15" s="460" t="s">
        <v>1070</v>
      </c>
      <c r="Q15" s="461" t="s">
        <v>395</v>
      </c>
      <c r="R15" s="455" t="s">
        <v>1048</v>
      </c>
      <c r="S15" s="462">
        <v>42000</v>
      </c>
      <c r="T15" s="463">
        <v>45938</v>
      </c>
      <c r="U15" s="464">
        <v>68</v>
      </c>
      <c r="V15" s="465">
        <v>50</v>
      </c>
      <c r="W15" s="466">
        <v>45988</v>
      </c>
    </row>
    <row r="16" spans="1:23" ht="15" hidden="1" customHeight="1">
      <c r="A16" s="455" t="s">
        <v>17</v>
      </c>
      <c r="B16" s="456">
        <v>45463</v>
      </c>
      <c r="C16" s="629">
        <v>45463</v>
      </c>
      <c r="D16" s="457" t="s">
        <v>396</v>
      </c>
      <c r="E16" s="457">
        <v>68</v>
      </c>
      <c r="F16" s="457" t="s">
        <v>1071</v>
      </c>
      <c r="G16" s="458" t="s">
        <v>107</v>
      </c>
      <c r="H16" s="483" t="s">
        <v>333</v>
      </c>
      <c r="I16" s="459">
        <v>45000</v>
      </c>
      <c r="J16" s="455" t="s">
        <v>60</v>
      </c>
      <c r="K16" s="455">
        <v>20</v>
      </c>
      <c r="L16" s="455"/>
      <c r="M16" s="469" t="s">
        <v>1050</v>
      </c>
      <c r="N16" s="630">
        <v>45610</v>
      </c>
      <c r="O16" s="460" t="s">
        <v>394</v>
      </c>
      <c r="P16" s="460" t="s">
        <v>1070</v>
      </c>
      <c r="Q16" s="461" t="s">
        <v>395</v>
      </c>
      <c r="R16" s="455" t="s">
        <v>1048</v>
      </c>
      <c r="S16" s="462">
        <v>13000</v>
      </c>
      <c r="T16" s="463">
        <v>45938</v>
      </c>
      <c r="U16" s="464">
        <v>68</v>
      </c>
      <c r="V16" s="465">
        <v>50</v>
      </c>
      <c r="W16" s="466">
        <v>45988</v>
      </c>
    </row>
    <row r="17" spans="1:23" ht="15" hidden="1" customHeight="1">
      <c r="A17" s="455" t="s">
        <v>17</v>
      </c>
      <c r="B17" s="456">
        <v>45463</v>
      </c>
      <c r="C17" s="629">
        <v>45463</v>
      </c>
      <c r="D17" s="457" t="s">
        <v>396</v>
      </c>
      <c r="E17" s="457">
        <v>68</v>
      </c>
      <c r="F17" s="457" t="s">
        <v>1071</v>
      </c>
      <c r="G17" s="458" t="s">
        <v>107</v>
      </c>
      <c r="H17" s="483" t="s">
        <v>333</v>
      </c>
      <c r="I17" s="459"/>
      <c r="J17" s="455" t="s">
        <v>60</v>
      </c>
      <c r="K17" s="455">
        <v>20</v>
      </c>
      <c r="L17" s="455"/>
      <c r="M17" s="469" t="s">
        <v>1050</v>
      </c>
      <c r="N17" s="630">
        <v>45610</v>
      </c>
      <c r="O17" s="460" t="s">
        <v>397</v>
      </c>
      <c r="P17" s="460" t="s">
        <v>1072</v>
      </c>
      <c r="Q17" s="461" t="s">
        <v>127</v>
      </c>
      <c r="R17" s="455" t="s">
        <v>333</v>
      </c>
      <c r="S17" s="462">
        <v>30000</v>
      </c>
      <c r="T17" s="463">
        <v>45938</v>
      </c>
      <c r="U17" s="464">
        <v>68</v>
      </c>
      <c r="V17" s="465">
        <v>36</v>
      </c>
      <c r="W17" s="466">
        <v>45974</v>
      </c>
    </row>
    <row r="18" spans="1:23" ht="15" hidden="1" customHeight="1">
      <c r="A18" s="455" t="s">
        <v>17</v>
      </c>
      <c r="B18" s="456">
        <v>45471</v>
      </c>
      <c r="C18" s="629">
        <v>45470</v>
      </c>
      <c r="D18" s="457" t="s">
        <v>398</v>
      </c>
      <c r="E18" s="457">
        <v>66</v>
      </c>
      <c r="F18" s="457" t="s">
        <v>1073</v>
      </c>
      <c r="G18" s="458" t="s">
        <v>135</v>
      </c>
      <c r="H18" s="483" t="s">
        <v>333</v>
      </c>
      <c r="I18" s="459">
        <v>24000</v>
      </c>
      <c r="J18" s="455" t="s">
        <v>60</v>
      </c>
      <c r="K18" s="455">
        <v>14</v>
      </c>
      <c r="L18" s="455"/>
      <c r="M18" s="638" t="s">
        <v>365</v>
      </c>
      <c r="N18" s="630">
        <v>45617</v>
      </c>
      <c r="O18" s="460" t="s">
        <v>398</v>
      </c>
      <c r="P18" s="460" t="s">
        <v>1074</v>
      </c>
      <c r="Q18" s="461" t="s">
        <v>118</v>
      </c>
      <c r="R18" s="455" t="s">
        <v>333</v>
      </c>
      <c r="S18" s="462">
        <v>24000</v>
      </c>
      <c r="T18" s="463">
        <v>45931</v>
      </c>
      <c r="U18" s="464">
        <v>66</v>
      </c>
      <c r="V18" s="465">
        <v>36</v>
      </c>
      <c r="W18" s="466">
        <v>45967</v>
      </c>
    </row>
    <row r="19" spans="1:23" ht="15" hidden="1" customHeight="1">
      <c r="A19" s="455" t="s">
        <v>17</v>
      </c>
      <c r="B19" s="456">
        <v>45471</v>
      </c>
      <c r="C19" s="629">
        <v>45470</v>
      </c>
      <c r="D19" s="457" t="s">
        <v>399</v>
      </c>
      <c r="E19" s="457">
        <v>66</v>
      </c>
      <c r="F19" s="457" t="s">
        <v>1073</v>
      </c>
      <c r="G19" s="458" t="s">
        <v>135</v>
      </c>
      <c r="H19" s="483" t="s">
        <v>333</v>
      </c>
      <c r="I19" s="459">
        <v>46000</v>
      </c>
      <c r="J19" s="455" t="s">
        <v>60</v>
      </c>
      <c r="K19" s="455">
        <v>14</v>
      </c>
      <c r="L19" s="455"/>
      <c r="M19" s="638" t="s">
        <v>365</v>
      </c>
      <c r="N19" s="630">
        <v>45617</v>
      </c>
      <c r="O19" s="460" t="s">
        <v>400</v>
      </c>
      <c r="P19" s="460" t="s">
        <v>1075</v>
      </c>
      <c r="Q19" s="461" t="s">
        <v>130</v>
      </c>
      <c r="R19" s="455" t="s">
        <v>1076</v>
      </c>
      <c r="S19" s="462">
        <v>42000</v>
      </c>
      <c r="T19" s="463">
        <v>45931</v>
      </c>
      <c r="U19" s="464">
        <v>66</v>
      </c>
      <c r="V19" s="465">
        <v>43</v>
      </c>
      <c r="W19" s="466">
        <v>45974</v>
      </c>
    </row>
    <row r="20" spans="1:23" ht="15" hidden="1" customHeight="1">
      <c r="A20" s="455" t="s">
        <v>17</v>
      </c>
      <c r="B20" s="456">
        <v>45468</v>
      </c>
      <c r="C20" s="629">
        <v>45470</v>
      </c>
      <c r="D20" s="457" t="s">
        <v>401</v>
      </c>
      <c r="E20" s="457">
        <v>69</v>
      </c>
      <c r="F20" s="457" t="s">
        <v>1077</v>
      </c>
      <c r="G20" s="458" t="s">
        <v>160</v>
      </c>
      <c r="H20" s="483" t="s">
        <v>1078</v>
      </c>
      <c r="I20" s="459">
        <v>84000</v>
      </c>
      <c r="J20" s="470" t="s">
        <v>48</v>
      </c>
      <c r="K20" s="455">
        <v>29</v>
      </c>
      <c r="L20" s="455"/>
      <c r="M20" s="638" t="s">
        <v>381</v>
      </c>
      <c r="N20" s="630">
        <v>45617</v>
      </c>
      <c r="O20" s="460" t="s">
        <v>403</v>
      </c>
      <c r="P20" s="460" t="s">
        <v>1079</v>
      </c>
      <c r="Q20" s="461" t="s">
        <v>146</v>
      </c>
      <c r="R20" s="455" t="s">
        <v>333</v>
      </c>
      <c r="S20" s="462">
        <v>63000</v>
      </c>
      <c r="T20" s="463">
        <v>45952</v>
      </c>
      <c r="U20" s="464">
        <v>69</v>
      </c>
      <c r="V20" s="465">
        <v>43</v>
      </c>
      <c r="W20" s="466">
        <v>45995</v>
      </c>
    </row>
    <row r="21" spans="1:23" ht="15" hidden="1" customHeight="1">
      <c r="A21" s="455" t="s">
        <v>17</v>
      </c>
      <c r="B21" s="456">
        <v>45478</v>
      </c>
      <c r="C21" s="629">
        <v>45477</v>
      </c>
      <c r="D21" s="457" t="s">
        <v>404</v>
      </c>
      <c r="E21" s="457">
        <v>68</v>
      </c>
      <c r="F21" s="457" t="s">
        <v>1080</v>
      </c>
      <c r="G21" s="458" t="s">
        <v>148</v>
      </c>
      <c r="H21" s="483" t="s">
        <v>333</v>
      </c>
      <c r="I21" s="459">
        <v>60000</v>
      </c>
      <c r="J21" s="455" t="s">
        <v>45</v>
      </c>
      <c r="K21" s="455">
        <v>62</v>
      </c>
      <c r="L21" s="455"/>
      <c r="M21" s="639" t="s">
        <v>376</v>
      </c>
      <c r="N21" s="630">
        <v>45624</v>
      </c>
      <c r="O21" s="460" t="s">
        <v>403</v>
      </c>
      <c r="P21" s="460" t="s">
        <v>1079</v>
      </c>
      <c r="Q21" s="461" t="s">
        <v>146</v>
      </c>
      <c r="R21" s="455" t="s">
        <v>333</v>
      </c>
      <c r="S21" s="462">
        <v>15800</v>
      </c>
      <c r="T21" s="463">
        <v>45952</v>
      </c>
      <c r="U21" s="464">
        <v>68</v>
      </c>
      <c r="V21" s="465">
        <v>43</v>
      </c>
      <c r="W21" s="466">
        <v>45995</v>
      </c>
    </row>
    <row r="22" spans="1:23" ht="15" hidden="1" customHeight="1">
      <c r="A22" s="455" t="s">
        <v>17</v>
      </c>
      <c r="B22" s="456">
        <v>45478</v>
      </c>
      <c r="C22" s="629">
        <v>45477</v>
      </c>
      <c r="D22" s="457" t="s">
        <v>404</v>
      </c>
      <c r="E22" s="457">
        <v>64</v>
      </c>
      <c r="F22" s="457" t="s">
        <v>1080</v>
      </c>
      <c r="G22" s="458" t="s">
        <v>148</v>
      </c>
      <c r="H22" s="483" t="s">
        <v>333</v>
      </c>
      <c r="I22" s="459"/>
      <c r="J22" s="455" t="s">
        <v>45</v>
      </c>
      <c r="K22" s="455">
        <v>62</v>
      </c>
      <c r="L22" s="455"/>
      <c r="M22" s="639" t="s">
        <v>376</v>
      </c>
      <c r="N22" s="630">
        <v>45624</v>
      </c>
      <c r="O22" s="460" t="s">
        <v>405</v>
      </c>
      <c r="P22" s="460" t="s">
        <v>1069</v>
      </c>
      <c r="Q22" s="461" t="s">
        <v>116</v>
      </c>
      <c r="R22" s="455" t="s">
        <v>1046</v>
      </c>
      <c r="S22" s="462">
        <v>42000</v>
      </c>
      <c r="T22" s="463">
        <v>45924</v>
      </c>
      <c r="U22" s="464">
        <v>64</v>
      </c>
      <c r="V22" s="465">
        <v>43</v>
      </c>
      <c r="W22" s="466">
        <v>45967</v>
      </c>
    </row>
    <row r="23" spans="1:23" ht="15" hidden="1" customHeight="1">
      <c r="A23" s="455" t="s">
        <v>17</v>
      </c>
      <c r="B23" s="456">
        <v>45485</v>
      </c>
      <c r="C23" s="629">
        <v>45484</v>
      </c>
      <c r="D23" s="457" t="s">
        <v>406</v>
      </c>
      <c r="E23" s="457">
        <v>67</v>
      </c>
      <c r="F23" s="457" t="s">
        <v>1081</v>
      </c>
      <c r="G23" s="458" t="s">
        <v>157</v>
      </c>
      <c r="H23" s="483" t="s">
        <v>1048</v>
      </c>
      <c r="I23" s="459">
        <v>37500</v>
      </c>
      <c r="J23" s="455" t="s">
        <v>60</v>
      </c>
      <c r="K23" s="455">
        <v>26</v>
      </c>
      <c r="L23" s="455"/>
      <c r="M23" s="638" t="s">
        <v>365</v>
      </c>
      <c r="N23" s="630">
        <v>45631</v>
      </c>
      <c r="O23" s="460" t="s">
        <v>407</v>
      </c>
      <c r="P23" s="460" t="s">
        <v>1082</v>
      </c>
      <c r="Q23" s="461" t="s">
        <v>194</v>
      </c>
      <c r="R23" s="455" t="s">
        <v>333</v>
      </c>
      <c r="S23" s="459">
        <v>36210</v>
      </c>
      <c r="T23" s="471">
        <v>45952</v>
      </c>
      <c r="U23" s="472">
        <v>67</v>
      </c>
      <c r="V23" s="473">
        <v>134</v>
      </c>
      <c r="W23" s="474">
        <v>46086</v>
      </c>
    </row>
    <row r="24" spans="1:23" ht="15" hidden="1" customHeight="1">
      <c r="A24" s="455" t="s">
        <v>17</v>
      </c>
      <c r="B24" s="456">
        <v>45498</v>
      </c>
      <c r="C24" s="629">
        <v>45498</v>
      </c>
      <c r="D24" s="457" t="s">
        <v>408</v>
      </c>
      <c r="E24" s="457">
        <v>67</v>
      </c>
      <c r="F24" s="457" t="s">
        <v>1083</v>
      </c>
      <c r="G24" s="458" t="s">
        <v>139</v>
      </c>
      <c r="H24" s="483" t="s">
        <v>1048</v>
      </c>
      <c r="I24" s="459">
        <v>60000</v>
      </c>
      <c r="J24" s="455" t="s">
        <v>60</v>
      </c>
      <c r="K24" s="455">
        <v>21</v>
      </c>
      <c r="L24" s="455"/>
      <c r="M24" s="638" t="s">
        <v>381</v>
      </c>
      <c r="N24" s="630">
        <v>45645</v>
      </c>
      <c r="O24" s="460" t="s">
        <v>409</v>
      </c>
      <c r="P24" s="460" t="s">
        <v>1084</v>
      </c>
      <c r="Q24" s="461" t="s">
        <v>155</v>
      </c>
      <c r="R24" s="455" t="s">
        <v>333</v>
      </c>
      <c r="S24" s="462">
        <v>57024</v>
      </c>
      <c r="T24" s="463">
        <v>45966</v>
      </c>
      <c r="U24" s="464">
        <v>67</v>
      </c>
      <c r="V24" s="465">
        <v>50</v>
      </c>
      <c r="W24" s="466">
        <v>46016</v>
      </c>
    </row>
    <row r="25" spans="1:23" ht="15" hidden="1" customHeight="1">
      <c r="A25" s="455" t="s">
        <v>17</v>
      </c>
      <c r="B25" s="456">
        <v>45496</v>
      </c>
      <c r="C25" s="629">
        <v>45498</v>
      </c>
      <c r="D25" s="457" t="s">
        <v>410</v>
      </c>
      <c r="E25" s="457">
        <v>65</v>
      </c>
      <c r="F25" s="457" t="s">
        <v>1083</v>
      </c>
      <c r="G25" s="458" t="s">
        <v>139</v>
      </c>
      <c r="H25" s="483" t="s">
        <v>1048</v>
      </c>
      <c r="I25" s="459">
        <v>37500</v>
      </c>
      <c r="J25" s="455" t="s">
        <v>60</v>
      </c>
      <c r="K25" s="455">
        <v>21</v>
      </c>
      <c r="L25" s="455"/>
      <c r="M25" s="638" t="s">
        <v>365</v>
      </c>
      <c r="N25" s="630">
        <v>45645</v>
      </c>
      <c r="O25" s="460" t="s">
        <v>411</v>
      </c>
      <c r="P25" s="460" t="s">
        <v>1085</v>
      </c>
      <c r="Q25" s="461" t="s">
        <v>145</v>
      </c>
      <c r="R25" s="455" t="s">
        <v>333</v>
      </c>
      <c r="S25" s="459">
        <v>35084</v>
      </c>
      <c r="T25" s="471">
        <v>45952</v>
      </c>
      <c r="U25" s="472">
        <v>65</v>
      </c>
      <c r="V25" s="473">
        <v>43</v>
      </c>
      <c r="W25" s="474">
        <v>45995</v>
      </c>
    </row>
    <row r="26" spans="1:23" ht="15" hidden="1" customHeight="1">
      <c r="A26" s="455" t="s">
        <v>17</v>
      </c>
      <c r="B26" s="456">
        <v>45498</v>
      </c>
      <c r="C26" s="629">
        <v>45498</v>
      </c>
      <c r="D26" s="457" t="s">
        <v>412</v>
      </c>
      <c r="E26" s="457">
        <v>68</v>
      </c>
      <c r="F26" s="457" t="s">
        <v>1086</v>
      </c>
      <c r="G26" s="458" t="s">
        <v>151</v>
      </c>
      <c r="H26" s="483" t="s">
        <v>333</v>
      </c>
      <c r="I26" s="459">
        <v>42000</v>
      </c>
      <c r="J26" s="455" t="s">
        <v>45</v>
      </c>
      <c r="K26" s="455">
        <v>48</v>
      </c>
      <c r="L26" s="455"/>
      <c r="M26" s="469" t="s">
        <v>1050</v>
      </c>
      <c r="N26" s="630">
        <v>45645</v>
      </c>
      <c r="O26" s="460" t="s">
        <v>413</v>
      </c>
      <c r="P26" s="460" t="s">
        <v>1087</v>
      </c>
      <c r="Q26" s="461" t="s">
        <v>152</v>
      </c>
      <c r="R26" s="455" t="s">
        <v>1088</v>
      </c>
      <c r="S26" s="462">
        <v>40384</v>
      </c>
      <c r="T26" s="463">
        <v>45973</v>
      </c>
      <c r="U26" s="464">
        <v>68</v>
      </c>
      <c r="V26" s="465">
        <v>43</v>
      </c>
      <c r="W26" s="466">
        <v>46016</v>
      </c>
    </row>
    <row r="27" spans="1:23" ht="15" hidden="1" customHeight="1">
      <c r="A27" s="455" t="s">
        <v>17</v>
      </c>
      <c r="B27" s="456">
        <v>45507</v>
      </c>
      <c r="C27" s="629">
        <v>45505</v>
      </c>
      <c r="D27" s="457" t="s">
        <v>414</v>
      </c>
      <c r="E27" s="457">
        <v>68</v>
      </c>
      <c r="F27" s="457" t="s">
        <v>338</v>
      </c>
      <c r="G27" s="458" t="s">
        <v>144</v>
      </c>
      <c r="H27" s="483" t="s">
        <v>333</v>
      </c>
      <c r="I27" s="459">
        <v>60000</v>
      </c>
      <c r="J27" s="455" t="s">
        <v>60</v>
      </c>
      <c r="K27" s="455">
        <v>30</v>
      </c>
      <c r="L27" s="455"/>
      <c r="M27" s="638" t="s">
        <v>381</v>
      </c>
      <c r="N27" s="630">
        <v>45652</v>
      </c>
      <c r="O27" s="460" t="s">
        <v>415</v>
      </c>
      <c r="P27" s="460" t="s">
        <v>1089</v>
      </c>
      <c r="Q27" s="461" t="s">
        <v>163</v>
      </c>
      <c r="R27" s="455" t="s">
        <v>1048</v>
      </c>
      <c r="S27" s="462">
        <v>57592</v>
      </c>
      <c r="T27" s="463">
        <v>45980</v>
      </c>
      <c r="U27" s="464">
        <v>68</v>
      </c>
      <c r="V27" s="465">
        <v>50</v>
      </c>
      <c r="W27" s="466">
        <v>46030</v>
      </c>
    </row>
    <row r="28" spans="1:23" ht="15" hidden="1" customHeight="1">
      <c r="A28" s="455" t="s">
        <v>17</v>
      </c>
      <c r="B28" s="456">
        <v>45518</v>
      </c>
      <c r="C28" s="629">
        <v>45519</v>
      </c>
      <c r="D28" s="457" t="s">
        <v>416</v>
      </c>
      <c r="E28" s="457">
        <v>67</v>
      </c>
      <c r="F28" s="457" t="s">
        <v>1090</v>
      </c>
      <c r="G28" s="458" t="s">
        <v>154</v>
      </c>
      <c r="H28" s="483" t="s">
        <v>1048</v>
      </c>
      <c r="I28" s="459">
        <v>37500</v>
      </c>
      <c r="J28" s="455" t="s">
        <v>20</v>
      </c>
      <c r="K28" s="460">
        <v>15</v>
      </c>
      <c r="L28" s="460"/>
      <c r="M28" s="638" t="s">
        <v>381</v>
      </c>
      <c r="N28" s="630">
        <v>45666</v>
      </c>
      <c r="O28" s="460" t="s">
        <v>418</v>
      </c>
      <c r="P28" s="460" t="s">
        <v>1091</v>
      </c>
      <c r="Q28" s="461" t="s">
        <v>174</v>
      </c>
      <c r="R28" s="455" t="s">
        <v>333</v>
      </c>
      <c r="S28" s="462">
        <v>27541</v>
      </c>
      <c r="T28" s="463">
        <v>45987</v>
      </c>
      <c r="U28" s="464">
        <v>67</v>
      </c>
      <c r="V28" s="465">
        <v>64</v>
      </c>
      <c r="W28" s="466">
        <v>46051</v>
      </c>
    </row>
    <row r="29" spans="1:23" ht="15" hidden="1" customHeight="1">
      <c r="A29" s="455" t="s">
        <v>17</v>
      </c>
      <c r="B29" s="456">
        <v>45524</v>
      </c>
      <c r="C29" s="629">
        <v>45526</v>
      </c>
      <c r="D29" s="457" t="s">
        <v>419</v>
      </c>
      <c r="E29" s="457">
        <v>64</v>
      </c>
      <c r="F29" s="457" t="s">
        <v>1092</v>
      </c>
      <c r="G29" s="458" t="s">
        <v>19</v>
      </c>
      <c r="H29" s="483" t="s">
        <v>1046</v>
      </c>
      <c r="I29" s="459">
        <v>84000</v>
      </c>
      <c r="J29" s="455" t="s">
        <v>60</v>
      </c>
      <c r="K29" s="455">
        <v>29</v>
      </c>
      <c r="L29" s="455"/>
      <c r="M29" s="638" t="s">
        <v>381</v>
      </c>
      <c r="N29" s="630">
        <v>45673</v>
      </c>
      <c r="O29" s="460" t="s">
        <v>420</v>
      </c>
      <c r="P29" s="460" t="s">
        <v>1093</v>
      </c>
      <c r="Q29" s="461" t="s">
        <v>158</v>
      </c>
      <c r="R29" s="455" t="s">
        <v>1048</v>
      </c>
      <c r="S29" s="462">
        <v>60112</v>
      </c>
      <c r="T29" s="463">
        <v>45973</v>
      </c>
      <c r="U29" s="464">
        <v>64</v>
      </c>
      <c r="V29" s="465">
        <v>43</v>
      </c>
      <c r="W29" s="475">
        <v>46016</v>
      </c>
    </row>
    <row r="30" spans="1:23" ht="15" hidden="1" customHeight="1">
      <c r="A30" s="640" t="s">
        <v>17</v>
      </c>
      <c r="B30" s="641">
        <v>45524</v>
      </c>
      <c r="C30" s="642">
        <v>45526</v>
      </c>
      <c r="D30" s="643" t="s">
        <v>419</v>
      </c>
      <c r="E30" s="643">
        <v>68</v>
      </c>
      <c r="F30" s="643" t="s">
        <v>1092</v>
      </c>
      <c r="G30" s="644" t="s">
        <v>19</v>
      </c>
      <c r="H30" s="645" t="s">
        <v>1046</v>
      </c>
      <c r="I30" s="646"/>
      <c r="J30" s="640" t="s">
        <v>60</v>
      </c>
      <c r="K30" s="640">
        <v>29</v>
      </c>
      <c r="L30" s="803" t="s">
        <v>283</v>
      </c>
      <c r="M30" s="803" t="s">
        <v>1094</v>
      </c>
      <c r="N30" s="647">
        <v>45673</v>
      </c>
      <c r="O30" s="648" t="s">
        <v>421</v>
      </c>
      <c r="P30" s="648" t="s">
        <v>1095</v>
      </c>
      <c r="Q30" s="649" t="s">
        <v>179</v>
      </c>
      <c r="R30" s="640" t="s">
        <v>333</v>
      </c>
      <c r="S30" s="650">
        <v>20496</v>
      </c>
      <c r="T30" s="651">
        <v>46001</v>
      </c>
      <c r="U30" s="652">
        <v>68</v>
      </c>
      <c r="V30" s="653">
        <v>57</v>
      </c>
      <c r="W30" s="658">
        <v>46058</v>
      </c>
    </row>
    <row r="31" spans="1:23" ht="15" hidden="1" customHeight="1">
      <c r="A31" s="640" t="s">
        <v>17</v>
      </c>
      <c r="B31" s="641">
        <v>45525</v>
      </c>
      <c r="C31" s="642">
        <v>45526</v>
      </c>
      <c r="D31" s="643" t="s">
        <v>422</v>
      </c>
      <c r="E31" s="643">
        <v>68</v>
      </c>
      <c r="F31" s="643" t="s">
        <v>1090</v>
      </c>
      <c r="G31" s="644" t="s">
        <v>154</v>
      </c>
      <c r="H31" s="645" t="s">
        <v>1048</v>
      </c>
      <c r="I31" s="646">
        <v>64000</v>
      </c>
      <c r="J31" s="640" t="s">
        <v>20</v>
      </c>
      <c r="K31" s="640">
        <v>15</v>
      </c>
      <c r="L31" s="804" t="s">
        <v>285</v>
      </c>
      <c r="M31" s="804" t="s">
        <v>26</v>
      </c>
      <c r="N31" s="647">
        <v>45673</v>
      </c>
      <c r="O31" s="648" t="s">
        <v>423</v>
      </c>
      <c r="P31" s="648" t="s">
        <v>1095</v>
      </c>
      <c r="Q31" s="649" t="s">
        <v>179</v>
      </c>
      <c r="R31" s="640" t="s">
        <v>333</v>
      </c>
      <c r="S31" s="650">
        <v>6720</v>
      </c>
      <c r="T31" s="651">
        <v>46001</v>
      </c>
      <c r="U31" s="652">
        <v>68</v>
      </c>
      <c r="V31" s="653">
        <v>57</v>
      </c>
      <c r="W31" s="658">
        <v>46058</v>
      </c>
    </row>
    <row r="32" spans="1:23" ht="15" hidden="1" customHeight="1">
      <c r="A32" s="640" t="s">
        <v>17</v>
      </c>
      <c r="B32" s="641">
        <v>45525</v>
      </c>
      <c r="C32" s="642">
        <v>45526</v>
      </c>
      <c r="D32" s="643" t="s">
        <v>422</v>
      </c>
      <c r="E32" s="643">
        <v>66</v>
      </c>
      <c r="F32" s="643" t="s">
        <v>1090</v>
      </c>
      <c r="G32" s="644" t="s">
        <v>154</v>
      </c>
      <c r="H32" s="645" t="s">
        <v>1048</v>
      </c>
      <c r="I32" s="646"/>
      <c r="J32" s="640" t="s">
        <v>20</v>
      </c>
      <c r="K32" s="640">
        <v>15</v>
      </c>
      <c r="L32" s="804" t="s">
        <v>285</v>
      </c>
      <c r="M32" s="804" t="s">
        <v>26</v>
      </c>
      <c r="N32" s="647">
        <v>45673</v>
      </c>
      <c r="O32" s="648" t="s">
        <v>424</v>
      </c>
      <c r="P32" s="648" t="s">
        <v>1096</v>
      </c>
      <c r="Q32" s="649" t="s">
        <v>161</v>
      </c>
      <c r="R32" s="640" t="s">
        <v>1048</v>
      </c>
      <c r="S32" s="650">
        <v>61221</v>
      </c>
      <c r="T32" s="651">
        <v>45987</v>
      </c>
      <c r="U32" s="652">
        <v>66</v>
      </c>
      <c r="V32" s="653">
        <v>50</v>
      </c>
      <c r="W32" s="658">
        <v>46037</v>
      </c>
    </row>
    <row r="33" spans="1:23" ht="15" hidden="1" customHeight="1">
      <c r="A33" s="640" t="s">
        <v>17</v>
      </c>
      <c r="B33" s="641">
        <v>45532</v>
      </c>
      <c r="C33" s="642">
        <v>45533</v>
      </c>
      <c r="D33" s="643" t="s">
        <v>425</v>
      </c>
      <c r="E33" s="643">
        <v>67</v>
      </c>
      <c r="F33" s="643" t="s">
        <v>1097</v>
      </c>
      <c r="G33" s="644" t="s">
        <v>30</v>
      </c>
      <c r="H33" s="645" t="s">
        <v>1088</v>
      </c>
      <c r="I33" s="646">
        <v>42000</v>
      </c>
      <c r="J33" s="640" t="s">
        <v>60</v>
      </c>
      <c r="K33" s="640">
        <v>34</v>
      </c>
      <c r="L33" s="803" t="s">
        <v>283</v>
      </c>
      <c r="M33" s="803" t="s">
        <v>21</v>
      </c>
      <c r="N33" s="647">
        <v>45680</v>
      </c>
      <c r="O33" s="648" t="s">
        <v>426</v>
      </c>
      <c r="P33" s="648" t="s">
        <v>1098</v>
      </c>
      <c r="Q33" s="649" t="s">
        <v>166</v>
      </c>
      <c r="R33" s="640" t="s">
        <v>333</v>
      </c>
      <c r="S33" s="650">
        <v>21000</v>
      </c>
      <c r="T33" s="651">
        <v>46001</v>
      </c>
      <c r="U33" s="652">
        <v>67</v>
      </c>
      <c r="V33" s="653">
        <v>36</v>
      </c>
      <c r="W33" s="658">
        <v>46037</v>
      </c>
    </row>
    <row r="34" spans="1:23" ht="15" hidden="1" customHeight="1">
      <c r="A34" s="640" t="s">
        <v>17</v>
      </c>
      <c r="B34" s="641">
        <v>45532</v>
      </c>
      <c r="C34" s="642">
        <v>45533</v>
      </c>
      <c r="D34" s="643" t="s">
        <v>425</v>
      </c>
      <c r="E34" s="643">
        <v>66</v>
      </c>
      <c r="F34" s="643" t="s">
        <v>1097</v>
      </c>
      <c r="G34" s="644" t="s">
        <v>30</v>
      </c>
      <c r="H34" s="645" t="s">
        <v>1088</v>
      </c>
      <c r="I34" s="646"/>
      <c r="J34" s="640" t="s">
        <v>60</v>
      </c>
      <c r="K34" s="640">
        <v>34</v>
      </c>
      <c r="L34" s="803" t="s">
        <v>283</v>
      </c>
      <c r="M34" s="803" t="s">
        <v>21</v>
      </c>
      <c r="N34" s="647">
        <v>45680</v>
      </c>
      <c r="O34" s="648" t="s">
        <v>427</v>
      </c>
      <c r="P34" s="648" t="s">
        <v>1099</v>
      </c>
      <c r="Q34" s="649" t="s">
        <v>167</v>
      </c>
      <c r="R34" s="640" t="s">
        <v>333</v>
      </c>
      <c r="S34" s="650">
        <v>19000</v>
      </c>
      <c r="T34" s="651">
        <v>45994</v>
      </c>
      <c r="U34" s="652">
        <v>66</v>
      </c>
      <c r="V34" s="653">
        <v>43</v>
      </c>
      <c r="W34" s="658">
        <v>46037</v>
      </c>
    </row>
    <row r="35" spans="1:23" ht="15" hidden="1" customHeight="1">
      <c r="A35" s="640" t="s">
        <v>17</v>
      </c>
      <c r="B35" s="641">
        <v>45534</v>
      </c>
      <c r="C35" s="642">
        <v>45533</v>
      </c>
      <c r="D35" s="643" t="s">
        <v>428</v>
      </c>
      <c r="E35" s="643">
        <v>66</v>
      </c>
      <c r="F35" s="643" t="s">
        <v>336</v>
      </c>
      <c r="G35" s="644" t="s">
        <v>25</v>
      </c>
      <c r="H35" s="645" t="s">
        <v>333</v>
      </c>
      <c r="I35" s="646">
        <v>60000</v>
      </c>
      <c r="J35" s="640" t="s">
        <v>60</v>
      </c>
      <c r="K35" s="640">
        <v>29</v>
      </c>
      <c r="L35" s="803" t="s">
        <v>283</v>
      </c>
      <c r="M35" s="803" t="s">
        <v>21</v>
      </c>
      <c r="N35" s="647">
        <v>45680</v>
      </c>
      <c r="O35" s="648" t="s">
        <v>427</v>
      </c>
      <c r="P35" s="648" t="s">
        <v>1099</v>
      </c>
      <c r="Q35" s="649" t="s">
        <v>167</v>
      </c>
      <c r="R35" s="640" t="s">
        <v>333</v>
      </c>
      <c r="S35" s="650">
        <v>7000</v>
      </c>
      <c r="T35" s="651">
        <v>45994</v>
      </c>
      <c r="U35" s="652">
        <v>66</v>
      </c>
      <c r="V35" s="653">
        <v>43</v>
      </c>
      <c r="W35" s="658">
        <v>46037</v>
      </c>
    </row>
    <row r="36" spans="1:23" ht="15" hidden="1" customHeight="1">
      <c r="A36" s="640" t="s">
        <v>17</v>
      </c>
      <c r="B36" s="641">
        <v>45534</v>
      </c>
      <c r="C36" s="642">
        <v>45533</v>
      </c>
      <c r="D36" s="643" t="s">
        <v>428</v>
      </c>
      <c r="E36" s="643">
        <v>67</v>
      </c>
      <c r="F36" s="643" t="s">
        <v>336</v>
      </c>
      <c r="G36" s="644" t="s">
        <v>25</v>
      </c>
      <c r="H36" s="645" t="s">
        <v>333</v>
      </c>
      <c r="I36" s="646"/>
      <c r="J36" s="640" t="s">
        <v>60</v>
      </c>
      <c r="K36" s="640">
        <v>29</v>
      </c>
      <c r="L36" s="803" t="s">
        <v>283</v>
      </c>
      <c r="M36" s="803" t="s">
        <v>21</v>
      </c>
      <c r="N36" s="647">
        <v>45680</v>
      </c>
      <c r="O36" s="648" t="s">
        <v>430</v>
      </c>
      <c r="P36" s="648" t="s">
        <v>1100</v>
      </c>
      <c r="Q36" s="649" t="s">
        <v>182</v>
      </c>
      <c r="R36" s="640" t="s">
        <v>1048</v>
      </c>
      <c r="S36" s="650">
        <v>49728</v>
      </c>
      <c r="T36" s="651">
        <v>46001</v>
      </c>
      <c r="U36" s="652">
        <v>67</v>
      </c>
      <c r="V36" s="653">
        <v>57</v>
      </c>
      <c r="W36" s="658">
        <v>46058</v>
      </c>
    </row>
    <row r="37" spans="1:23" ht="15" hidden="1" customHeight="1">
      <c r="A37" s="640" t="s">
        <v>17</v>
      </c>
      <c r="B37" s="641">
        <v>45539</v>
      </c>
      <c r="C37" s="642">
        <v>45540</v>
      </c>
      <c r="D37" s="643" t="s">
        <v>431</v>
      </c>
      <c r="E37" s="643">
        <v>64</v>
      </c>
      <c r="F37" s="643" t="s">
        <v>1101</v>
      </c>
      <c r="G37" s="644" t="s">
        <v>59</v>
      </c>
      <c r="H37" s="645" t="s">
        <v>333</v>
      </c>
      <c r="I37" s="646">
        <v>60000</v>
      </c>
      <c r="J37" s="640" t="s">
        <v>45</v>
      </c>
      <c r="K37" s="640">
        <v>63</v>
      </c>
      <c r="L37" s="803" t="s">
        <v>283</v>
      </c>
      <c r="M37" s="803" t="s">
        <v>21</v>
      </c>
      <c r="N37" s="647">
        <v>45687</v>
      </c>
      <c r="O37" s="648" t="s">
        <v>432</v>
      </c>
      <c r="P37" s="648" t="s">
        <v>1102</v>
      </c>
      <c r="Q37" s="649" t="s">
        <v>433</v>
      </c>
      <c r="R37" s="640" t="s">
        <v>1088</v>
      </c>
      <c r="S37" s="650">
        <v>57640</v>
      </c>
      <c r="T37" s="651">
        <v>45987</v>
      </c>
      <c r="U37" s="652">
        <v>64</v>
      </c>
      <c r="V37" s="653">
        <v>64</v>
      </c>
      <c r="W37" s="658">
        <v>46051</v>
      </c>
    </row>
    <row r="38" spans="1:23" ht="15" hidden="1" customHeight="1">
      <c r="A38" s="640" t="s">
        <v>17</v>
      </c>
      <c r="B38" s="641">
        <v>45545</v>
      </c>
      <c r="C38" s="642">
        <v>45547</v>
      </c>
      <c r="D38" s="643" t="s">
        <v>434</v>
      </c>
      <c r="E38" s="643">
        <v>66</v>
      </c>
      <c r="F38" s="643" t="s">
        <v>1103</v>
      </c>
      <c r="G38" s="644" t="s">
        <v>36</v>
      </c>
      <c r="H38" s="645" t="s">
        <v>333</v>
      </c>
      <c r="I38" s="646">
        <v>60000</v>
      </c>
      <c r="J38" s="640" t="s">
        <v>60</v>
      </c>
      <c r="K38" s="640">
        <v>36</v>
      </c>
      <c r="L38" s="803" t="s">
        <v>283</v>
      </c>
      <c r="M38" s="803" t="s">
        <v>21</v>
      </c>
      <c r="N38" s="647">
        <v>45694</v>
      </c>
      <c r="O38" s="648" t="s">
        <v>435</v>
      </c>
      <c r="P38" s="648" t="s">
        <v>1104</v>
      </c>
      <c r="Q38" s="649" t="s">
        <v>436</v>
      </c>
      <c r="R38" s="640" t="s">
        <v>1046</v>
      </c>
      <c r="S38" s="650">
        <v>56960</v>
      </c>
      <c r="T38" s="651">
        <v>46008</v>
      </c>
      <c r="U38" s="652">
        <v>66</v>
      </c>
      <c r="V38" s="653">
        <v>36</v>
      </c>
      <c r="W38" s="658">
        <v>46044</v>
      </c>
    </row>
    <row r="39" spans="1:23" ht="15" hidden="1" customHeight="1">
      <c r="A39" s="82" t="s">
        <v>220</v>
      </c>
      <c r="B39" s="88">
        <v>45182</v>
      </c>
      <c r="C39" s="87">
        <v>45183</v>
      </c>
      <c r="D39" s="86" t="s">
        <v>1105</v>
      </c>
      <c r="E39" s="86">
        <v>126.71428571428571</v>
      </c>
      <c r="F39" s="457" t="s">
        <v>1106</v>
      </c>
      <c r="G39" s="84" t="s">
        <v>784</v>
      </c>
      <c r="H39" s="483" t="s">
        <v>1048</v>
      </c>
      <c r="I39" s="83">
        <v>54000</v>
      </c>
      <c r="J39" s="82" t="s">
        <v>60</v>
      </c>
      <c r="K39" s="82">
        <v>27</v>
      </c>
      <c r="L39" s="807" t="s">
        <v>285</v>
      </c>
      <c r="M39" s="803" t="s">
        <v>26</v>
      </c>
      <c r="N39" s="92">
        <v>45330</v>
      </c>
      <c r="O39" s="91" t="s">
        <v>1107</v>
      </c>
      <c r="P39" s="460" t="s">
        <v>1108</v>
      </c>
      <c r="Q39" s="90" t="s">
        <v>785</v>
      </c>
      <c r="R39" s="455" t="s">
        <v>333</v>
      </c>
      <c r="S39" s="89">
        <v>50805</v>
      </c>
      <c r="T39" s="212">
        <v>45679</v>
      </c>
      <c r="U39" s="213">
        <v>71</v>
      </c>
      <c r="V39" s="214">
        <v>50</v>
      </c>
      <c r="W39" s="215">
        <v>45729</v>
      </c>
    </row>
    <row r="40" spans="1:23" ht="15" hidden="1" customHeight="1">
      <c r="A40" s="82" t="s">
        <v>220</v>
      </c>
      <c r="B40" s="88">
        <v>45241</v>
      </c>
      <c r="C40" s="87">
        <v>45239</v>
      </c>
      <c r="D40" s="86" t="s">
        <v>1109</v>
      </c>
      <c r="E40" s="86">
        <v>118.71428571428571</v>
      </c>
      <c r="F40" s="85" t="s">
        <v>1110</v>
      </c>
      <c r="G40" s="84" t="s">
        <v>777</v>
      </c>
      <c r="H40" s="484" t="s">
        <v>333</v>
      </c>
      <c r="I40" s="83">
        <v>50000</v>
      </c>
      <c r="J40" s="82" t="s">
        <v>60</v>
      </c>
      <c r="K40" s="82">
        <v>41</v>
      </c>
      <c r="L40" s="807" t="s">
        <v>285</v>
      </c>
      <c r="M40" s="803" t="s">
        <v>26</v>
      </c>
      <c r="N40" s="92">
        <v>45386</v>
      </c>
      <c r="O40" s="91" t="s">
        <v>1111</v>
      </c>
      <c r="P40" s="91" t="s">
        <v>1112</v>
      </c>
      <c r="Q40" s="90" t="s">
        <v>786</v>
      </c>
      <c r="R40" s="91" t="s">
        <v>333</v>
      </c>
      <c r="S40" s="89">
        <v>45910</v>
      </c>
      <c r="T40" s="212">
        <v>45721</v>
      </c>
      <c r="U40" s="213">
        <v>69</v>
      </c>
      <c r="V40" s="214">
        <v>57</v>
      </c>
      <c r="W40" s="215">
        <v>45778</v>
      </c>
    </row>
    <row r="41" spans="1:23" ht="15" hidden="1" customHeight="1">
      <c r="A41" s="82" t="s">
        <v>220</v>
      </c>
      <c r="B41" s="88">
        <v>45273</v>
      </c>
      <c r="C41" s="87">
        <v>45274</v>
      </c>
      <c r="D41" s="86" t="s">
        <v>1113</v>
      </c>
      <c r="E41" s="86">
        <v>113.71428571428571</v>
      </c>
      <c r="F41" s="85" t="s">
        <v>1114</v>
      </c>
      <c r="G41" s="84" t="s">
        <v>221</v>
      </c>
      <c r="H41" s="484" t="s">
        <v>1046</v>
      </c>
      <c r="I41" s="83">
        <v>50000</v>
      </c>
      <c r="J41" s="82" t="s">
        <v>60</v>
      </c>
      <c r="K41" s="82">
        <v>35</v>
      </c>
      <c r="L41" s="807" t="s">
        <v>285</v>
      </c>
      <c r="M41" s="804" t="s">
        <v>229</v>
      </c>
      <c r="N41" s="92">
        <v>45421</v>
      </c>
      <c r="O41" s="91" t="s">
        <v>1115</v>
      </c>
      <c r="P41" s="91" t="s">
        <v>1116</v>
      </c>
      <c r="Q41" s="90" t="s">
        <v>1117</v>
      </c>
      <c r="R41" s="91" t="s">
        <v>333</v>
      </c>
      <c r="S41" s="89">
        <v>25968</v>
      </c>
      <c r="T41" s="212">
        <v>45742</v>
      </c>
      <c r="U41" s="213">
        <v>67</v>
      </c>
      <c r="V41" s="214">
        <v>57</v>
      </c>
      <c r="W41" s="215">
        <v>45799</v>
      </c>
    </row>
    <row r="42" spans="1:23" ht="15" hidden="1" customHeight="1">
      <c r="A42" s="82" t="s">
        <v>220</v>
      </c>
      <c r="B42" s="88">
        <v>45273</v>
      </c>
      <c r="C42" s="87">
        <v>45274</v>
      </c>
      <c r="D42" s="86" t="s">
        <v>1113</v>
      </c>
      <c r="E42" s="86">
        <v>113.71428571428571</v>
      </c>
      <c r="F42" s="85" t="s">
        <v>1114</v>
      </c>
      <c r="G42" s="84" t="s">
        <v>221</v>
      </c>
      <c r="H42" s="484" t="s">
        <v>1046</v>
      </c>
      <c r="I42" s="83">
        <v>0</v>
      </c>
      <c r="J42" s="82" t="s">
        <v>60</v>
      </c>
      <c r="K42" s="82">
        <v>35</v>
      </c>
      <c r="L42" s="807" t="s">
        <v>285</v>
      </c>
      <c r="M42" s="804" t="s">
        <v>229</v>
      </c>
      <c r="N42" s="92">
        <v>45421</v>
      </c>
      <c r="O42" s="91" t="s">
        <v>1118</v>
      </c>
      <c r="P42" s="91" t="s">
        <v>1119</v>
      </c>
      <c r="Q42" s="90" t="s">
        <v>787</v>
      </c>
      <c r="R42" s="91" t="s">
        <v>333</v>
      </c>
      <c r="S42" s="89">
        <v>21696</v>
      </c>
      <c r="T42" s="212">
        <v>45742</v>
      </c>
      <c r="U42" s="213">
        <v>67</v>
      </c>
      <c r="V42" s="214">
        <v>57</v>
      </c>
      <c r="W42" s="215">
        <v>45799</v>
      </c>
    </row>
    <row r="43" spans="1:23" ht="15" hidden="1" customHeight="1">
      <c r="A43" s="82" t="s">
        <v>220</v>
      </c>
      <c r="B43" s="88">
        <v>45300</v>
      </c>
      <c r="C43" s="87">
        <v>45302</v>
      </c>
      <c r="D43" s="86" t="s">
        <v>1120</v>
      </c>
      <c r="E43" s="86">
        <v>109.71428571428571</v>
      </c>
      <c r="F43" s="85" t="s">
        <v>1121</v>
      </c>
      <c r="G43" s="84" t="s">
        <v>782</v>
      </c>
      <c r="H43" s="484" t="s">
        <v>1088</v>
      </c>
      <c r="I43" s="83">
        <v>50000</v>
      </c>
      <c r="J43" s="82" t="s">
        <v>45</v>
      </c>
      <c r="K43" s="82">
        <v>58</v>
      </c>
      <c r="L43" s="807" t="s">
        <v>285</v>
      </c>
      <c r="M43" s="804" t="s">
        <v>229</v>
      </c>
      <c r="N43" s="92">
        <v>45449</v>
      </c>
      <c r="O43" s="91" t="s">
        <v>1122</v>
      </c>
      <c r="P43" s="91" t="s">
        <v>1123</v>
      </c>
      <c r="Q43" s="90" t="s">
        <v>788</v>
      </c>
      <c r="R43" s="91" t="s">
        <v>333</v>
      </c>
      <c r="S43" s="89">
        <v>47607</v>
      </c>
      <c r="T43" s="212">
        <v>45784</v>
      </c>
      <c r="U43" s="213">
        <v>69</v>
      </c>
      <c r="V43" s="214">
        <v>50</v>
      </c>
      <c r="W43" s="215">
        <v>45834</v>
      </c>
    </row>
    <row r="44" spans="1:23" ht="15" hidden="1" customHeight="1">
      <c r="A44" s="82" t="s">
        <v>220</v>
      </c>
      <c r="B44" s="88">
        <v>45357</v>
      </c>
      <c r="C44" s="87">
        <v>45358</v>
      </c>
      <c r="D44" s="86" t="s">
        <v>1124</v>
      </c>
      <c r="E44" s="86">
        <v>101.71428571428571</v>
      </c>
      <c r="F44" s="85" t="s">
        <v>1106</v>
      </c>
      <c r="G44" s="84" t="s">
        <v>784</v>
      </c>
      <c r="H44" s="484" t="s">
        <v>1048</v>
      </c>
      <c r="I44" s="83">
        <v>50000</v>
      </c>
      <c r="J44" s="82" t="s">
        <v>45</v>
      </c>
      <c r="K44" s="82">
        <v>77</v>
      </c>
      <c r="L44" s="803" t="s">
        <v>283</v>
      </c>
      <c r="M44" s="803" t="s">
        <v>21</v>
      </c>
      <c r="N44" s="92">
        <v>45505</v>
      </c>
      <c r="O44" s="91" t="s">
        <v>1125</v>
      </c>
      <c r="P44" s="91" t="s">
        <v>1126</v>
      </c>
      <c r="Q44" s="90" t="s">
        <v>789</v>
      </c>
      <c r="R44" s="91" t="s">
        <v>333</v>
      </c>
      <c r="S44" s="89">
        <v>47078</v>
      </c>
      <c r="T44" s="212">
        <v>45861</v>
      </c>
      <c r="U44" s="213">
        <v>72</v>
      </c>
      <c r="V44" s="214">
        <v>50</v>
      </c>
      <c r="W44" s="215">
        <v>45911</v>
      </c>
    </row>
    <row r="45" spans="1:23" ht="15" hidden="1" customHeight="1">
      <c r="A45" s="82" t="s">
        <v>220</v>
      </c>
      <c r="B45" s="88">
        <v>45427</v>
      </c>
      <c r="C45" s="87">
        <v>45428</v>
      </c>
      <c r="D45" s="110" t="s">
        <v>1127</v>
      </c>
      <c r="E45" s="110">
        <v>91.714285714285708</v>
      </c>
      <c r="F45" s="85" t="s">
        <v>1110</v>
      </c>
      <c r="G45" s="84" t="s">
        <v>777</v>
      </c>
      <c r="H45" s="484" t="s">
        <v>333</v>
      </c>
      <c r="I45" s="83">
        <v>50000</v>
      </c>
      <c r="J45" s="82" t="s">
        <v>45</v>
      </c>
      <c r="K45" s="82">
        <v>57</v>
      </c>
      <c r="L45" s="807" t="s">
        <v>285</v>
      </c>
      <c r="M45" s="803" t="s">
        <v>26</v>
      </c>
      <c r="N45" s="92">
        <v>45575</v>
      </c>
      <c r="O45" s="91" t="s">
        <v>1128</v>
      </c>
      <c r="P45" s="91" t="s">
        <v>1129</v>
      </c>
      <c r="Q45" s="90" t="s">
        <v>778</v>
      </c>
      <c r="R45" s="91" t="s">
        <v>333</v>
      </c>
      <c r="S45" s="89">
        <v>48175</v>
      </c>
      <c r="T45" s="212">
        <v>45910</v>
      </c>
      <c r="U45" s="213">
        <v>69</v>
      </c>
      <c r="V45" s="214">
        <v>57</v>
      </c>
      <c r="W45" s="215">
        <v>45967</v>
      </c>
    </row>
    <row r="46" spans="1:23" ht="15" hidden="1" customHeight="1">
      <c r="A46" s="82" t="s">
        <v>220</v>
      </c>
      <c r="B46" s="88">
        <v>45456</v>
      </c>
      <c r="C46" s="87">
        <v>45456</v>
      </c>
      <c r="D46" s="110" t="s">
        <v>1130</v>
      </c>
      <c r="E46" s="110">
        <v>87.714285714285708</v>
      </c>
      <c r="F46" s="85" t="s">
        <v>1114</v>
      </c>
      <c r="G46" s="84" t="s">
        <v>221</v>
      </c>
      <c r="H46" s="484" t="s">
        <v>1046</v>
      </c>
      <c r="I46" s="83">
        <v>54000</v>
      </c>
      <c r="J46" s="82" t="s">
        <v>45</v>
      </c>
      <c r="K46" s="82">
        <v>47</v>
      </c>
      <c r="L46" s="803" t="s">
        <v>283</v>
      </c>
      <c r="M46" s="803" t="s">
        <v>21</v>
      </c>
      <c r="N46" s="92">
        <v>45603</v>
      </c>
      <c r="O46" s="91" t="s">
        <v>1131</v>
      </c>
      <c r="P46" s="91" t="s">
        <v>1132</v>
      </c>
      <c r="Q46" s="90" t="s">
        <v>780</v>
      </c>
      <c r="R46" s="91" t="s">
        <v>333</v>
      </c>
      <c r="S46" s="89">
        <v>51570</v>
      </c>
      <c r="T46" s="212">
        <v>45938</v>
      </c>
      <c r="U46" s="213">
        <v>69</v>
      </c>
      <c r="V46" s="214">
        <v>57</v>
      </c>
      <c r="W46" s="215">
        <v>45995</v>
      </c>
    </row>
    <row r="47" spans="1:23" ht="15" hidden="1" customHeight="1">
      <c r="A47" s="82" t="s">
        <v>220</v>
      </c>
      <c r="B47" s="88">
        <v>45507</v>
      </c>
      <c r="C47" s="87">
        <v>45505</v>
      </c>
      <c r="D47" s="110" t="s">
        <v>1133</v>
      </c>
      <c r="E47" s="110">
        <v>80.714285714285708</v>
      </c>
      <c r="F47" s="85" t="s">
        <v>1121</v>
      </c>
      <c r="G47" s="84" t="s">
        <v>782</v>
      </c>
      <c r="H47" s="484" t="s">
        <v>1088</v>
      </c>
      <c r="I47" s="83">
        <v>54000</v>
      </c>
      <c r="J47" s="82" t="s">
        <v>60</v>
      </c>
      <c r="K47" s="82">
        <v>33</v>
      </c>
      <c r="L47" s="807" t="s">
        <v>285</v>
      </c>
      <c r="M47" s="803" t="s">
        <v>26</v>
      </c>
      <c r="N47" s="92">
        <v>45652</v>
      </c>
      <c r="O47" s="91" t="s">
        <v>1134</v>
      </c>
      <c r="P47" s="91" t="s">
        <v>1135</v>
      </c>
      <c r="Q47" s="90" t="s">
        <v>783</v>
      </c>
      <c r="R47" s="91" t="s">
        <v>333</v>
      </c>
      <c r="S47" s="89">
        <v>51570</v>
      </c>
      <c r="T47" s="212">
        <v>45966</v>
      </c>
      <c r="U47" s="213">
        <v>66</v>
      </c>
      <c r="V47" s="214">
        <v>57</v>
      </c>
      <c r="W47" s="215">
        <v>46023</v>
      </c>
    </row>
    <row r="48" spans="1:23" ht="15" hidden="1" customHeight="1">
      <c r="A48" s="53" t="s">
        <v>17</v>
      </c>
      <c r="B48" s="52">
        <v>45289</v>
      </c>
      <c r="C48" s="63">
        <v>45288</v>
      </c>
      <c r="D48" s="64" t="s">
        <v>1136</v>
      </c>
      <c r="E48" s="65">
        <v>71</v>
      </c>
      <c r="F48" s="643" t="s">
        <v>334</v>
      </c>
      <c r="G48" s="66" t="s">
        <v>123</v>
      </c>
      <c r="H48" s="645" t="s">
        <v>333</v>
      </c>
      <c r="I48" s="65"/>
      <c r="J48" s="53"/>
      <c r="K48" s="53">
        <v>97</v>
      </c>
      <c r="L48" s="32" t="s">
        <v>283</v>
      </c>
      <c r="M48" s="32" t="s">
        <v>21</v>
      </c>
      <c r="N48" s="35">
        <v>45435</v>
      </c>
      <c r="O48" s="36" t="s">
        <v>893</v>
      </c>
      <c r="P48" s="36" t="s">
        <v>1137</v>
      </c>
      <c r="Q48" s="57" t="s">
        <v>234</v>
      </c>
      <c r="R48" s="640" t="s">
        <v>1048</v>
      </c>
      <c r="S48" s="39">
        <v>19106</v>
      </c>
      <c r="T48" s="42">
        <v>45784</v>
      </c>
      <c r="U48" s="43">
        <v>71</v>
      </c>
      <c r="V48" s="137">
        <v>50</v>
      </c>
      <c r="W48" s="51">
        <v>45834</v>
      </c>
    </row>
    <row r="49" spans="1:23" ht="15" hidden="1" customHeight="1">
      <c r="A49" s="33" t="s">
        <v>177</v>
      </c>
      <c r="B49" s="34">
        <v>45372</v>
      </c>
      <c r="C49" s="76">
        <v>45372</v>
      </c>
      <c r="D49" s="77" t="s">
        <v>1138</v>
      </c>
      <c r="E49" s="78">
        <v>66</v>
      </c>
      <c r="F49" s="78" t="s">
        <v>1139</v>
      </c>
      <c r="G49" s="79" t="s">
        <v>178</v>
      </c>
      <c r="H49" s="825" t="s">
        <v>1048</v>
      </c>
      <c r="I49" s="78">
        <v>45000</v>
      </c>
      <c r="J49" s="33" t="s">
        <v>60</v>
      </c>
      <c r="K49" s="33">
        <v>19</v>
      </c>
      <c r="L49" s="38" t="s">
        <v>283</v>
      </c>
      <c r="M49" s="806" t="s">
        <v>37</v>
      </c>
      <c r="N49" s="76">
        <v>45519</v>
      </c>
      <c r="O49" s="33" t="s">
        <v>923</v>
      </c>
      <c r="P49" s="33" t="s">
        <v>1062</v>
      </c>
      <c r="Q49" s="158" t="s">
        <v>1140</v>
      </c>
      <c r="R49" s="33" t="s">
        <v>1062</v>
      </c>
      <c r="S49" s="78">
        <v>39363</v>
      </c>
      <c r="T49" s="259">
        <v>45833</v>
      </c>
      <c r="U49" s="260">
        <v>66</v>
      </c>
      <c r="V49" s="137">
        <v>57</v>
      </c>
      <c r="W49" s="51">
        <v>45890</v>
      </c>
    </row>
    <row r="50" spans="1:23" ht="15" hidden="1" customHeight="1">
      <c r="A50" s="33" t="s">
        <v>244</v>
      </c>
      <c r="B50" s="34">
        <v>45374</v>
      </c>
      <c r="C50" s="76">
        <v>45372</v>
      </c>
      <c r="D50" s="77" t="s">
        <v>1141</v>
      </c>
      <c r="E50" s="78">
        <v>66</v>
      </c>
      <c r="F50" s="78" t="s">
        <v>1142</v>
      </c>
      <c r="G50" s="80" t="s">
        <v>245</v>
      </c>
      <c r="H50" s="826" t="s">
        <v>333</v>
      </c>
      <c r="I50" s="78">
        <v>30000</v>
      </c>
      <c r="J50" s="33" t="s">
        <v>60</v>
      </c>
      <c r="K50" s="33">
        <v>30</v>
      </c>
      <c r="L50" s="32" t="s">
        <v>283</v>
      </c>
      <c r="M50" s="803" t="s">
        <v>1094</v>
      </c>
      <c r="N50" s="76">
        <v>45519</v>
      </c>
      <c r="O50" s="33" t="s">
        <v>927</v>
      </c>
      <c r="P50" s="33" t="s">
        <v>1062</v>
      </c>
      <c r="Q50" s="158" t="s">
        <v>1140</v>
      </c>
      <c r="R50" s="33" t="s">
        <v>1062</v>
      </c>
      <c r="S50" s="78">
        <v>28457</v>
      </c>
      <c r="T50" s="259">
        <v>45833</v>
      </c>
      <c r="U50" s="260">
        <v>66</v>
      </c>
      <c r="V50" s="137">
        <v>57</v>
      </c>
      <c r="W50" s="51">
        <v>45890</v>
      </c>
    </row>
    <row r="51" spans="1:23" ht="15" hidden="1" customHeight="1">
      <c r="A51" s="53" t="s">
        <v>17</v>
      </c>
      <c r="B51" s="52">
        <v>45373</v>
      </c>
      <c r="C51" s="63">
        <v>45372</v>
      </c>
      <c r="D51" s="64" t="s">
        <v>1143</v>
      </c>
      <c r="E51" s="65">
        <v>68</v>
      </c>
      <c r="F51" s="65" t="s">
        <v>337</v>
      </c>
      <c r="G51" s="66" t="s">
        <v>68</v>
      </c>
      <c r="H51" s="827" t="s">
        <v>333</v>
      </c>
      <c r="I51" s="65"/>
      <c r="J51" s="53" t="s">
        <v>20</v>
      </c>
      <c r="K51" s="53">
        <v>35</v>
      </c>
      <c r="L51" s="32" t="s">
        <v>283</v>
      </c>
      <c r="M51" s="32" t="s">
        <v>21</v>
      </c>
      <c r="N51" s="40">
        <v>45519</v>
      </c>
      <c r="O51" s="41" t="s">
        <v>919</v>
      </c>
      <c r="P51" s="41" t="s">
        <v>1144</v>
      </c>
      <c r="Q51" s="61" t="s">
        <v>65</v>
      </c>
      <c r="R51" s="41" t="s">
        <v>333</v>
      </c>
      <c r="S51" s="261">
        <v>31992</v>
      </c>
      <c r="T51" s="264">
        <v>45847</v>
      </c>
      <c r="U51" s="43">
        <v>68</v>
      </c>
      <c r="V51" s="137">
        <v>43</v>
      </c>
      <c r="W51" s="51" t="s">
        <v>605</v>
      </c>
    </row>
    <row r="52" spans="1:23" ht="15" hidden="1" customHeight="1">
      <c r="A52" s="53" t="s">
        <v>17</v>
      </c>
      <c r="B52" s="52">
        <v>45392</v>
      </c>
      <c r="C52" s="63">
        <v>45393</v>
      </c>
      <c r="D52" s="64" t="s">
        <v>364</v>
      </c>
      <c r="E52" s="65">
        <v>66</v>
      </c>
      <c r="F52" s="65" t="s">
        <v>1045</v>
      </c>
      <c r="G52" s="66" t="s">
        <v>89</v>
      </c>
      <c r="H52" s="827" t="s">
        <v>1046</v>
      </c>
      <c r="I52" s="65"/>
      <c r="J52" s="53" t="s">
        <v>20</v>
      </c>
      <c r="K52" s="53">
        <v>28</v>
      </c>
      <c r="L52" s="32" t="s">
        <v>283</v>
      </c>
      <c r="M52" s="32" t="s">
        <v>21</v>
      </c>
      <c r="N52" s="40">
        <v>45540</v>
      </c>
      <c r="O52" s="41" t="s">
        <v>1145</v>
      </c>
      <c r="P52" s="41" t="s">
        <v>1146</v>
      </c>
      <c r="Q52" s="61" t="s">
        <v>257</v>
      </c>
      <c r="R52" s="41" t="s">
        <v>1088</v>
      </c>
      <c r="S52" s="261">
        <v>22679</v>
      </c>
      <c r="T52" s="264">
        <v>45854</v>
      </c>
      <c r="U52" s="43">
        <v>66</v>
      </c>
      <c r="V52" s="137">
        <v>36</v>
      </c>
      <c r="W52" s="51">
        <v>45890</v>
      </c>
    </row>
    <row r="53" spans="1:23" ht="15" hidden="1" customHeight="1">
      <c r="A53" s="33" t="s">
        <v>17</v>
      </c>
      <c r="B53" s="34">
        <v>45422</v>
      </c>
      <c r="C53" s="76">
        <v>45421</v>
      </c>
      <c r="D53" s="77" t="s">
        <v>1147</v>
      </c>
      <c r="E53" s="78">
        <v>67</v>
      </c>
      <c r="F53" s="78" t="s">
        <v>1148</v>
      </c>
      <c r="G53" s="79" t="s">
        <v>315</v>
      </c>
      <c r="H53" s="825" t="s">
        <v>333</v>
      </c>
      <c r="I53" s="78">
        <v>60000</v>
      </c>
      <c r="J53" s="33" t="s">
        <v>60</v>
      </c>
      <c r="K53" s="33">
        <v>20</v>
      </c>
      <c r="L53" s="37" t="s">
        <v>285</v>
      </c>
      <c r="M53" s="37" t="s">
        <v>1050</v>
      </c>
      <c r="N53" s="21">
        <v>45568</v>
      </c>
      <c r="O53" s="20" t="s">
        <v>899</v>
      </c>
      <c r="P53" s="20" t="s">
        <v>1149</v>
      </c>
      <c r="Q53" s="158" t="s">
        <v>316</v>
      </c>
      <c r="R53" s="33" t="s">
        <v>333</v>
      </c>
      <c r="S53" s="262">
        <v>56464</v>
      </c>
      <c r="T53" s="159">
        <v>45889</v>
      </c>
      <c r="U53" s="160">
        <v>67</v>
      </c>
      <c r="V53" s="362">
        <v>57</v>
      </c>
      <c r="W53" s="51">
        <v>45946</v>
      </c>
    </row>
    <row r="54" spans="1:23" ht="15" hidden="1" customHeight="1">
      <c r="A54" s="33" t="s">
        <v>244</v>
      </c>
      <c r="B54" s="34">
        <v>45445</v>
      </c>
      <c r="C54" s="76">
        <v>45449</v>
      </c>
      <c r="D54" s="77" t="s">
        <v>1150</v>
      </c>
      <c r="E54" s="78">
        <v>67</v>
      </c>
      <c r="F54" s="78" t="s">
        <v>1151</v>
      </c>
      <c r="G54" s="79" t="s">
        <v>318</v>
      </c>
      <c r="H54" s="825" t="s">
        <v>1048</v>
      </c>
      <c r="I54" s="78">
        <v>30000</v>
      </c>
      <c r="J54" s="33" t="s">
        <v>60</v>
      </c>
      <c r="K54" s="33">
        <v>23</v>
      </c>
      <c r="L54" s="37" t="s">
        <v>285</v>
      </c>
      <c r="M54" s="37" t="s">
        <v>1050</v>
      </c>
      <c r="N54" s="76">
        <v>45596</v>
      </c>
      <c r="O54" s="33" t="s">
        <v>917</v>
      </c>
      <c r="P54" s="33" t="s">
        <v>1152</v>
      </c>
      <c r="Q54" s="158" t="s">
        <v>260</v>
      </c>
      <c r="R54" s="33" t="s">
        <v>1046</v>
      </c>
      <c r="S54" s="78">
        <v>28032</v>
      </c>
      <c r="T54" s="259">
        <v>45917</v>
      </c>
      <c r="U54" s="260">
        <v>67</v>
      </c>
      <c r="V54" s="362">
        <v>43</v>
      </c>
      <c r="W54" s="51">
        <v>45960</v>
      </c>
    </row>
    <row r="55" spans="1:23" ht="15" hidden="1" customHeight="1">
      <c r="A55" s="33" t="s">
        <v>177</v>
      </c>
      <c r="B55" s="34">
        <v>45477</v>
      </c>
      <c r="C55" s="76">
        <v>45477</v>
      </c>
      <c r="D55" s="77" t="s">
        <v>1153</v>
      </c>
      <c r="E55" s="78">
        <v>70</v>
      </c>
      <c r="F55" s="78" t="s">
        <v>1154</v>
      </c>
      <c r="G55" s="79" t="s">
        <v>298</v>
      </c>
      <c r="H55" s="825" t="s">
        <v>333</v>
      </c>
      <c r="I55" s="78">
        <v>65000</v>
      </c>
      <c r="J55" s="33" t="s">
        <v>60</v>
      </c>
      <c r="K55" s="33">
        <v>36</v>
      </c>
      <c r="L55" s="38" t="s">
        <v>283</v>
      </c>
      <c r="M55" s="806" t="s">
        <v>37</v>
      </c>
      <c r="N55" s="76">
        <v>45624</v>
      </c>
      <c r="O55" s="41" t="s">
        <v>1155</v>
      </c>
      <c r="P55" s="33" t="s">
        <v>1156</v>
      </c>
      <c r="Q55" s="158" t="s">
        <v>321</v>
      </c>
      <c r="R55" s="33" t="s">
        <v>333</v>
      </c>
      <c r="S55" s="78">
        <v>42000</v>
      </c>
      <c r="T55" s="259">
        <v>45966</v>
      </c>
      <c r="U55" s="260">
        <v>70</v>
      </c>
      <c r="V55" s="362">
        <v>50</v>
      </c>
      <c r="W55" s="51">
        <v>46016</v>
      </c>
    </row>
    <row r="56" spans="1:23" ht="15" hidden="1" customHeight="1">
      <c r="A56" s="33" t="s">
        <v>177</v>
      </c>
      <c r="B56" s="34">
        <v>45477</v>
      </c>
      <c r="C56" s="76">
        <v>45477</v>
      </c>
      <c r="D56" s="77" t="s">
        <v>1153</v>
      </c>
      <c r="E56" s="78">
        <v>70</v>
      </c>
      <c r="F56" s="78" t="s">
        <v>1154</v>
      </c>
      <c r="G56" s="79" t="s">
        <v>298</v>
      </c>
      <c r="H56" s="825" t="s">
        <v>333</v>
      </c>
      <c r="I56" s="78"/>
      <c r="J56" s="33" t="s">
        <v>60</v>
      </c>
      <c r="K56" s="33">
        <v>36</v>
      </c>
      <c r="L56" s="38" t="s">
        <v>283</v>
      </c>
      <c r="M56" s="806" t="s">
        <v>37</v>
      </c>
      <c r="N56" s="76">
        <v>45624</v>
      </c>
      <c r="O56" s="33" t="s">
        <v>1157</v>
      </c>
      <c r="P56" s="33" t="s">
        <v>1158</v>
      </c>
      <c r="Q56" s="158" t="s">
        <v>165</v>
      </c>
      <c r="R56" s="33" t="s">
        <v>1048</v>
      </c>
      <c r="S56" s="78">
        <v>20000</v>
      </c>
      <c r="T56" s="259">
        <v>45966</v>
      </c>
      <c r="U56" s="260">
        <v>70</v>
      </c>
      <c r="V56" s="362">
        <v>50</v>
      </c>
      <c r="W56" s="51">
        <v>46016</v>
      </c>
    </row>
    <row r="57" spans="1:23" ht="15" hidden="1" customHeight="1">
      <c r="A57" s="114" t="s">
        <v>17</v>
      </c>
      <c r="B57" s="115">
        <v>45468</v>
      </c>
      <c r="C57" s="116">
        <v>45470</v>
      </c>
      <c r="D57" s="133" t="s">
        <v>401</v>
      </c>
      <c r="E57" s="117">
        <v>70</v>
      </c>
      <c r="F57" s="117" t="s">
        <v>1062</v>
      </c>
      <c r="G57" s="118" t="s">
        <v>402</v>
      </c>
      <c r="H57" s="828" t="s">
        <v>1062</v>
      </c>
      <c r="I57" s="117"/>
      <c r="J57" s="114" t="s">
        <v>45</v>
      </c>
      <c r="K57" s="114">
        <v>57</v>
      </c>
      <c r="L57" s="11" t="s">
        <v>283</v>
      </c>
      <c r="M57" s="803" t="s">
        <v>1094</v>
      </c>
      <c r="N57" s="40">
        <v>45617</v>
      </c>
      <c r="O57" s="33" t="s">
        <v>1157</v>
      </c>
      <c r="P57" s="41" t="s">
        <v>1158</v>
      </c>
      <c r="Q57" s="158" t="s">
        <v>165</v>
      </c>
      <c r="R57" s="41" t="s">
        <v>1048</v>
      </c>
      <c r="S57" s="261">
        <v>18000</v>
      </c>
      <c r="T57" s="259">
        <v>45959</v>
      </c>
      <c r="U57" s="260">
        <v>70</v>
      </c>
      <c r="V57" s="362">
        <v>71</v>
      </c>
      <c r="W57" s="363">
        <v>46030</v>
      </c>
    </row>
    <row r="58" spans="1:23" ht="15" hidden="1" customHeight="1">
      <c r="A58" s="33" t="s">
        <v>177</v>
      </c>
      <c r="B58" s="34">
        <v>45538</v>
      </c>
      <c r="C58" s="76">
        <v>45540</v>
      </c>
      <c r="D58" s="77" t="s">
        <v>1159</v>
      </c>
      <c r="E58" s="78">
        <v>67</v>
      </c>
      <c r="F58" s="78" t="s">
        <v>1139</v>
      </c>
      <c r="G58" s="79" t="s">
        <v>178</v>
      </c>
      <c r="H58" s="825" t="s">
        <v>1048</v>
      </c>
      <c r="I58" s="78">
        <v>45000</v>
      </c>
      <c r="J58" s="33" t="s">
        <v>45</v>
      </c>
      <c r="K58" s="33">
        <v>54</v>
      </c>
      <c r="L58" s="38" t="s">
        <v>283</v>
      </c>
      <c r="M58" s="806" t="s">
        <v>37</v>
      </c>
      <c r="N58" s="76">
        <v>45687</v>
      </c>
      <c r="O58" s="33" t="s">
        <v>1160</v>
      </c>
      <c r="P58" s="33" t="s">
        <v>1161</v>
      </c>
      <c r="Q58" s="168" t="s">
        <v>324</v>
      </c>
      <c r="R58" s="20" t="s">
        <v>333</v>
      </c>
      <c r="S58" s="78">
        <v>23192</v>
      </c>
      <c r="T58" s="259">
        <v>46008</v>
      </c>
      <c r="U58" s="260">
        <v>67</v>
      </c>
      <c r="V58" s="362">
        <v>43</v>
      </c>
      <c r="W58" s="51">
        <v>46051</v>
      </c>
    </row>
    <row r="59" spans="1:23" ht="15" hidden="1" customHeight="1">
      <c r="A59" s="33" t="s">
        <v>177</v>
      </c>
      <c r="B59" s="34">
        <v>45538</v>
      </c>
      <c r="C59" s="76">
        <v>45540</v>
      </c>
      <c r="D59" s="77" t="s">
        <v>1159</v>
      </c>
      <c r="E59" s="78">
        <v>67</v>
      </c>
      <c r="F59" s="78" t="s">
        <v>1139</v>
      </c>
      <c r="G59" s="79" t="s">
        <v>178</v>
      </c>
      <c r="H59" s="825" t="s">
        <v>1048</v>
      </c>
      <c r="I59" s="78">
        <v>0</v>
      </c>
      <c r="J59" s="33" t="s">
        <v>45</v>
      </c>
      <c r="K59" s="33">
        <v>56</v>
      </c>
      <c r="L59" s="38" t="s">
        <v>283</v>
      </c>
      <c r="M59" s="806" t="s">
        <v>37</v>
      </c>
      <c r="N59" s="76">
        <v>45687</v>
      </c>
      <c r="O59" s="33" t="s">
        <v>1162</v>
      </c>
      <c r="P59" s="33" t="s">
        <v>1163</v>
      </c>
      <c r="Q59" s="158" t="s">
        <v>325</v>
      </c>
      <c r="R59" s="33" t="s">
        <v>1046</v>
      </c>
      <c r="S59" s="78">
        <v>16264</v>
      </c>
      <c r="T59" s="259">
        <v>46008</v>
      </c>
      <c r="U59" s="260">
        <v>67</v>
      </c>
      <c r="V59" s="362">
        <v>43</v>
      </c>
      <c r="W59" s="51">
        <v>46051</v>
      </c>
    </row>
    <row r="60" spans="1:23" ht="15" hidden="1" customHeight="1">
      <c r="A60" s="33" t="s">
        <v>244</v>
      </c>
      <c r="B60" s="34">
        <v>45549</v>
      </c>
      <c r="C60" s="76">
        <v>45547</v>
      </c>
      <c r="D60" s="77" t="s">
        <v>1164</v>
      </c>
      <c r="E60" s="78">
        <v>67</v>
      </c>
      <c r="F60" s="78" t="s">
        <v>1142</v>
      </c>
      <c r="G60" s="80" t="s">
        <v>245</v>
      </c>
      <c r="H60" s="826" t="s">
        <v>333</v>
      </c>
      <c r="I60" s="78">
        <v>30000</v>
      </c>
      <c r="J60" s="33" t="s">
        <v>45</v>
      </c>
      <c r="K60" s="33">
        <v>48</v>
      </c>
      <c r="L60" s="32" t="s">
        <v>283</v>
      </c>
      <c r="M60" s="803" t="s">
        <v>1094</v>
      </c>
      <c r="N60" s="76">
        <v>45694</v>
      </c>
      <c r="O60" s="33" t="s">
        <v>1162</v>
      </c>
      <c r="P60" s="33" t="s">
        <v>1163</v>
      </c>
      <c r="Q60" s="158" t="s">
        <v>325</v>
      </c>
      <c r="R60" s="33" t="s">
        <v>1046</v>
      </c>
      <c r="S60" s="78">
        <v>5000</v>
      </c>
      <c r="T60" s="259">
        <v>46015</v>
      </c>
      <c r="U60" s="260">
        <v>67</v>
      </c>
      <c r="V60" s="362">
        <v>36</v>
      </c>
      <c r="W60" s="51">
        <v>46051</v>
      </c>
    </row>
    <row r="61" spans="1:23" ht="15" hidden="1" customHeight="1">
      <c r="A61" s="33" t="s">
        <v>244</v>
      </c>
      <c r="B61" s="34">
        <v>45549</v>
      </c>
      <c r="C61" s="76">
        <v>45547</v>
      </c>
      <c r="D61" s="77" t="s">
        <v>1164</v>
      </c>
      <c r="E61" s="78">
        <v>67</v>
      </c>
      <c r="F61" s="78" t="s">
        <v>1142</v>
      </c>
      <c r="G61" s="80" t="s">
        <v>245</v>
      </c>
      <c r="H61" s="826" t="s">
        <v>333</v>
      </c>
      <c r="I61" s="78"/>
      <c r="J61" s="33" t="s">
        <v>45</v>
      </c>
      <c r="K61" s="33">
        <v>40</v>
      </c>
      <c r="L61" s="32" t="s">
        <v>283</v>
      </c>
      <c r="M61" s="803" t="s">
        <v>1094</v>
      </c>
      <c r="N61" s="76">
        <v>45694</v>
      </c>
      <c r="O61" s="33" t="s">
        <v>1165</v>
      </c>
      <c r="P61" s="33" t="s">
        <v>1166</v>
      </c>
      <c r="Q61" s="158" t="s">
        <v>323</v>
      </c>
      <c r="R61" s="33" t="s">
        <v>1048</v>
      </c>
      <c r="S61" s="78">
        <v>22768</v>
      </c>
      <c r="T61" s="259">
        <v>46015</v>
      </c>
      <c r="U61" s="260">
        <v>67</v>
      </c>
      <c r="V61" s="362">
        <v>36</v>
      </c>
      <c r="W61" s="51">
        <v>46051</v>
      </c>
    </row>
    <row r="62" spans="1:23" ht="15" hidden="1" customHeight="1">
      <c r="A62" s="640" t="s">
        <v>17</v>
      </c>
      <c r="B62" s="641">
        <v>45554</v>
      </c>
      <c r="C62" s="642">
        <v>45554</v>
      </c>
      <c r="D62" s="643" t="s">
        <v>437</v>
      </c>
      <c r="E62" s="643">
        <v>67</v>
      </c>
      <c r="F62" s="643" t="s">
        <v>337</v>
      </c>
      <c r="G62" s="644" t="s">
        <v>68</v>
      </c>
      <c r="H62" s="645" t="s">
        <v>333</v>
      </c>
      <c r="I62" s="646">
        <v>60000</v>
      </c>
      <c r="J62" s="640" t="s">
        <v>45</v>
      </c>
      <c r="K62" s="640">
        <v>57</v>
      </c>
      <c r="L62" s="803" t="s">
        <v>283</v>
      </c>
      <c r="M62" s="803" t="s">
        <v>21</v>
      </c>
      <c r="N62" s="647">
        <v>45701</v>
      </c>
      <c r="O62" s="648" t="s">
        <v>438</v>
      </c>
      <c r="P62" s="648" t="s">
        <v>1167</v>
      </c>
      <c r="Q62" s="649" t="s">
        <v>184</v>
      </c>
      <c r="R62" s="640" t="s">
        <v>1046</v>
      </c>
      <c r="S62" s="650">
        <v>54992</v>
      </c>
      <c r="T62" s="651">
        <v>46022</v>
      </c>
      <c r="U62" s="652">
        <v>67</v>
      </c>
      <c r="V62" s="653">
        <v>50</v>
      </c>
      <c r="W62" s="658">
        <v>46072</v>
      </c>
    </row>
    <row r="63" spans="1:23" ht="15" hidden="1" customHeight="1">
      <c r="A63" s="640" t="s">
        <v>17</v>
      </c>
      <c r="B63" s="641">
        <v>45555</v>
      </c>
      <c r="C63" s="642">
        <v>45554</v>
      </c>
      <c r="D63" s="643" t="s">
        <v>439</v>
      </c>
      <c r="E63" s="643">
        <v>65</v>
      </c>
      <c r="F63" s="643" t="s">
        <v>1168</v>
      </c>
      <c r="G63" s="644" t="s">
        <v>47</v>
      </c>
      <c r="H63" s="645" t="s">
        <v>1048</v>
      </c>
      <c r="I63" s="646">
        <v>60000</v>
      </c>
      <c r="J63" s="640" t="s">
        <v>20</v>
      </c>
      <c r="K63" s="640">
        <v>29</v>
      </c>
      <c r="L63" s="806" t="s">
        <v>283</v>
      </c>
      <c r="M63" s="806" t="s">
        <v>37</v>
      </c>
      <c r="N63" s="647">
        <v>45701</v>
      </c>
      <c r="O63" s="648" t="s">
        <v>440</v>
      </c>
      <c r="P63" s="648" t="s">
        <v>1169</v>
      </c>
      <c r="Q63" s="649" t="s">
        <v>170</v>
      </c>
      <c r="R63" s="640" t="s">
        <v>333</v>
      </c>
      <c r="S63" s="650">
        <v>39715</v>
      </c>
      <c r="T63" s="651">
        <v>46008</v>
      </c>
      <c r="U63" s="652">
        <v>65</v>
      </c>
      <c r="V63" s="653">
        <v>36</v>
      </c>
      <c r="W63" s="658">
        <v>46044</v>
      </c>
    </row>
    <row r="64" spans="1:23" ht="15" hidden="1" customHeight="1">
      <c r="A64" s="640" t="s">
        <v>17</v>
      </c>
      <c r="B64" s="641">
        <v>45560</v>
      </c>
      <c r="C64" s="642">
        <v>45561</v>
      </c>
      <c r="D64" s="643" t="s">
        <v>441</v>
      </c>
      <c r="E64" s="643">
        <v>68</v>
      </c>
      <c r="F64" s="643" t="s">
        <v>1170</v>
      </c>
      <c r="G64" s="644" t="s">
        <v>44</v>
      </c>
      <c r="H64" s="645" t="s">
        <v>1046</v>
      </c>
      <c r="I64" s="646">
        <v>42000</v>
      </c>
      <c r="J64" s="640" t="s">
        <v>60</v>
      </c>
      <c r="K64" s="640">
        <v>16</v>
      </c>
      <c r="L64" s="804" t="s">
        <v>285</v>
      </c>
      <c r="M64" s="804" t="s">
        <v>26</v>
      </c>
      <c r="N64" s="647">
        <v>45708</v>
      </c>
      <c r="O64" s="648" t="s">
        <v>442</v>
      </c>
      <c r="P64" s="648" t="s">
        <v>1171</v>
      </c>
      <c r="Q64" s="649" t="s">
        <v>185</v>
      </c>
      <c r="R64" s="640" t="s">
        <v>333</v>
      </c>
      <c r="S64" s="650">
        <v>40320</v>
      </c>
      <c r="T64" s="651">
        <v>46036</v>
      </c>
      <c r="U64" s="652">
        <v>68</v>
      </c>
      <c r="V64" s="653">
        <v>36</v>
      </c>
      <c r="W64" s="658">
        <v>46072</v>
      </c>
    </row>
    <row r="65" spans="1:28" ht="15" hidden="1" customHeight="1">
      <c r="A65" s="640" t="s">
        <v>17</v>
      </c>
      <c r="B65" s="641">
        <v>45566</v>
      </c>
      <c r="C65" s="642">
        <v>45568</v>
      </c>
      <c r="D65" s="643" t="s">
        <v>443</v>
      </c>
      <c r="E65" s="643">
        <v>66</v>
      </c>
      <c r="F65" s="643" t="s">
        <v>1045</v>
      </c>
      <c r="G65" s="644" t="s">
        <v>89</v>
      </c>
      <c r="H65" s="645" t="s">
        <v>1046</v>
      </c>
      <c r="I65" s="646">
        <v>74000</v>
      </c>
      <c r="J65" s="640" t="s">
        <v>45</v>
      </c>
      <c r="K65" s="640">
        <v>56</v>
      </c>
      <c r="L65" s="803" t="s">
        <v>283</v>
      </c>
      <c r="M65" s="803" t="s">
        <v>21</v>
      </c>
      <c r="N65" s="647">
        <v>45715</v>
      </c>
      <c r="O65" s="648" t="s">
        <v>444</v>
      </c>
      <c r="P65" s="648" t="s">
        <v>1172</v>
      </c>
      <c r="Q65" s="649" t="s">
        <v>180</v>
      </c>
      <c r="R65" s="640" t="s">
        <v>1046</v>
      </c>
      <c r="S65" s="650">
        <v>39780</v>
      </c>
      <c r="T65" s="651">
        <v>46029</v>
      </c>
      <c r="U65" s="652">
        <v>66</v>
      </c>
      <c r="V65" s="653">
        <v>43</v>
      </c>
      <c r="W65" s="658">
        <v>46072</v>
      </c>
    </row>
    <row r="66" spans="1:28" ht="15" hidden="1" customHeight="1">
      <c r="A66" s="640" t="s">
        <v>17</v>
      </c>
      <c r="B66" s="641">
        <v>45566</v>
      </c>
      <c r="C66" s="642">
        <v>45568</v>
      </c>
      <c r="D66" s="643" t="s">
        <v>443</v>
      </c>
      <c r="E66" s="643">
        <v>67</v>
      </c>
      <c r="F66" s="643" t="s">
        <v>1045</v>
      </c>
      <c r="G66" s="644" t="s">
        <v>89</v>
      </c>
      <c r="H66" s="645" t="s">
        <v>1046</v>
      </c>
      <c r="I66" s="646">
        <v>0</v>
      </c>
      <c r="J66" s="640" t="s">
        <v>45</v>
      </c>
      <c r="K66" s="640">
        <v>56</v>
      </c>
      <c r="L66" s="803" t="s">
        <v>283</v>
      </c>
      <c r="M66" s="803" t="s">
        <v>21</v>
      </c>
      <c r="N66" s="647">
        <v>45715</v>
      </c>
      <c r="O66" s="648" t="s">
        <v>445</v>
      </c>
      <c r="P66" s="648" t="s">
        <v>1173</v>
      </c>
      <c r="Q66" s="649" t="s">
        <v>195</v>
      </c>
      <c r="R66" s="640" t="s">
        <v>333</v>
      </c>
      <c r="S66" s="650">
        <v>30504</v>
      </c>
      <c r="T66" s="651">
        <v>46036</v>
      </c>
      <c r="U66" s="652">
        <v>67</v>
      </c>
      <c r="V66" s="653">
        <v>43</v>
      </c>
      <c r="W66" s="658">
        <v>46079</v>
      </c>
    </row>
    <row r="67" spans="1:28" ht="15" hidden="1" customHeight="1">
      <c r="A67" s="640" t="s">
        <v>17</v>
      </c>
      <c r="B67" s="641">
        <v>45567</v>
      </c>
      <c r="C67" s="642">
        <v>45568</v>
      </c>
      <c r="D67" s="643" t="s">
        <v>446</v>
      </c>
      <c r="E67" s="643">
        <v>66</v>
      </c>
      <c r="F67" s="643" t="s">
        <v>1174</v>
      </c>
      <c r="G67" s="644" t="s">
        <v>79</v>
      </c>
      <c r="H67" s="645" t="s">
        <v>1046</v>
      </c>
      <c r="I67" s="646">
        <v>45000</v>
      </c>
      <c r="J67" s="640" t="s">
        <v>45</v>
      </c>
      <c r="K67" s="640">
        <v>58</v>
      </c>
      <c r="L67" s="806" t="s">
        <v>283</v>
      </c>
      <c r="M67" s="806" t="s">
        <v>37</v>
      </c>
      <c r="N67" s="647">
        <v>45715</v>
      </c>
      <c r="O67" s="648" t="s">
        <v>447</v>
      </c>
      <c r="P67" s="648" t="s">
        <v>1175</v>
      </c>
      <c r="Q67" s="649" t="s">
        <v>192</v>
      </c>
      <c r="R67" s="640" t="s">
        <v>333</v>
      </c>
      <c r="S67" s="650">
        <v>45984</v>
      </c>
      <c r="T67" s="651">
        <v>46029</v>
      </c>
      <c r="U67" s="652">
        <v>66</v>
      </c>
      <c r="V67" s="653">
        <v>50</v>
      </c>
      <c r="W67" s="658">
        <v>46079</v>
      </c>
    </row>
    <row r="68" spans="1:28" ht="15" hidden="1" customHeight="1">
      <c r="A68" s="640" t="s">
        <v>17</v>
      </c>
      <c r="B68" s="641">
        <v>45577</v>
      </c>
      <c r="C68" s="642">
        <v>45575</v>
      </c>
      <c r="D68" s="643" t="s">
        <v>446</v>
      </c>
      <c r="E68" s="643">
        <v>67</v>
      </c>
      <c r="F68" s="643" t="s">
        <v>1174</v>
      </c>
      <c r="G68" s="644" t="s">
        <v>79</v>
      </c>
      <c r="H68" s="645" t="s">
        <v>1046</v>
      </c>
      <c r="I68" s="646">
        <v>25000</v>
      </c>
      <c r="J68" s="640" t="s">
        <v>45</v>
      </c>
      <c r="K68" s="640">
        <v>58</v>
      </c>
      <c r="L68" s="803" t="s">
        <v>283</v>
      </c>
      <c r="M68" s="803" t="s">
        <v>21</v>
      </c>
      <c r="N68" s="647">
        <v>45722</v>
      </c>
      <c r="O68" s="648" t="s">
        <v>448</v>
      </c>
      <c r="P68" s="648" t="s">
        <v>1176</v>
      </c>
      <c r="Q68" s="649" t="s">
        <v>199</v>
      </c>
      <c r="R68" s="640" t="s">
        <v>333</v>
      </c>
      <c r="S68" s="650">
        <v>19320</v>
      </c>
      <c r="T68" s="651">
        <v>46043</v>
      </c>
      <c r="U68" s="652">
        <v>67</v>
      </c>
      <c r="V68" s="653">
        <v>50</v>
      </c>
      <c r="W68" s="658">
        <v>46093</v>
      </c>
    </row>
    <row r="69" spans="1:28" ht="15" hidden="1" customHeight="1">
      <c r="A69" s="640" t="s">
        <v>17</v>
      </c>
      <c r="B69" s="641">
        <v>45577</v>
      </c>
      <c r="C69" s="642">
        <v>45575</v>
      </c>
      <c r="D69" s="643" t="s">
        <v>175</v>
      </c>
      <c r="E69" s="643">
        <v>67</v>
      </c>
      <c r="F69" s="643" t="s">
        <v>335</v>
      </c>
      <c r="G69" s="644" t="s">
        <v>52</v>
      </c>
      <c r="H69" s="645" t="s">
        <v>333</v>
      </c>
      <c r="I69" s="646">
        <v>30000</v>
      </c>
      <c r="J69" s="640" t="s">
        <v>60</v>
      </c>
      <c r="K69" s="640">
        <v>22</v>
      </c>
      <c r="L69" s="803" t="s">
        <v>283</v>
      </c>
      <c r="M69" s="803" t="s">
        <v>21</v>
      </c>
      <c r="N69" s="647">
        <v>45722</v>
      </c>
      <c r="O69" s="648" t="s">
        <v>448</v>
      </c>
      <c r="P69" s="648" t="s">
        <v>1176</v>
      </c>
      <c r="Q69" s="649" t="s">
        <v>199</v>
      </c>
      <c r="R69" s="640" t="s">
        <v>333</v>
      </c>
      <c r="S69" s="650">
        <v>29488</v>
      </c>
      <c r="T69" s="651">
        <v>46043</v>
      </c>
      <c r="U69" s="652">
        <v>67</v>
      </c>
      <c r="V69" s="653">
        <v>50</v>
      </c>
      <c r="W69" s="658">
        <v>46093</v>
      </c>
    </row>
    <row r="70" spans="1:28" ht="15" hidden="1" customHeight="1">
      <c r="A70" s="640" t="s">
        <v>17</v>
      </c>
      <c r="B70" s="641">
        <v>45577</v>
      </c>
      <c r="C70" s="642">
        <v>45575</v>
      </c>
      <c r="D70" s="643" t="s">
        <v>449</v>
      </c>
      <c r="E70" s="643">
        <v>67</v>
      </c>
      <c r="F70" s="643" t="s">
        <v>335</v>
      </c>
      <c r="G70" s="644" t="s">
        <v>52</v>
      </c>
      <c r="H70" s="645" t="s">
        <v>333</v>
      </c>
      <c r="I70" s="646">
        <v>15000</v>
      </c>
      <c r="J70" s="640" t="s">
        <v>60</v>
      </c>
      <c r="K70" s="640">
        <v>22</v>
      </c>
      <c r="L70" s="803" t="s">
        <v>283</v>
      </c>
      <c r="M70" s="803" t="s">
        <v>21</v>
      </c>
      <c r="N70" s="647">
        <v>45722</v>
      </c>
      <c r="O70" s="648" t="s">
        <v>450</v>
      </c>
      <c r="P70" s="648" t="s">
        <v>1177</v>
      </c>
      <c r="Q70" s="649" t="s">
        <v>196</v>
      </c>
      <c r="R70" s="640" t="s">
        <v>333</v>
      </c>
      <c r="S70" s="650">
        <v>16810</v>
      </c>
      <c r="T70" s="651">
        <v>46043</v>
      </c>
      <c r="U70" s="652">
        <v>67</v>
      </c>
      <c r="V70" s="653">
        <v>43</v>
      </c>
      <c r="W70" s="658">
        <v>46086</v>
      </c>
    </row>
    <row r="71" spans="1:28" ht="15" hidden="1" customHeight="1">
      <c r="A71" s="640" t="s">
        <v>17</v>
      </c>
      <c r="B71" s="641">
        <v>45591</v>
      </c>
      <c r="C71" s="642">
        <v>45589</v>
      </c>
      <c r="D71" s="643" t="s">
        <v>449</v>
      </c>
      <c r="E71" s="643">
        <v>65</v>
      </c>
      <c r="F71" s="643" t="s">
        <v>1178</v>
      </c>
      <c r="G71" s="644" t="s">
        <v>75</v>
      </c>
      <c r="H71" s="645" t="s">
        <v>333</v>
      </c>
      <c r="I71" s="646">
        <v>15000</v>
      </c>
      <c r="J71" s="640" t="s">
        <v>60</v>
      </c>
      <c r="K71" s="640">
        <v>24</v>
      </c>
      <c r="L71" s="803" t="s">
        <v>283</v>
      </c>
      <c r="M71" s="803" t="s">
        <v>21</v>
      </c>
      <c r="N71" s="647">
        <v>45736</v>
      </c>
      <c r="O71" s="648" t="s">
        <v>450</v>
      </c>
      <c r="P71" s="648" t="s">
        <v>1177</v>
      </c>
      <c r="Q71" s="649" t="s">
        <v>196</v>
      </c>
      <c r="R71" s="640" t="s">
        <v>333</v>
      </c>
      <c r="S71" s="650">
        <v>16810</v>
      </c>
      <c r="T71" s="651">
        <v>46043</v>
      </c>
      <c r="U71" s="652">
        <v>65</v>
      </c>
      <c r="V71" s="653">
        <v>43</v>
      </c>
      <c r="W71" s="658">
        <v>46086</v>
      </c>
    </row>
    <row r="72" spans="1:28" ht="15" hidden="1" customHeight="1">
      <c r="A72" s="640" t="s">
        <v>17</v>
      </c>
      <c r="B72" s="641">
        <v>45591</v>
      </c>
      <c r="C72" s="642">
        <v>45589</v>
      </c>
      <c r="D72" s="643" t="s">
        <v>451</v>
      </c>
      <c r="E72" s="643">
        <v>65</v>
      </c>
      <c r="F72" s="643" t="s">
        <v>1178</v>
      </c>
      <c r="G72" s="644" t="s">
        <v>75</v>
      </c>
      <c r="H72" s="645" t="s">
        <v>333</v>
      </c>
      <c r="I72" s="646">
        <v>45000</v>
      </c>
      <c r="J72" s="640" t="s">
        <v>60</v>
      </c>
      <c r="K72" s="640">
        <v>20</v>
      </c>
      <c r="L72" s="803" t="s">
        <v>283</v>
      </c>
      <c r="M72" s="803" t="s">
        <v>21</v>
      </c>
      <c r="N72" s="647">
        <v>45736</v>
      </c>
      <c r="O72" s="648" t="s">
        <v>448</v>
      </c>
      <c r="P72" s="648" t="s">
        <v>1176</v>
      </c>
      <c r="Q72" s="649" t="s">
        <v>199</v>
      </c>
      <c r="R72" s="640" t="s">
        <v>333</v>
      </c>
      <c r="S72" s="650">
        <v>42162</v>
      </c>
      <c r="T72" s="651">
        <v>46043</v>
      </c>
      <c r="U72" s="652">
        <v>65</v>
      </c>
      <c r="V72" s="653">
        <v>50</v>
      </c>
      <c r="W72" s="654">
        <v>46093</v>
      </c>
    </row>
    <row r="73" spans="1:28" ht="15" hidden="1" customHeight="1">
      <c r="A73" s="640" t="s">
        <v>17</v>
      </c>
      <c r="B73" s="641">
        <v>45601</v>
      </c>
      <c r="C73" s="642">
        <v>45603</v>
      </c>
      <c r="D73" s="643" t="s">
        <v>452</v>
      </c>
      <c r="E73" s="643">
        <v>66</v>
      </c>
      <c r="F73" s="643" t="s">
        <v>1054</v>
      </c>
      <c r="G73" s="644" t="s">
        <v>104</v>
      </c>
      <c r="H73" s="645" t="s">
        <v>1048</v>
      </c>
      <c r="I73" s="646">
        <v>66000</v>
      </c>
      <c r="J73" s="640" t="s">
        <v>45</v>
      </c>
      <c r="K73" s="640">
        <v>55</v>
      </c>
      <c r="L73" s="803" t="s">
        <v>283</v>
      </c>
      <c r="M73" s="803" t="s">
        <v>1094</v>
      </c>
      <c r="N73" s="647">
        <v>45750</v>
      </c>
      <c r="O73" s="648" t="s">
        <v>453</v>
      </c>
      <c r="P73" s="648" t="s">
        <v>1179</v>
      </c>
      <c r="Q73" s="649" t="s">
        <v>200</v>
      </c>
      <c r="R73" s="640" t="s">
        <v>333</v>
      </c>
      <c r="S73" s="650">
        <v>36000</v>
      </c>
      <c r="T73" s="651">
        <v>46064</v>
      </c>
      <c r="U73" s="652">
        <v>66</v>
      </c>
      <c r="V73" s="653">
        <v>36</v>
      </c>
      <c r="W73" s="654">
        <v>46100</v>
      </c>
    </row>
    <row r="74" spans="1:28" ht="15" hidden="1" customHeight="1">
      <c r="A74" s="640" t="s">
        <v>17</v>
      </c>
      <c r="B74" s="641">
        <v>45601</v>
      </c>
      <c r="C74" s="642">
        <v>45603</v>
      </c>
      <c r="D74" s="643" t="s">
        <v>452</v>
      </c>
      <c r="E74" s="643">
        <v>66</v>
      </c>
      <c r="F74" s="643" t="s">
        <v>1054</v>
      </c>
      <c r="G74" s="644" t="s">
        <v>104</v>
      </c>
      <c r="H74" s="645" t="s">
        <v>1048</v>
      </c>
      <c r="I74" s="646">
        <v>0</v>
      </c>
      <c r="J74" s="640" t="s">
        <v>45</v>
      </c>
      <c r="K74" s="640">
        <v>55</v>
      </c>
      <c r="L74" s="803" t="s">
        <v>283</v>
      </c>
      <c r="M74" s="803" t="s">
        <v>1094</v>
      </c>
      <c r="N74" s="647">
        <v>45750</v>
      </c>
      <c r="O74" s="648" t="s">
        <v>454</v>
      </c>
      <c r="P74" s="648" t="s">
        <v>1180</v>
      </c>
      <c r="Q74" s="649" t="s">
        <v>201</v>
      </c>
      <c r="R74" s="640" t="s">
        <v>333</v>
      </c>
      <c r="S74" s="650">
        <v>24000</v>
      </c>
      <c r="T74" s="651">
        <v>46064</v>
      </c>
      <c r="U74" s="652">
        <v>66</v>
      </c>
      <c r="V74" s="653">
        <v>36</v>
      </c>
      <c r="W74" s="654">
        <v>46100</v>
      </c>
    </row>
    <row r="75" spans="1:28" ht="15" hidden="1" customHeight="1">
      <c r="A75" s="659" t="s">
        <v>17</v>
      </c>
      <c r="B75" s="1071">
        <v>45736</v>
      </c>
      <c r="C75" s="659">
        <v>45736</v>
      </c>
      <c r="D75" s="660"/>
      <c r="E75" s="660">
        <v>31</v>
      </c>
      <c r="F75" s="660" t="s">
        <v>1062</v>
      </c>
      <c r="G75" s="661" t="s">
        <v>198</v>
      </c>
      <c r="H75" s="662" t="s">
        <v>1062</v>
      </c>
      <c r="I75" s="663"/>
      <c r="J75" s="664"/>
      <c r="K75" s="665"/>
      <c r="L75" s="803" t="s">
        <v>283</v>
      </c>
      <c r="M75" s="803" t="s">
        <v>21</v>
      </c>
      <c r="N75" s="647">
        <v>45736</v>
      </c>
      <c r="O75" s="648" t="s">
        <v>463</v>
      </c>
      <c r="P75" s="648" t="s">
        <v>1181</v>
      </c>
      <c r="Q75" s="1035" t="s">
        <v>198</v>
      </c>
      <c r="R75" s="651" t="s">
        <v>333</v>
      </c>
      <c r="S75" s="650">
        <v>18000</v>
      </c>
      <c r="T75" s="651">
        <v>45952</v>
      </c>
      <c r="U75" s="652">
        <v>31</v>
      </c>
      <c r="V75" s="653">
        <v>0</v>
      </c>
      <c r="W75" s="654">
        <v>45952</v>
      </c>
    </row>
    <row r="76" spans="1:28" s="817" customFormat="1" ht="17.399999999999999" hidden="1">
      <c r="A76" s="640" t="s">
        <v>17</v>
      </c>
      <c r="B76" s="641">
        <v>45756</v>
      </c>
      <c r="C76" s="642">
        <v>45757</v>
      </c>
      <c r="D76" s="643" t="s">
        <v>504</v>
      </c>
      <c r="E76" s="643">
        <v>36</v>
      </c>
      <c r="F76" s="643" t="s">
        <v>1178</v>
      </c>
      <c r="G76" s="644" t="s">
        <v>75</v>
      </c>
      <c r="H76" s="645" t="s">
        <v>333</v>
      </c>
      <c r="I76" s="646">
        <v>45000</v>
      </c>
      <c r="J76" s="640" t="s">
        <v>20</v>
      </c>
      <c r="K76" s="640">
        <v>26</v>
      </c>
      <c r="L76" s="803" t="s">
        <v>283</v>
      </c>
      <c r="M76" s="803" t="s">
        <v>21</v>
      </c>
      <c r="N76" s="647">
        <v>45925</v>
      </c>
      <c r="O76" s="648" t="s">
        <v>505</v>
      </c>
      <c r="P76" s="648" t="s">
        <v>1182</v>
      </c>
      <c r="Q76" s="649" t="s">
        <v>190</v>
      </c>
      <c r="R76" s="640" t="s">
        <v>1048</v>
      </c>
      <c r="S76" s="650">
        <v>46214</v>
      </c>
      <c r="T76" s="651">
        <v>46008</v>
      </c>
      <c r="U76" s="652">
        <v>36</v>
      </c>
      <c r="V76" s="653">
        <v>71</v>
      </c>
      <c r="W76" s="654" t="s">
        <v>506</v>
      </c>
      <c r="X76"/>
      <c r="Y76" s="1070"/>
      <c r="AA76" s="818"/>
      <c r="AB76" s="819"/>
    </row>
    <row r="77" spans="1:28" ht="15" hidden="1" customHeight="1">
      <c r="T77" s="651"/>
      <c r="U77" s="652"/>
      <c r="V77" s="653"/>
      <c r="W77" s="654"/>
    </row>
    <row r="78" spans="1:28" s="817" customFormat="1" ht="17.399999999999999" hidden="1">
      <c r="A78" s="640" t="s">
        <v>17</v>
      </c>
      <c r="B78" s="641">
        <v>45608</v>
      </c>
      <c r="C78" s="642">
        <v>45610</v>
      </c>
      <c r="D78" s="643" t="s">
        <v>455</v>
      </c>
      <c r="E78" s="643">
        <v>64</v>
      </c>
      <c r="F78" s="643" t="s">
        <v>332</v>
      </c>
      <c r="G78" s="644" t="s">
        <v>95</v>
      </c>
      <c r="H78" s="645" t="s">
        <v>333</v>
      </c>
      <c r="I78" s="646">
        <v>42000</v>
      </c>
      <c r="J78" s="640" t="s">
        <v>20</v>
      </c>
      <c r="K78" s="640">
        <v>23</v>
      </c>
      <c r="L78" s="803" t="s">
        <v>283</v>
      </c>
      <c r="M78" s="803" t="s">
        <v>21</v>
      </c>
      <c r="N78" s="647">
        <v>45757</v>
      </c>
      <c r="O78" s="648" t="s">
        <v>456</v>
      </c>
      <c r="P78" s="648" t="s">
        <v>1183</v>
      </c>
      <c r="Q78" s="649" t="s">
        <v>214</v>
      </c>
      <c r="R78" s="640" t="s">
        <v>333</v>
      </c>
      <c r="S78" s="650">
        <v>28000</v>
      </c>
      <c r="T78" s="651">
        <v>46057</v>
      </c>
      <c r="U78" s="652">
        <v>64</v>
      </c>
      <c r="V78" s="653">
        <v>85</v>
      </c>
      <c r="W78" s="654">
        <v>46142</v>
      </c>
      <c r="X78"/>
      <c r="Y78" s="805"/>
      <c r="AA78" s="818"/>
    </row>
    <row r="79" spans="1:28" s="817" customFormat="1" ht="17.399999999999999" hidden="1">
      <c r="A79" s="640" t="s">
        <v>17</v>
      </c>
      <c r="B79" s="641">
        <v>45615</v>
      </c>
      <c r="C79" s="642">
        <v>45617</v>
      </c>
      <c r="D79" s="643" t="s">
        <v>458</v>
      </c>
      <c r="E79" s="643">
        <v>65</v>
      </c>
      <c r="F79" s="643" t="s">
        <v>1067</v>
      </c>
      <c r="G79" s="644" t="s">
        <v>111</v>
      </c>
      <c r="H79" s="645" t="s">
        <v>1048</v>
      </c>
      <c r="I79" s="646">
        <v>40000</v>
      </c>
      <c r="J79" s="640" t="s">
        <v>45</v>
      </c>
      <c r="K79" s="640">
        <v>44</v>
      </c>
      <c r="L79" s="803" t="s">
        <v>283</v>
      </c>
      <c r="M79" s="803" t="s">
        <v>1094</v>
      </c>
      <c r="N79" s="647">
        <v>45764</v>
      </c>
      <c r="O79" s="648" t="s">
        <v>459</v>
      </c>
      <c r="P79" s="648" t="s">
        <v>1184</v>
      </c>
      <c r="Q79" s="649" t="s">
        <v>202</v>
      </c>
      <c r="R79" s="640" t="s">
        <v>333</v>
      </c>
      <c r="S79" s="650">
        <v>38400</v>
      </c>
      <c r="T79" s="651">
        <v>46071</v>
      </c>
      <c r="U79" s="652">
        <v>65</v>
      </c>
      <c r="V79" s="653">
        <v>29</v>
      </c>
      <c r="W79" s="654">
        <v>46100</v>
      </c>
      <c r="X79"/>
      <c r="Y79" s="805"/>
      <c r="AA79" s="818"/>
    </row>
    <row r="80" spans="1:28" s="817" customFormat="1" ht="17.399999999999999" hidden="1">
      <c r="A80" s="640" t="s">
        <v>17</v>
      </c>
      <c r="B80" s="641">
        <v>45616</v>
      </c>
      <c r="C80" s="642">
        <v>45617</v>
      </c>
      <c r="D80" s="643" t="s">
        <v>460</v>
      </c>
      <c r="E80" s="643">
        <v>65</v>
      </c>
      <c r="F80" s="643" t="s">
        <v>1185</v>
      </c>
      <c r="G80" s="644" t="s">
        <v>101</v>
      </c>
      <c r="H80" s="645" t="s">
        <v>1048</v>
      </c>
      <c r="I80" s="646">
        <v>60000</v>
      </c>
      <c r="J80" s="640" t="s">
        <v>60</v>
      </c>
      <c r="K80" s="640">
        <v>33</v>
      </c>
      <c r="L80" s="806" t="s">
        <v>283</v>
      </c>
      <c r="M80" s="806" t="s">
        <v>37</v>
      </c>
      <c r="N80" s="647">
        <v>45771</v>
      </c>
      <c r="O80" s="648" t="s">
        <v>461</v>
      </c>
      <c r="P80" s="648" t="s">
        <v>1186</v>
      </c>
      <c r="Q80" s="649" t="s">
        <v>205</v>
      </c>
      <c r="R80" s="640" t="s">
        <v>333</v>
      </c>
      <c r="S80" s="650">
        <v>57000</v>
      </c>
      <c r="T80" s="651">
        <v>46071</v>
      </c>
      <c r="U80" s="652">
        <v>65</v>
      </c>
      <c r="V80" s="653">
        <v>43</v>
      </c>
      <c r="W80" s="654">
        <v>46114</v>
      </c>
      <c r="X80"/>
      <c r="Y80" s="805"/>
      <c r="AA80" s="818"/>
    </row>
    <row r="81" spans="1:27" s="817" customFormat="1" ht="17.399999999999999" hidden="1">
      <c r="A81" s="640" t="s">
        <v>17</v>
      </c>
      <c r="B81" s="641">
        <v>45625</v>
      </c>
      <c r="C81" s="642">
        <v>45624</v>
      </c>
      <c r="D81" s="643" t="s">
        <v>464</v>
      </c>
      <c r="E81" s="643">
        <v>71</v>
      </c>
      <c r="F81" s="643" t="s">
        <v>1052</v>
      </c>
      <c r="G81" s="644" t="s">
        <v>132</v>
      </c>
      <c r="H81" s="645" t="s">
        <v>1048</v>
      </c>
      <c r="I81" s="646">
        <v>72000</v>
      </c>
      <c r="J81" s="640" t="s">
        <v>60</v>
      </c>
      <c r="K81" s="640">
        <v>56</v>
      </c>
      <c r="L81" s="803" t="s">
        <v>283</v>
      </c>
      <c r="M81" s="803" t="s">
        <v>21</v>
      </c>
      <c r="N81" s="647">
        <v>45771</v>
      </c>
      <c r="O81" s="648" t="s">
        <v>465</v>
      </c>
      <c r="P81" s="648" t="s">
        <v>1187</v>
      </c>
      <c r="Q81" s="649" t="s">
        <v>223</v>
      </c>
      <c r="R81" s="640" t="s">
        <v>333</v>
      </c>
      <c r="S81" s="650">
        <v>27000</v>
      </c>
      <c r="T81" s="651">
        <v>46120</v>
      </c>
      <c r="U81" s="652">
        <v>71</v>
      </c>
      <c r="V81" s="653">
        <v>43</v>
      </c>
      <c r="W81" s="654">
        <v>46163</v>
      </c>
      <c r="X81"/>
      <c r="Y81" s="805"/>
      <c r="AA81" s="818"/>
    </row>
    <row r="82" spans="1:27" s="817" customFormat="1" ht="17.399999999999999" hidden="1">
      <c r="A82" s="640" t="s">
        <v>17</v>
      </c>
      <c r="B82" s="641">
        <v>45625</v>
      </c>
      <c r="C82" s="642">
        <v>45624</v>
      </c>
      <c r="D82" s="643" t="s">
        <v>464</v>
      </c>
      <c r="E82" s="643">
        <v>65</v>
      </c>
      <c r="F82" s="643" t="s">
        <v>1052</v>
      </c>
      <c r="G82" s="644" t="s">
        <v>132</v>
      </c>
      <c r="H82" s="645" t="s">
        <v>1048</v>
      </c>
      <c r="I82" s="646"/>
      <c r="J82" s="640" t="s">
        <v>60</v>
      </c>
      <c r="K82" s="640">
        <v>56</v>
      </c>
      <c r="L82" s="803" t="s">
        <v>283</v>
      </c>
      <c r="M82" s="803" t="s">
        <v>21</v>
      </c>
      <c r="N82" s="647">
        <v>45771</v>
      </c>
      <c r="O82" s="648" t="s">
        <v>466</v>
      </c>
      <c r="P82" s="648" t="s">
        <v>1188</v>
      </c>
      <c r="Q82" s="649" t="s">
        <v>206</v>
      </c>
      <c r="R82" s="640" t="s">
        <v>333</v>
      </c>
      <c r="S82" s="650">
        <v>41000</v>
      </c>
      <c r="T82" s="651">
        <v>46078</v>
      </c>
      <c r="U82" s="652">
        <v>65</v>
      </c>
      <c r="V82" s="653">
        <v>36</v>
      </c>
      <c r="W82" s="654">
        <v>46114</v>
      </c>
      <c r="X82"/>
      <c r="Y82" s="805"/>
      <c r="AA82" s="818"/>
    </row>
    <row r="83" spans="1:27" s="817" customFormat="1" ht="17.399999999999999" hidden="1">
      <c r="A83" s="640" t="s">
        <v>17</v>
      </c>
      <c r="B83" s="641">
        <v>45630</v>
      </c>
      <c r="C83" s="642">
        <v>45631</v>
      </c>
      <c r="D83" s="643" t="s">
        <v>467</v>
      </c>
      <c r="E83" s="643">
        <v>65</v>
      </c>
      <c r="F83" s="643" t="s">
        <v>1071</v>
      </c>
      <c r="G83" s="644" t="s">
        <v>107</v>
      </c>
      <c r="H83" s="645" t="s">
        <v>333</v>
      </c>
      <c r="I83" s="646">
        <v>42000</v>
      </c>
      <c r="J83" s="640" t="s">
        <v>20</v>
      </c>
      <c r="K83" s="640">
        <v>29</v>
      </c>
      <c r="L83" s="803" t="s">
        <v>283</v>
      </c>
      <c r="M83" s="803" t="s">
        <v>21</v>
      </c>
      <c r="N83" s="647">
        <v>45778</v>
      </c>
      <c r="O83" s="648" t="s">
        <v>468</v>
      </c>
      <c r="P83" s="648" t="s">
        <v>1189</v>
      </c>
      <c r="Q83" s="649" t="s">
        <v>215</v>
      </c>
      <c r="R83" s="640" t="s">
        <v>333</v>
      </c>
      <c r="S83" s="650">
        <v>34000</v>
      </c>
      <c r="T83" s="651">
        <v>46085</v>
      </c>
      <c r="U83" s="652">
        <v>65</v>
      </c>
      <c r="V83" s="653">
        <v>64</v>
      </c>
      <c r="W83" s="654">
        <v>46149</v>
      </c>
      <c r="X83"/>
      <c r="Y83" s="805"/>
      <c r="AA83" s="818"/>
    </row>
    <row r="84" spans="1:27" s="817" customFormat="1" ht="17.399999999999999" hidden="1">
      <c r="A84" s="640" t="s">
        <v>17</v>
      </c>
      <c r="B84" s="641">
        <v>45630</v>
      </c>
      <c r="C84" s="642">
        <v>45631</v>
      </c>
      <c r="D84" s="643" t="s">
        <v>467</v>
      </c>
      <c r="E84" s="643">
        <v>65</v>
      </c>
      <c r="F84" s="643" t="s">
        <v>1071</v>
      </c>
      <c r="G84" s="644" t="s">
        <v>107</v>
      </c>
      <c r="H84" s="645" t="s">
        <v>333</v>
      </c>
      <c r="I84" s="646"/>
      <c r="J84" s="640" t="s">
        <v>20</v>
      </c>
      <c r="K84" s="640">
        <v>29</v>
      </c>
      <c r="L84" s="803" t="s">
        <v>283</v>
      </c>
      <c r="M84" s="803" t="s">
        <v>21</v>
      </c>
      <c r="N84" s="647">
        <v>45778</v>
      </c>
      <c r="O84" s="648" t="s">
        <v>469</v>
      </c>
      <c r="P84" s="648" t="s">
        <v>1190</v>
      </c>
      <c r="Q84" s="649" t="s">
        <v>470</v>
      </c>
      <c r="R84" s="640" t="s">
        <v>333</v>
      </c>
      <c r="S84" s="650">
        <v>6000</v>
      </c>
      <c r="T84" s="651">
        <v>46085</v>
      </c>
      <c r="U84" s="652">
        <v>65</v>
      </c>
      <c r="V84" s="653" t="s">
        <v>1191</v>
      </c>
      <c r="W84" s="654" t="s">
        <v>1192</v>
      </c>
      <c r="X84"/>
      <c r="Y84" s="805"/>
      <c r="AA84" s="818"/>
    </row>
    <row r="85" spans="1:27" s="817" customFormat="1" ht="17.399999999999999" hidden="1">
      <c r="A85" s="640" t="s">
        <v>17</v>
      </c>
      <c r="B85" s="641">
        <v>45631</v>
      </c>
      <c r="C85" s="642">
        <v>45631</v>
      </c>
      <c r="D85" s="643" t="s">
        <v>471</v>
      </c>
      <c r="E85" s="643">
        <v>67</v>
      </c>
      <c r="F85" s="643" t="s">
        <v>1073</v>
      </c>
      <c r="G85" s="644" t="s">
        <v>135</v>
      </c>
      <c r="H85" s="645" t="s">
        <v>333</v>
      </c>
      <c r="I85" s="646">
        <v>46000</v>
      </c>
      <c r="J85" s="640" t="s">
        <v>45</v>
      </c>
      <c r="K85" s="640">
        <v>58</v>
      </c>
      <c r="L85" s="807" t="s">
        <v>285</v>
      </c>
      <c r="M85" s="807" t="s">
        <v>31</v>
      </c>
      <c r="N85" s="647">
        <v>45778</v>
      </c>
      <c r="O85" s="648" t="s">
        <v>473</v>
      </c>
      <c r="P85" s="648" t="s">
        <v>1193</v>
      </c>
      <c r="Q85" s="649" t="s">
        <v>212</v>
      </c>
      <c r="R85" s="640" t="s">
        <v>333</v>
      </c>
      <c r="S85" s="650">
        <v>44000</v>
      </c>
      <c r="T85" s="651">
        <v>46099</v>
      </c>
      <c r="U85" s="652">
        <v>67</v>
      </c>
      <c r="V85" s="653">
        <v>43</v>
      </c>
      <c r="W85" s="654">
        <v>46142</v>
      </c>
      <c r="X85"/>
      <c r="Y85" s="805"/>
      <c r="AA85" s="818"/>
    </row>
    <row r="86" spans="1:27" s="817" customFormat="1" ht="17.399999999999999" hidden="1">
      <c r="A86" s="640" t="s">
        <v>17</v>
      </c>
      <c r="B86" s="641">
        <v>45638</v>
      </c>
      <c r="C86" s="642">
        <v>45638</v>
      </c>
      <c r="D86" s="643" t="s">
        <v>474</v>
      </c>
      <c r="E86" s="643">
        <v>65</v>
      </c>
      <c r="F86" s="643" t="s">
        <v>1058</v>
      </c>
      <c r="G86" s="644" t="s">
        <v>120</v>
      </c>
      <c r="H86" s="645" t="s">
        <v>333</v>
      </c>
      <c r="I86" s="646">
        <v>50000</v>
      </c>
      <c r="J86" s="640" t="s">
        <v>60</v>
      </c>
      <c r="K86" s="640">
        <v>33</v>
      </c>
      <c r="L86" s="803" t="s">
        <v>283</v>
      </c>
      <c r="M86" s="803" t="s">
        <v>21</v>
      </c>
      <c r="N86" s="647">
        <v>45785</v>
      </c>
      <c r="O86" s="648" t="s">
        <v>475</v>
      </c>
      <c r="P86" s="648" t="s">
        <v>1194</v>
      </c>
      <c r="Q86" s="649" t="s">
        <v>210</v>
      </c>
      <c r="R86" s="640" t="s">
        <v>1048</v>
      </c>
      <c r="S86" s="650">
        <v>48000</v>
      </c>
      <c r="T86" s="651">
        <v>46092</v>
      </c>
      <c r="U86" s="652">
        <v>65</v>
      </c>
      <c r="V86" s="653">
        <v>43</v>
      </c>
      <c r="W86" s="654">
        <v>46135</v>
      </c>
      <c r="X86"/>
      <c r="Y86" s="805"/>
      <c r="AA86" s="818"/>
    </row>
    <row r="87" spans="1:27" s="817" customFormat="1" ht="17.399999999999999" hidden="1">
      <c r="A87" s="640" t="s">
        <v>17</v>
      </c>
      <c r="B87" s="641">
        <v>45643</v>
      </c>
      <c r="C87" s="642">
        <v>45645</v>
      </c>
      <c r="D87" s="643" t="s">
        <v>476</v>
      </c>
      <c r="E87" s="643">
        <v>64</v>
      </c>
      <c r="F87" s="643" t="s">
        <v>1049</v>
      </c>
      <c r="G87" s="644" t="s">
        <v>115</v>
      </c>
      <c r="H87" s="645" t="s">
        <v>333</v>
      </c>
      <c r="I87" s="646">
        <v>63000</v>
      </c>
      <c r="J87" s="640" t="s">
        <v>60</v>
      </c>
      <c r="K87" s="640">
        <v>22</v>
      </c>
      <c r="L87" s="804" t="s">
        <v>285</v>
      </c>
      <c r="M87" s="804" t="s">
        <v>26</v>
      </c>
      <c r="N87" s="647">
        <v>45792</v>
      </c>
      <c r="O87" s="648" t="s">
        <v>477</v>
      </c>
      <c r="P87" s="648" t="s">
        <v>1195</v>
      </c>
      <c r="Q87" s="649" t="s">
        <v>208</v>
      </c>
      <c r="R87" s="640" t="s">
        <v>333</v>
      </c>
      <c r="S87" s="650">
        <v>60480</v>
      </c>
      <c r="T87" s="651">
        <v>46092</v>
      </c>
      <c r="U87" s="652">
        <v>64</v>
      </c>
      <c r="V87" s="653">
        <v>43</v>
      </c>
      <c r="W87" s="654">
        <v>46135</v>
      </c>
      <c r="X87"/>
      <c r="Y87" s="805"/>
      <c r="AA87" s="818"/>
    </row>
    <row r="88" spans="1:27" s="817" customFormat="1" ht="17.399999999999999" hidden="1">
      <c r="A88" s="640" t="s">
        <v>17</v>
      </c>
      <c r="B88" s="641">
        <v>45643</v>
      </c>
      <c r="C88" s="642">
        <v>45645</v>
      </c>
      <c r="D88" s="643" t="s">
        <v>476</v>
      </c>
      <c r="E88" s="643">
        <v>64</v>
      </c>
      <c r="F88" s="643" t="s">
        <v>1049</v>
      </c>
      <c r="G88" s="644" t="s">
        <v>115</v>
      </c>
      <c r="H88" s="645" t="s">
        <v>333</v>
      </c>
      <c r="I88" s="646">
        <v>63000</v>
      </c>
      <c r="J88" s="640" t="s">
        <v>60</v>
      </c>
      <c r="K88" s="640">
        <v>29</v>
      </c>
      <c r="L88" s="804" t="s">
        <v>285</v>
      </c>
      <c r="M88" s="804" t="s">
        <v>26</v>
      </c>
      <c r="N88" s="647">
        <v>45792</v>
      </c>
      <c r="O88" s="648" t="s">
        <v>477</v>
      </c>
      <c r="P88" s="648" t="s">
        <v>1195</v>
      </c>
      <c r="Q88" s="649" t="s">
        <v>208</v>
      </c>
      <c r="R88" s="640" t="s">
        <v>333</v>
      </c>
      <c r="S88" s="650">
        <v>33500</v>
      </c>
      <c r="T88" s="651">
        <v>46092</v>
      </c>
      <c r="U88" s="652">
        <v>64</v>
      </c>
      <c r="V88" s="653">
        <v>43</v>
      </c>
      <c r="W88" s="654">
        <v>46135</v>
      </c>
      <c r="X88"/>
      <c r="Y88" s="805"/>
      <c r="AA88" s="818"/>
    </row>
    <row r="89" spans="1:27" s="817" customFormat="1" ht="17.399999999999999" hidden="1">
      <c r="A89" s="640" t="s">
        <v>17</v>
      </c>
      <c r="B89" s="641">
        <v>45643</v>
      </c>
      <c r="C89" s="642">
        <v>45645</v>
      </c>
      <c r="D89" s="643" t="s">
        <v>476</v>
      </c>
      <c r="E89" s="643">
        <v>65</v>
      </c>
      <c r="F89" s="643" t="s">
        <v>1049</v>
      </c>
      <c r="G89" s="644" t="s">
        <v>115</v>
      </c>
      <c r="H89" s="645" t="s">
        <v>333</v>
      </c>
      <c r="I89" s="646"/>
      <c r="J89" s="640" t="s">
        <v>60</v>
      </c>
      <c r="K89" s="640">
        <v>29</v>
      </c>
      <c r="L89" s="804" t="s">
        <v>285</v>
      </c>
      <c r="M89" s="804" t="s">
        <v>26</v>
      </c>
      <c r="N89" s="647">
        <v>45792</v>
      </c>
      <c r="O89" s="648" t="s">
        <v>478</v>
      </c>
      <c r="P89" s="648" t="s">
        <v>1196</v>
      </c>
      <c r="Q89" s="649" t="s">
        <v>213</v>
      </c>
      <c r="R89" s="640" t="s">
        <v>1048</v>
      </c>
      <c r="S89" s="650">
        <v>27448</v>
      </c>
      <c r="T89" s="651">
        <v>46099</v>
      </c>
      <c r="U89" s="652">
        <v>65</v>
      </c>
      <c r="V89" s="653">
        <v>43</v>
      </c>
      <c r="W89" s="654">
        <v>46142</v>
      </c>
      <c r="X89"/>
      <c r="Y89" s="805"/>
      <c r="AA89" s="818"/>
    </row>
    <row r="90" spans="1:27" s="817" customFormat="1" ht="17.399999999999999" hidden="1">
      <c r="A90" s="640" t="s">
        <v>17</v>
      </c>
      <c r="B90" s="641">
        <v>45647</v>
      </c>
      <c r="C90" s="642">
        <v>45645</v>
      </c>
      <c r="D90" s="643" t="s">
        <v>479</v>
      </c>
      <c r="E90" s="643">
        <v>65</v>
      </c>
      <c r="F90" s="643" t="s">
        <v>1062</v>
      </c>
      <c r="G90" s="644" t="s">
        <v>1063</v>
      </c>
      <c r="H90" s="645" t="s">
        <v>1062</v>
      </c>
      <c r="I90" s="646">
        <v>80000</v>
      </c>
      <c r="J90" s="640" t="s">
        <v>60</v>
      </c>
      <c r="K90" s="640">
        <v>22</v>
      </c>
      <c r="L90" s="803" t="s">
        <v>283</v>
      </c>
      <c r="M90" s="803" t="s">
        <v>21</v>
      </c>
      <c r="N90" s="647">
        <v>45792</v>
      </c>
      <c r="O90" s="648" t="s">
        <v>480</v>
      </c>
      <c r="P90" s="648" t="s">
        <v>1196</v>
      </c>
      <c r="Q90" s="649" t="s">
        <v>213</v>
      </c>
      <c r="R90" s="640" t="s">
        <v>1048</v>
      </c>
      <c r="S90" s="650">
        <v>9008</v>
      </c>
      <c r="T90" s="651">
        <v>46099</v>
      </c>
      <c r="U90" s="652">
        <v>65</v>
      </c>
      <c r="V90" s="653">
        <v>43</v>
      </c>
      <c r="W90" s="654">
        <v>46142</v>
      </c>
      <c r="X90"/>
      <c r="Y90" s="805"/>
      <c r="AA90" s="818"/>
    </row>
    <row r="91" spans="1:27" s="817" customFormat="1" ht="17.399999999999999" hidden="1">
      <c r="A91" s="640" t="s">
        <v>17</v>
      </c>
      <c r="B91" s="641">
        <v>45647</v>
      </c>
      <c r="C91" s="642">
        <v>45645</v>
      </c>
      <c r="D91" s="643" t="s">
        <v>479</v>
      </c>
      <c r="E91" s="643">
        <v>65</v>
      </c>
      <c r="F91" s="643" t="s">
        <v>1062</v>
      </c>
      <c r="G91" s="644" t="s">
        <v>1063</v>
      </c>
      <c r="H91" s="645" t="s">
        <v>1062</v>
      </c>
      <c r="I91" s="646"/>
      <c r="J91" s="640" t="s">
        <v>60</v>
      </c>
      <c r="K91" s="640">
        <v>22</v>
      </c>
      <c r="L91" s="803" t="s">
        <v>283</v>
      </c>
      <c r="M91" s="803" t="s">
        <v>21</v>
      </c>
      <c r="N91" s="647">
        <v>45792</v>
      </c>
      <c r="O91" s="648" t="s">
        <v>481</v>
      </c>
      <c r="P91" s="648" t="s">
        <v>1197</v>
      </c>
      <c r="Q91" s="649" t="s">
        <v>482</v>
      </c>
      <c r="R91" s="640" t="s">
        <v>333</v>
      </c>
      <c r="S91" s="650">
        <v>35992</v>
      </c>
      <c r="T91" s="651">
        <v>46099</v>
      </c>
      <c r="U91" s="652">
        <v>65</v>
      </c>
      <c r="V91" s="653">
        <v>43</v>
      </c>
      <c r="W91" s="654">
        <v>46142</v>
      </c>
      <c r="X91"/>
      <c r="Y91" s="805"/>
      <c r="AA91" s="818"/>
    </row>
    <row r="92" spans="1:27" s="817" customFormat="1" ht="17.399999999999999" hidden="1">
      <c r="A92" s="640" t="s">
        <v>17</v>
      </c>
      <c r="B92" s="641">
        <v>45650</v>
      </c>
      <c r="C92" s="642">
        <v>45652</v>
      </c>
      <c r="D92" s="643" t="s">
        <v>483</v>
      </c>
      <c r="E92" s="643">
        <v>65</v>
      </c>
      <c r="F92" s="643" t="s">
        <v>1060</v>
      </c>
      <c r="G92" s="644" t="s">
        <v>129</v>
      </c>
      <c r="H92" s="645" t="s">
        <v>333</v>
      </c>
      <c r="I92" s="646">
        <v>40000</v>
      </c>
      <c r="J92" s="640" t="s">
        <v>60</v>
      </c>
      <c r="K92" s="640">
        <v>29</v>
      </c>
      <c r="L92" s="803" t="s">
        <v>283</v>
      </c>
      <c r="M92" s="803" t="s">
        <v>21</v>
      </c>
      <c r="N92" s="647">
        <v>45799</v>
      </c>
      <c r="O92" s="648" t="s">
        <v>484</v>
      </c>
      <c r="P92" s="648" t="s">
        <v>1198</v>
      </c>
      <c r="Q92" s="649" t="s">
        <v>209</v>
      </c>
      <c r="R92" s="640" t="s">
        <v>333</v>
      </c>
      <c r="S92" s="650">
        <v>33124</v>
      </c>
      <c r="T92" s="651">
        <v>46106</v>
      </c>
      <c r="U92" s="652">
        <v>65</v>
      </c>
      <c r="V92" s="653">
        <v>36</v>
      </c>
      <c r="W92" s="654">
        <v>46142</v>
      </c>
      <c r="X92"/>
      <c r="Y92" s="805"/>
      <c r="AA92" s="818"/>
    </row>
    <row r="93" spans="1:27" s="817" customFormat="1" ht="17.399999999999999" hidden="1">
      <c r="A93" s="640" t="s">
        <v>17</v>
      </c>
      <c r="B93" s="641">
        <v>45638</v>
      </c>
      <c r="C93" s="642">
        <v>45610</v>
      </c>
      <c r="D93" s="643" t="s">
        <v>455</v>
      </c>
      <c r="E93" s="643">
        <v>64</v>
      </c>
      <c r="F93" s="643" t="s">
        <v>332</v>
      </c>
      <c r="G93" s="644" t="s">
        <v>95</v>
      </c>
      <c r="H93" s="645" t="s">
        <v>333</v>
      </c>
      <c r="I93" s="646">
        <v>0</v>
      </c>
      <c r="J93" s="640" t="s">
        <v>20</v>
      </c>
      <c r="K93" s="640">
        <v>23</v>
      </c>
      <c r="L93" s="803" t="s">
        <v>283</v>
      </c>
      <c r="M93" s="803" t="s">
        <v>21</v>
      </c>
      <c r="N93" s="647">
        <v>45757</v>
      </c>
      <c r="O93" s="648" t="s">
        <v>457</v>
      </c>
      <c r="P93" s="648" t="s">
        <v>1199</v>
      </c>
      <c r="Q93" s="649" t="s">
        <v>237</v>
      </c>
      <c r="R93" s="640" t="s">
        <v>333</v>
      </c>
      <c r="S93" s="650">
        <v>15000</v>
      </c>
      <c r="T93" s="651">
        <v>46057</v>
      </c>
      <c r="U93" s="652">
        <v>64</v>
      </c>
      <c r="V93" s="653">
        <v>204</v>
      </c>
      <c r="W93" s="654">
        <v>46261</v>
      </c>
      <c r="X93"/>
      <c r="Y93" s="805"/>
      <c r="AA93" s="818"/>
    </row>
    <row r="94" spans="1:27" s="817" customFormat="1" ht="17.399999999999999" hidden="1">
      <c r="A94" s="640" t="s">
        <v>17</v>
      </c>
      <c r="B94" s="641">
        <v>45657</v>
      </c>
      <c r="C94" s="642">
        <v>45659</v>
      </c>
      <c r="D94" s="643" t="s">
        <v>485</v>
      </c>
      <c r="E94" s="643">
        <v>66</v>
      </c>
      <c r="F94" s="643" t="s">
        <v>334</v>
      </c>
      <c r="G94" s="644" t="s">
        <v>123</v>
      </c>
      <c r="H94" s="645" t="s">
        <v>333</v>
      </c>
      <c r="I94" s="646">
        <v>42000</v>
      </c>
      <c r="J94" s="640" t="s">
        <v>60</v>
      </c>
      <c r="K94" s="640">
        <v>22</v>
      </c>
      <c r="L94" s="803" t="s">
        <v>283</v>
      </c>
      <c r="M94" s="803" t="s">
        <v>21</v>
      </c>
      <c r="N94" s="647">
        <v>45806</v>
      </c>
      <c r="O94" s="648" t="s">
        <v>486</v>
      </c>
      <c r="P94" s="648" t="s">
        <v>1200</v>
      </c>
      <c r="Q94" s="649" t="s">
        <v>219</v>
      </c>
      <c r="R94" s="640" t="s">
        <v>333</v>
      </c>
      <c r="S94" s="650">
        <v>40000</v>
      </c>
      <c r="T94" s="651">
        <v>46120</v>
      </c>
      <c r="U94" s="652">
        <v>66</v>
      </c>
      <c r="V94" s="653">
        <v>57</v>
      </c>
      <c r="W94" s="654">
        <v>46177</v>
      </c>
      <c r="X94"/>
      <c r="Y94" s="1070"/>
      <c r="AA94" s="818"/>
    </row>
    <row r="95" spans="1:27" s="817" customFormat="1" ht="17.399999999999999" hidden="1">
      <c r="A95" s="640" t="s">
        <v>17</v>
      </c>
      <c r="B95" s="641">
        <v>45657</v>
      </c>
      <c r="C95" s="642">
        <v>45659</v>
      </c>
      <c r="D95" s="643" t="s">
        <v>487</v>
      </c>
      <c r="E95" s="643">
        <v>67</v>
      </c>
      <c r="F95" s="643" t="s">
        <v>1081</v>
      </c>
      <c r="G95" s="644" t="s">
        <v>157</v>
      </c>
      <c r="H95" s="645" t="s">
        <v>1048</v>
      </c>
      <c r="I95" s="646">
        <v>40000</v>
      </c>
      <c r="J95" s="640" t="s">
        <v>45</v>
      </c>
      <c r="K95" s="640">
        <v>65</v>
      </c>
      <c r="L95" s="803" t="s">
        <v>283</v>
      </c>
      <c r="M95" s="803" t="s">
        <v>1094</v>
      </c>
      <c r="N95" s="647">
        <v>45806</v>
      </c>
      <c r="O95" s="648" t="s">
        <v>488</v>
      </c>
      <c r="P95" s="648" t="s">
        <v>1201</v>
      </c>
      <c r="Q95" s="649" t="s">
        <v>225</v>
      </c>
      <c r="R95" s="640" t="s">
        <v>333</v>
      </c>
      <c r="S95" s="650">
        <v>37000</v>
      </c>
      <c r="T95" s="651">
        <v>46127</v>
      </c>
      <c r="U95" s="652">
        <v>67</v>
      </c>
      <c r="V95" s="653">
        <v>50</v>
      </c>
      <c r="W95" s="654">
        <v>46177</v>
      </c>
      <c r="X95"/>
      <c r="Y95" s="1070"/>
      <c r="AA95" s="818"/>
    </row>
    <row r="96" spans="1:27" s="817" customFormat="1" ht="17.399999999999999" hidden="1">
      <c r="A96" s="640" t="s">
        <v>17</v>
      </c>
      <c r="B96" s="641">
        <v>45666</v>
      </c>
      <c r="C96" s="642">
        <v>45666</v>
      </c>
      <c r="D96" s="673" t="s">
        <v>489</v>
      </c>
      <c r="E96" s="643">
        <v>64</v>
      </c>
      <c r="F96" s="643" t="s">
        <v>1083</v>
      </c>
      <c r="G96" s="644" t="s">
        <v>139</v>
      </c>
      <c r="H96" s="645" t="s">
        <v>1048</v>
      </c>
      <c r="I96" s="646">
        <v>60000</v>
      </c>
      <c r="J96" s="640" t="s">
        <v>20</v>
      </c>
      <c r="K96" s="640">
        <v>26</v>
      </c>
      <c r="L96" s="804" t="s">
        <v>285</v>
      </c>
      <c r="M96" s="804" t="s">
        <v>26</v>
      </c>
      <c r="N96" s="647">
        <v>45813</v>
      </c>
      <c r="O96" s="648" t="s">
        <v>490</v>
      </c>
      <c r="P96" s="648" t="s">
        <v>1202</v>
      </c>
      <c r="Q96" s="649" t="s">
        <v>217</v>
      </c>
      <c r="R96" s="640" t="s">
        <v>333</v>
      </c>
      <c r="S96" s="650">
        <v>57600</v>
      </c>
      <c r="T96" s="651">
        <v>46113</v>
      </c>
      <c r="U96" s="652">
        <v>64</v>
      </c>
      <c r="V96" s="653">
        <v>43</v>
      </c>
      <c r="W96" s="654">
        <v>46156</v>
      </c>
      <c r="X96"/>
      <c r="Y96" s="1070"/>
      <c r="AA96" s="818"/>
    </row>
    <row r="97" spans="1:27" s="817" customFormat="1" ht="17.399999999999999" hidden="1">
      <c r="A97" s="640" t="s">
        <v>17</v>
      </c>
      <c r="B97" s="641">
        <v>45646</v>
      </c>
      <c r="C97" s="642">
        <v>45666</v>
      </c>
      <c r="D97" s="673" t="s">
        <v>491</v>
      </c>
      <c r="E97" s="643">
        <v>66</v>
      </c>
      <c r="F97" s="643" t="s">
        <v>1077</v>
      </c>
      <c r="G97" s="644" t="s">
        <v>160</v>
      </c>
      <c r="H97" s="645" t="s">
        <v>1078</v>
      </c>
      <c r="I97" s="646">
        <v>42000</v>
      </c>
      <c r="J97" s="640" t="s">
        <v>45</v>
      </c>
      <c r="K97" s="640">
        <v>72</v>
      </c>
      <c r="L97" s="803" t="s">
        <v>283</v>
      </c>
      <c r="M97" s="803" t="s">
        <v>1094</v>
      </c>
      <c r="N97" s="647">
        <v>45813</v>
      </c>
      <c r="O97" s="648" t="s">
        <v>488</v>
      </c>
      <c r="P97" s="648" t="s">
        <v>1201</v>
      </c>
      <c r="Q97" s="649" t="s">
        <v>225</v>
      </c>
      <c r="R97" s="640" t="s">
        <v>333</v>
      </c>
      <c r="S97" s="650">
        <v>40000</v>
      </c>
      <c r="T97" s="651">
        <v>46127</v>
      </c>
      <c r="U97" s="652">
        <v>66</v>
      </c>
      <c r="V97" s="653">
        <v>50</v>
      </c>
      <c r="W97" s="654">
        <v>46177</v>
      </c>
      <c r="X97"/>
      <c r="Y97" s="1070"/>
      <c r="AA97" s="818"/>
    </row>
    <row r="98" spans="1:27" ht="15" hidden="1" customHeight="1">
      <c r="A98" s="905" t="s">
        <v>17</v>
      </c>
      <c r="B98" s="906">
        <v>45555</v>
      </c>
      <c r="C98" s="907">
        <v>45554</v>
      </c>
      <c r="D98" s="908" t="s">
        <v>439</v>
      </c>
      <c r="E98" s="909">
        <v>66</v>
      </c>
      <c r="F98" s="643" t="s">
        <v>1168</v>
      </c>
      <c r="G98" s="910" t="s">
        <v>47</v>
      </c>
      <c r="H98" s="645" t="s">
        <v>1048</v>
      </c>
      <c r="I98" s="909"/>
      <c r="J98" s="905" t="s">
        <v>45</v>
      </c>
      <c r="K98" s="905">
        <v>50</v>
      </c>
      <c r="L98" s="803" t="s">
        <v>283</v>
      </c>
      <c r="M98" s="816" t="s">
        <v>21</v>
      </c>
      <c r="N98" s="912">
        <v>45708</v>
      </c>
      <c r="O98" s="913" t="s">
        <v>1203</v>
      </c>
      <c r="P98" s="648" t="s">
        <v>1204</v>
      </c>
      <c r="Q98" s="914" t="s">
        <v>327</v>
      </c>
      <c r="R98" s="648" t="s">
        <v>1076</v>
      </c>
      <c r="S98" s="915">
        <v>18473</v>
      </c>
      <c r="T98" s="916">
        <v>46015</v>
      </c>
      <c r="U98" s="917">
        <v>66</v>
      </c>
      <c r="V98" s="918">
        <v>43</v>
      </c>
      <c r="W98" s="919">
        <v>46058</v>
      </c>
    </row>
    <row r="99" spans="1:27" ht="15" hidden="1" customHeight="1">
      <c r="A99" s="924" t="s">
        <v>17</v>
      </c>
      <c r="B99" s="456">
        <v>45588</v>
      </c>
      <c r="C99" s="925">
        <v>45589</v>
      </c>
      <c r="D99" s="926" t="s">
        <v>1205</v>
      </c>
      <c r="E99" s="927">
        <v>69</v>
      </c>
      <c r="F99" s="927" t="s">
        <v>1148</v>
      </c>
      <c r="G99" s="928" t="s">
        <v>315</v>
      </c>
      <c r="H99" s="929" t="s">
        <v>333</v>
      </c>
      <c r="I99" s="927">
        <v>60000</v>
      </c>
      <c r="J99" s="924" t="s">
        <v>45</v>
      </c>
      <c r="K99" s="924">
        <v>62</v>
      </c>
      <c r="L99" s="803" t="s">
        <v>283</v>
      </c>
      <c r="M99" s="816" t="s">
        <v>21</v>
      </c>
      <c r="N99" s="930">
        <v>45736</v>
      </c>
      <c r="O99" s="460" t="s">
        <v>1206</v>
      </c>
      <c r="P99" s="460" t="s">
        <v>1207</v>
      </c>
      <c r="Q99" s="931" t="s">
        <v>331</v>
      </c>
      <c r="R99" s="460" t="s">
        <v>1057</v>
      </c>
      <c r="S99" s="932">
        <v>23000</v>
      </c>
      <c r="T99" s="916">
        <v>46071</v>
      </c>
      <c r="U99" s="917">
        <v>69</v>
      </c>
      <c r="V99" s="918">
        <v>43</v>
      </c>
      <c r="W99" s="919">
        <v>46114</v>
      </c>
    </row>
    <row r="100" spans="1:27" ht="15" hidden="1" customHeight="1">
      <c r="A100" s="924" t="s">
        <v>17</v>
      </c>
      <c r="B100" s="456">
        <v>45588</v>
      </c>
      <c r="C100" s="925">
        <v>45589</v>
      </c>
      <c r="D100" s="926" t="s">
        <v>1205</v>
      </c>
      <c r="E100" s="927">
        <v>69</v>
      </c>
      <c r="F100" s="927" t="s">
        <v>1148</v>
      </c>
      <c r="G100" s="928" t="s">
        <v>315</v>
      </c>
      <c r="H100" s="929" t="s">
        <v>333</v>
      </c>
      <c r="I100" s="927">
        <v>0</v>
      </c>
      <c r="J100" s="924" t="s">
        <v>45</v>
      </c>
      <c r="K100" s="924">
        <v>62</v>
      </c>
      <c r="L100" s="803" t="s">
        <v>283</v>
      </c>
      <c r="M100" s="816" t="s">
        <v>21</v>
      </c>
      <c r="N100" s="930">
        <v>45736</v>
      </c>
      <c r="O100" s="460" t="s">
        <v>1208</v>
      </c>
      <c r="P100" s="460" t="s">
        <v>1209</v>
      </c>
      <c r="Q100" s="931" t="s">
        <v>203</v>
      </c>
      <c r="R100" s="460" t="s">
        <v>333</v>
      </c>
      <c r="S100" s="932">
        <v>34000</v>
      </c>
      <c r="T100" s="916">
        <v>46071</v>
      </c>
      <c r="U100" s="917">
        <v>69</v>
      </c>
      <c r="V100" s="918">
        <v>43</v>
      </c>
      <c r="W100" s="919">
        <v>46114</v>
      </c>
    </row>
    <row r="101" spans="1:27" ht="15" hidden="1" customHeight="1">
      <c r="A101" s="924" t="s">
        <v>244</v>
      </c>
      <c r="B101" s="456">
        <v>45619</v>
      </c>
      <c r="C101" s="925">
        <v>45617</v>
      </c>
      <c r="D101" s="926" t="s">
        <v>1210</v>
      </c>
      <c r="E101" s="927">
        <v>66</v>
      </c>
      <c r="F101" s="927" t="s">
        <v>1151</v>
      </c>
      <c r="G101" s="928" t="s">
        <v>318</v>
      </c>
      <c r="H101" s="929" t="s">
        <v>1048</v>
      </c>
      <c r="I101" s="927">
        <v>30000</v>
      </c>
      <c r="J101" s="924" t="s">
        <v>45</v>
      </c>
      <c r="K101" s="924">
        <v>47</v>
      </c>
      <c r="L101" s="803" t="s">
        <v>283</v>
      </c>
      <c r="M101" s="816" t="s">
        <v>1094</v>
      </c>
      <c r="N101" s="930">
        <v>45764</v>
      </c>
      <c r="O101" s="460" t="s">
        <v>1211</v>
      </c>
      <c r="P101" s="460" t="s">
        <v>1212</v>
      </c>
      <c r="Q101" s="931" t="s">
        <v>204</v>
      </c>
      <c r="R101" s="460" t="s">
        <v>333</v>
      </c>
      <c r="S101" s="932">
        <v>27887</v>
      </c>
      <c r="T101" s="916">
        <v>46078</v>
      </c>
      <c r="U101" s="917">
        <v>66</v>
      </c>
      <c r="V101" s="918">
        <v>43</v>
      </c>
      <c r="W101" s="919">
        <v>46121</v>
      </c>
    </row>
    <row r="102" spans="1:27" ht="15" hidden="1" customHeight="1">
      <c r="A102" s="937" t="s">
        <v>17</v>
      </c>
      <c r="B102" s="938">
        <v>45647</v>
      </c>
      <c r="C102" s="939">
        <v>45645</v>
      </c>
      <c r="D102" s="940" t="s">
        <v>479</v>
      </c>
      <c r="E102" s="927">
        <v>66</v>
      </c>
      <c r="F102" s="941" t="s">
        <v>1062</v>
      </c>
      <c r="G102" s="942" t="s">
        <v>385</v>
      </c>
      <c r="H102" s="943" t="s">
        <v>1062</v>
      </c>
      <c r="I102" s="941"/>
      <c r="J102" s="937" t="s">
        <v>60</v>
      </c>
      <c r="K102" s="937">
        <v>20</v>
      </c>
      <c r="L102" s="803" t="s">
        <v>283</v>
      </c>
      <c r="M102" s="816" t="s">
        <v>21</v>
      </c>
      <c r="N102" s="930">
        <v>45792</v>
      </c>
      <c r="O102" s="460" t="s">
        <v>1213</v>
      </c>
      <c r="P102" s="460" t="s">
        <v>1214</v>
      </c>
      <c r="Q102" s="944" t="s">
        <v>224</v>
      </c>
      <c r="R102" s="467" t="s">
        <v>333</v>
      </c>
      <c r="S102" s="932">
        <v>35000</v>
      </c>
      <c r="T102" s="916">
        <v>46106</v>
      </c>
      <c r="U102" s="917">
        <v>66</v>
      </c>
      <c r="V102" s="918">
        <v>71</v>
      </c>
      <c r="W102" s="919">
        <v>46177</v>
      </c>
    </row>
    <row r="103" spans="1:27" ht="15" hidden="1" customHeight="1">
      <c r="A103" s="640" t="s">
        <v>17</v>
      </c>
      <c r="B103" s="641">
        <v>45638</v>
      </c>
      <c r="C103" s="642">
        <v>45610</v>
      </c>
      <c r="D103" s="643" t="s">
        <v>455</v>
      </c>
      <c r="E103" s="643">
        <v>64</v>
      </c>
      <c r="F103" s="643" t="s">
        <v>332</v>
      </c>
      <c r="G103" s="644" t="s">
        <v>95</v>
      </c>
      <c r="H103" s="645" t="s">
        <v>333</v>
      </c>
      <c r="I103" s="646">
        <v>0</v>
      </c>
      <c r="J103" s="640" t="s">
        <v>20</v>
      </c>
      <c r="K103" s="640">
        <v>23</v>
      </c>
      <c r="L103" s="803" t="s">
        <v>283</v>
      </c>
      <c r="M103" s="803" t="s">
        <v>21</v>
      </c>
      <c r="N103" s="647">
        <v>45757</v>
      </c>
      <c r="O103" s="648" t="s">
        <v>457</v>
      </c>
      <c r="P103" s="648" t="s">
        <v>1199</v>
      </c>
      <c r="Q103" s="649" t="s">
        <v>237</v>
      </c>
      <c r="R103" s="640" t="s">
        <v>333</v>
      </c>
      <c r="S103" s="650">
        <v>15000</v>
      </c>
      <c r="T103" s="651">
        <v>46057</v>
      </c>
      <c r="U103" s="652">
        <v>64</v>
      </c>
      <c r="V103" s="653">
        <v>204</v>
      </c>
      <c r="W103" s="654">
        <v>46261</v>
      </c>
    </row>
    <row r="104" spans="1:27" ht="15" hidden="1" customHeight="1">
      <c r="A104" s="640" t="s">
        <v>17</v>
      </c>
      <c r="B104" s="641">
        <v>45657</v>
      </c>
      <c r="C104" s="642">
        <v>45659</v>
      </c>
      <c r="D104" s="643" t="s">
        <v>485</v>
      </c>
      <c r="E104" s="643">
        <v>66</v>
      </c>
      <c r="F104" s="643" t="s">
        <v>334</v>
      </c>
      <c r="G104" s="644" t="s">
        <v>123</v>
      </c>
      <c r="H104" s="645" t="s">
        <v>333</v>
      </c>
      <c r="I104" s="646">
        <v>42000</v>
      </c>
      <c r="J104" s="640" t="s">
        <v>60</v>
      </c>
      <c r="K104" s="640">
        <v>22</v>
      </c>
      <c r="L104" s="803" t="s">
        <v>283</v>
      </c>
      <c r="M104" s="803" t="s">
        <v>21</v>
      </c>
      <c r="N104" s="647">
        <v>45806</v>
      </c>
      <c r="O104" s="648" t="s">
        <v>486</v>
      </c>
      <c r="P104" s="648" t="s">
        <v>1200</v>
      </c>
      <c r="Q104" s="649" t="s">
        <v>219</v>
      </c>
      <c r="R104" s="640" t="s">
        <v>333</v>
      </c>
      <c r="S104" s="650">
        <v>40000</v>
      </c>
      <c r="T104" s="651">
        <v>46120</v>
      </c>
      <c r="U104" s="652">
        <v>66</v>
      </c>
      <c r="V104" s="653">
        <v>57</v>
      </c>
      <c r="W104" s="654">
        <v>46177</v>
      </c>
    </row>
    <row r="105" spans="1:27" ht="15" hidden="1" customHeight="1">
      <c r="A105" s="640" t="s">
        <v>17</v>
      </c>
      <c r="B105" s="641">
        <v>45657</v>
      </c>
      <c r="C105" s="642">
        <v>45659</v>
      </c>
      <c r="D105" s="643" t="s">
        <v>487</v>
      </c>
      <c r="E105" s="643">
        <v>67</v>
      </c>
      <c r="F105" s="643" t="s">
        <v>1081</v>
      </c>
      <c r="G105" s="644" t="s">
        <v>157</v>
      </c>
      <c r="H105" s="645" t="s">
        <v>1048</v>
      </c>
      <c r="I105" s="646">
        <v>40000</v>
      </c>
      <c r="J105" s="640" t="s">
        <v>45</v>
      </c>
      <c r="K105" s="640">
        <v>65</v>
      </c>
      <c r="L105" s="803" t="s">
        <v>283</v>
      </c>
      <c r="M105" s="803" t="s">
        <v>1094</v>
      </c>
      <c r="N105" s="647">
        <v>45806</v>
      </c>
      <c r="O105" s="648" t="s">
        <v>488</v>
      </c>
      <c r="P105" s="648" t="s">
        <v>1201</v>
      </c>
      <c r="Q105" s="649" t="s">
        <v>225</v>
      </c>
      <c r="R105" s="640" t="s">
        <v>333</v>
      </c>
      <c r="S105" s="650">
        <v>37000</v>
      </c>
      <c r="T105" s="651">
        <v>46127</v>
      </c>
      <c r="U105" s="652">
        <v>67</v>
      </c>
      <c r="V105" s="653">
        <v>50</v>
      </c>
      <c r="W105" s="654">
        <v>46177</v>
      </c>
    </row>
    <row r="106" spans="1:27" ht="15" hidden="1" customHeight="1">
      <c r="A106" s="640" t="s">
        <v>17</v>
      </c>
      <c r="B106" s="641">
        <v>45666</v>
      </c>
      <c r="C106" s="642">
        <v>45666</v>
      </c>
      <c r="D106" s="673" t="s">
        <v>489</v>
      </c>
      <c r="E106" s="643">
        <v>64</v>
      </c>
      <c r="F106" s="643" t="s">
        <v>1083</v>
      </c>
      <c r="G106" s="644" t="s">
        <v>139</v>
      </c>
      <c r="H106" s="645" t="s">
        <v>1048</v>
      </c>
      <c r="I106" s="646">
        <v>60000</v>
      </c>
      <c r="J106" s="640" t="s">
        <v>20</v>
      </c>
      <c r="K106" s="640">
        <v>26</v>
      </c>
      <c r="L106" s="804" t="s">
        <v>285</v>
      </c>
      <c r="M106" s="804" t="s">
        <v>26</v>
      </c>
      <c r="N106" s="647">
        <v>45813</v>
      </c>
      <c r="O106" s="648" t="s">
        <v>490</v>
      </c>
      <c r="P106" s="648" t="s">
        <v>1202</v>
      </c>
      <c r="Q106" s="649" t="s">
        <v>217</v>
      </c>
      <c r="R106" s="640" t="s">
        <v>333</v>
      </c>
      <c r="S106" s="650">
        <v>57600</v>
      </c>
      <c r="T106" s="651">
        <v>46113</v>
      </c>
      <c r="U106" s="652">
        <v>64</v>
      </c>
      <c r="V106" s="653">
        <v>43</v>
      </c>
      <c r="W106" s="654">
        <v>46156</v>
      </c>
    </row>
    <row r="107" spans="1:27" ht="15" hidden="1" customHeight="1">
      <c r="A107" s="640" t="s">
        <v>17</v>
      </c>
      <c r="B107" s="641">
        <v>45646</v>
      </c>
      <c r="C107" s="642">
        <v>45666</v>
      </c>
      <c r="D107" s="673" t="s">
        <v>491</v>
      </c>
      <c r="E107" s="643">
        <v>66</v>
      </c>
      <c r="F107" s="643" t="s">
        <v>1077</v>
      </c>
      <c r="G107" s="644" t="s">
        <v>160</v>
      </c>
      <c r="H107" s="645" t="s">
        <v>1078</v>
      </c>
      <c r="I107" s="646">
        <v>42000</v>
      </c>
      <c r="J107" s="640" t="s">
        <v>45</v>
      </c>
      <c r="K107" s="640">
        <v>72</v>
      </c>
      <c r="L107" s="803" t="s">
        <v>283</v>
      </c>
      <c r="M107" s="803" t="s">
        <v>1094</v>
      </c>
      <c r="N107" s="647">
        <v>45813</v>
      </c>
      <c r="O107" s="648" t="s">
        <v>488</v>
      </c>
      <c r="P107" s="648" t="s">
        <v>1201</v>
      </c>
      <c r="Q107" s="649" t="s">
        <v>225</v>
      </c>
      <c r="R107" s="640" t="s">
        <v>333</v>
      </c>
      <c r="S107" s="650">
        <v>40000</v>
      </c>
      <c r="T107" s="651">
        <v>46127</v>
      </c>
      <c r="U107" s="652">
        <v>66</v>
      </c>
      <c r="V107" s="653">
        <v>50</v>
      </c>
      <c r="W107" s="654">
        <v>46177</v>
      </c>
    </row>
    <row r="108" spans="1:27" ht="15" hidden="1" customHeight="1">
      <c r="A108" s="640" t="s">
        <v>17</v>
      </c>
      <c r="B108" s="641">
        <v>45646</v>
      </c>
      <c r="C108" s="642">
        <v>45666</v>
      </c>
      <c r="D108" s="673" t="s">
        <v>491</v>
      </c>
      <c r="E108" s="643">
        <v>68</v>
      </c>
      <c r="F108" s="643" t="s">
        <v>1077</v>
      </c>
      <c r="G108" s="644" t="s">
        <v>160</v>
      </c>
      <c r="H108" s="645" t="s">
        <v>1078</v>
      </c>
      <c r="I108" s="646">
        <v>42000</v>
      </c>
      <c r="J108" s="640" t="s">
        <v>45</v>
      </c>
      <c r="K108" s="640">
        <v>72</v>
      </c>
      <c r="L108" s="803" t="s">
        <v>283</v>
      </c>
      <c r="M108" s="803" t="s">
        <v>21</v>
      </c>
      <c r="N108" s="647">
        <v>45813</v>
      </c>
      <c r="O108" s="648" t="s">
        <v>492</v>
      </c>
      <c r="P108" s="648" t="s">
        <v>1215</v>
      </c>
      <c r="Q108" s="649" t="s">
        <v>226</v>
      </c>
      <c r="R108" s="640" t="s">
        <v>1046</v>
      </c>
      <c r="S108" s="650">
        <v>40000</v>
      </c>
      <c r="T108" s="651">
        <v>46141</v>
      </c>
      <c r="U108" s="652">
        <v>68</v>
      </c>
      <c r="V108" s="653">
        <v>43</v>
      </c>
      <c r="W108" s="654">
        <v>46184</v>
      </c>
    </row>
    <row r="109" spans="1:27" ht="15" hidden="1" customHeight="1">
      <c r="A109" s="640" t="s">
        <v>17</v>
      </c>
      <c r="B109" s="641">
        <v>45682</v>
      </c>
      <c r="C109" s="642">
        <v>45680</v>
      </c>
      <c r="D109" s="673" t="s">
        <v>493</v>
      </c>
      <c r="E109" s="643">
        <v>66</v>
      </c>
      <c r="F109" s="643" t="s">
        <v>338</v>
      </c>
      <c r="G109" s="644" t="s">
        <v>144</v>
      </c>
      <c r="H109" s="645" t="s">
        <v>333</v>
      </c>
      <c r="I109" s="646">
        <v>60000</v>
      </c>
      <c r="J109" s="640" t="s">
        <v>20</v>
      </c>
      <c r="K109" s="640">
        <v>19</v>
      </c>
      <c r="L109" s="806" t="s">
        <v>283</v>
      </c>
      <c r="M109" s="806" t="s">
        <v>37</v>
      </c>
      <c r="N109" s="647">
        <v>45827</v>
      </c>
      <c r="O109" s="648" t="s">
        <v>492</v>
      </c>
      <c r="P109" s="648" t="s">
        <v>1215</v>
      </c>
      <c r="Q109" s="649" t="s">
        <v>226</v>
      </c>
      <c r="R109" s="640" t="s">
        <v>1046</v>
      </c>
      <c r="S109" s="650">
        <v>20000</v>
      </c>
      <c r="T109" s="651">
        <v>46141</v>
      </c>
      <c r="U109" s="652">
        <v>66</v>
      </c>
      <c r="V109" s="653">
        <v>43</v>
      </c>
      <c r="W109" s="654">
        <v>46184</v>
      </c>
    </row>
    <row r="110" spans="1:27" ht="15" hidden="1" customHeight="1">
      <c r="A110" s="640" t="s">
        <v>17</v>
      </c>
      <c r="B110" s="641">
        <v>45682</v>
      </c>
      <c r="C110" s="642">
        <v>45680</v>
      </c>
      <c r="D110" s="673" t="s">
        <v>493</v>
      </c>
      <c r="E110" s="643">
        <v>66</v>
      </c>
      <c r="F110" s="643" t="s">
        <v>338</v>
      </c>
      <c r="G110" s="644" t="s">
        <v>144</v>
      </c>
      <c r="H110" s="645" t="s">
        <v>333</v>
      </c>
      <c r="I110" s="646"/>
      <c r="J110" s="640" t="s">
        <v>20</v>
      </c>
      <c r="K110" s="640">
        <v>19</v>
      </c>
      <c r="L110" s="806" t="s">
        <v>283</v>
      </c>
      <c r="M110" s="806" t="s">
        <v>37</v>
      </c>
      <c r="N110" s="647">
        <v>45827</v>
      </c>
      <c r="O110" s="648" t="s">
        <v>494</v>
      </c>
      <c r="P110" s="648" t="s">
        <v>1216</v>
      </c>
      <c r="Q110" s="649" t="s">
        <v>227</v>
      </c>
      <c r="R110" s="640" t="s">
        <v>333</v>
      </c>
      <c r="S110" s="650">
        <v>40000</v>
      </c>
      <c r="T110" s="651">
        <v>46141</v>
      </c>
      <c r="U110" s="652">
        <v>66</v>
      </c>
      <c r="V110" s="653">
        <v>50</v>
      </c>
      <c r="W110" s="654">
        <v>46191</v>
      </c>
    </row>
    <row r="111" spans="1:27" ht="15" hidden="1" customHeight="1">
      <c r="A111" s="640" t="s">
        <v>17</v>
      </c>
      <c r="B111" s="641">
        <v>45688</v>
      </c>
      <c r="C111" s="642">
        <v>45687</v>
      </c>
      <c r="D111" s="673" t="s">
        <v>495</v>
      </c>
      <c r="E111" s="643">
        <v>67</v>
      </c>
      <c r="F111" s="643" t="s">
        <v>1090</v>
      </c>
      <c r="G111" s="644" t="s">
        <v>154</v>
      </c>
      <c r="H111" s="645" t="s">
        <v>1048</v>
      </c>
      <c r="I111" s="646">
        <v>60000</v>
      </c>
      <c r="J111" s="640" t="s">
        <v>48</v>
      </c>
      <c r="K111" s="640">
        <v>35</v>
      </c>
      <c r="L111" s="804" t="s">
        <v>285</v>
      </c>
      <c r="M111" s="804" t="s">
        <v>26</v>
      </c>
      <c r="N111" s="647">
        <v>45834</v>
      </c>
      <c r="O111" s="648" t="s">
        <v>496</v>
      </c>
      <c r="P111" s="648" t="s">
        <v>1217</v>
      </c>
      <c r="Q111" s="649" t="s">
        <v>497</v>
      </c>
      <c r="R111" s="640" t="s">
        <v>333</v>
      </c>
      <c r="S111" s="650">
        <v>57000</v>
      </c>
      <c r="T111" s="651">
        <v>46155</v>
      </c>
      <c r="U111" s="652">
        <v>67</v>
      </c>
      <c r="V111" s="653">
        <v>50</v>
      </c>
      <c r="W111" s="654">
        <v>46205</v>
      </c>
    </row>
    <row r="112" spans="1:27" ht="15" hidden="1" customHeight="1">
      <c r="A112" s="640" t="s">
        <v>17</v>
      </c>
      <c r="B112" s="641">
        <v>45686</v>
      </c>
      <c r="C112" s="642">
        <v>45687</v>
      </c>
      <c r="D112" s="673" t="s">
        <v>498</v>
      </c>
      <c r="E112" s="643">
        <v>66</v>
      </c>
      <c r="F112" s="643" t="s">
        <v>1080</v>
      </c>
      <c r="G112" s="644" t="s">
        <v>148</v>
      </c>
      <c r="H112" s="645" t="s">
        <v>333</v>
      </c>
      <c r="I112" s="646">
        <v>60000</v>
      </c>
      <c r="J112" s="640" t="s">
        <v>60</v>
      </c>
      <c r="K112" s="640">
        <v>22</v>
      </c>
      <c r="L112" s="803" t="s">
        <v>283</v>
      </c>
      <c r="M112" s="803" t="s">
        <v>21</v>
      </c>
      <c r="N112" s="647">
        <v>45841</v>
      </c>
      <c r="O112" s="648" t="s">
        <v>499</v>
      </c>
      <c r="P112" s="648" t="s">
        <v>1218</v>
      </c>
      <c r="Q112" s="649" t="s">
        <v>228</v>
      </c>
      <c r="R112" s="640" t="s">
        <v>333</v>
      </c>
      <c r="S112" s="650">
        <v>38000</v>
      </c>
      <c r="T112" s="651">
        <v>46148</v>
      </c>
      <c r="U112" s="652">
        <v>66</v>
      </c>
      <c r="V112" s="653">
        <v>43</v>
      </c>
      <c r="W112" s="654">
        <v>46191</v>
      </c>
    </row>
    <row r="113" spans="1:23" ht="15" hidden="1" customHeight="1">
      <c r="A113" s="640" t="s">
        <v>17</v>
      </c>
      <c r="B113" s="641">
        <v>45693</v>
      </c>
      <c r="C113" s="642">
        <v>45694</v>
      </c>
      <c r="D113" s="673" t="s">
        <v>500</v>
      </c>
      <c r="E113" s="643">
        <v>67</v>
      </c>
      <c r="F113" s="643" t="s">
        <v>1086</v>
      </c>
      <c r="G113" s="644" t="s">
        <v>151</v>
      </c>
      <c r="H113" s="645" t="s">
        <v>333</v>
      </c>
      <c r="I113" s="646">
        <v>42000</v>
      </c>
      <c r="J113" s="640" t="s">
        <v>60</v>
      </c>
      <c r="K113" s="640">
        <v>21</v>
      </c>
      <c r="L113" s="803" t="s">
        <v>283</v>
      </c>
      <c r="M113" s="803" t="s">
        <v>21</v>
      </c>
      <c r="N113" s="647">
        <v>45841</v>
      </c>
      <c r="O113" s="648" t="s">
        <v>501</v>
      </c>
      <c r="P113" s="648" t="s">
        <v>1219</v>
      </c>
      <c r="Q113" s="649" t="s">
        <v>231</v>
      </c>
      <c r="R113" s="640" t="s">
        <v>333</v>
      </c>
      <c r="S113" s="650">
        <v>40000</v>
      </c>
      <c r="T113" s="651">
        <v>46162</v>
      </c>
      <c r="U113" s="652">
        <v>67</v>
      </c>
      <c r="V113" s="653">
        <v>50</v>
      </c>
      <c r="W113" s="654">
        <v>46212</v>
      </c>
    </row>
    <row r="114" spans="1:23" ht="15" hidden="1" customHeight="1">
      <c r="A114" s="640" t="s">
        <v>17</v>
      </c>
      <c r="B114" s="641">
        <v>45702</v>
      </c>
      <c r="C114" s="642">
        <v>45701</v>
      </c>
      <c r="D114" s="673" t="s">
        <v>18</v>
      </c>
      <c r="E114" s="643">
        <v>66</v>
      </c>
      <c r="F114" s="643" t="s">
        <v>1092</v>
      </c>
      <c r="G114" s="644" t="s">
        <v>19</v>
      </c>
      <c r="H114" s="645" t="s">
        <v>1046</v>
      </c>
      <c r="I114" s="646">
        <v>84000</v>
      </c>
      <c r="J114" s="640" t="s">
        <v>20</v>
      </c>
      <c r="K114" s="640">
        <v>43</v>
      </c>
      <c r="L114" s="803" t="s">
        <v>283</v>
      </c>
      <c r="M114" s="803" t="s">
        <v>21</v>
      </c>
      <c r="N114" s="647">
        <v>45848</v>
      </c>
      <c r="O114" s="648" t="s">
        <v>501</v>
      </c>
      <c r="P114" s="648" t="s">
        <v>1219</v>
      </c>
      <c r="Q114" s="649" t="s">
        <v>231</v>
      </c>
      <c r="R114" s="640" t="s">
        <v>333</v>
      </c>
      <c r="S114" s="650">
        <v>36000</v>
      </c>
      <c r="T114" s="651">
        <v>46162</v>
      </c>
      <c r="U114" s="652">
        <v>66</v>
      </c>
      <c r="V114" s="653">
        <v>50</v>
      </c>
      <c r="W114" s="654">
        <v>46212</v>
      </c>
    </row>
    <row r="115" spans="1:23" ht="15" customHeight="1">
      <c r="A115" s="640" t="s">
        <v>17</v>
      </c>
      <c r="B115" s="641">
        <v>45702</v>
      </c>
      <c r="C115" s="642">
        <v>45701</v>
      </c>
      <c r="D115" s="673" t="s">
        <v>18</v>
      </c>
      <c r="E115" s="643">
        <v>70</v>
      </c>
      <c r="F115" s="643" t="s">
        <v>1092</v>
      </c>
      <c r="G115" s="644" t="s">
        <v>19</v>
      </c>
      <c r="H115" s="645" t="s">
        <v>1046</v>
      </c>
      <c r="I115" s="646">
        <v>0</v>
      </c>
      <c r="J115" s="640" t="s">
        <v>20</v>
      </c>
      <c r="K115" s="640">
        <v>43</v>
      </c>
      <c r="L115" s="803" t="s">
        <v>283</v>
      </c>
      <c r="M115" s="803" t="s">
        <v>21</v>
      </c>
      <c r="N115" s="647">
        <v>45848</v>
      </c>
      <c r="O115" s="648" t="s">
        <v>502</v>
      </c>
      <c r="P115" s="648" t="s">
        <v>1220</v>
      </c>
      <c r="Q115" s="649" t="s">
        <v>233</v>
      </c>
      <c r="R115" s="640" t="s">
        <v>333</v>
      </c>
      <c r="S115" s="650">
        <v>33000</v>
      </c>
      <c r="T115" s="651">
        <v>46190</v>
      </c>
      <c r="U115" s="652">
        <v>70</v>
      </c>
      <c r="V115" s="653">
        <v>36</v>
      </c>
      <c r="W115" s="654">
        <v>46226</v>
      </c>
    </row>
    <row r="116" spans="1:23" ht="15" hidden="1" customHeight="1">
      <c r="A116" s="82" t="s">
        <v>220</v>
      </c>
      <c r="B116" s="88">
        <v>45582</v>
      </c>
      <c r="C116" s="87">
        <v>45582</v>
      </c>
      <c r="D116" s="110" t="s">
        <v>1221</v>
      </c>
      <c r="E116" s="110">
        <v>92.571428571428569</v>
      </c>
      <c r="F116" s="85" t="s">
        <v>1106</v>
      </c>
      <c r="G116" s="84" t="s">
        <v>784</v>
      </c>
      <c r="H116" s="484" t="s">
        <v>1048</v>
      </c>
      <c r="I116" s="83">
        <v>55400</v>
      </c>
      <c r="J116" s="82" t="s">
        <v>60</v>
      </c>
      <c r="K116" s="82">
        <v>33</v>
      </c>
      <c r="L116" s="807" t="s">
        <v>285</v>
      </c>
      <c r="M116" s="803" t="s">
        <v>26</v>
      </c>
      <c r="N116" s="92">
        <v>45729</v>
      </c>
      <c r="O116" s="91" t="s">
        <v>1222</v>
      </c>
      <c r="P116" s="91" t="s">
        <v>1108</v>
      </c>
      <c r="Q116" s="90" t="s">
        <v>785</v>
      </c>
      <c r="R116" s="91" t="s">
        <v>333</v>
      </c>
      <c r="S116" s="89">
        <v>52907</v>
      </c>
      <c r="T116" s="212">
        <v>46043</v>
      </c>
      <c r="U116" s="213">
        <v>66</v>
      </c>
      <c r="V116" s="214">
        <v>36</v>
      </c>
      <c r="W116" s="215">
        <v>46079</v>
      </c>
    </row>
    <row r="117" spans="1:23" ht="15" hidden="1" customHeight="1">
      <c r="A117" s="82" t="s">
        <v>220</v>
      </c>
      <c r="B117" s="88">
        <v>45632</v>
      </c>
      <c r="C117" s="87">
        <v>45631</v>
      </c>
      <c r="D117" s="165" t="s">
        <v>1223</v>
      </c>
      <c r="E117" s="165">
        <v>85.571428571428569</v>
      </c>
      <c r="F117" s="85" t="s">
        <v>1110</v>
      </c>
      <c r="G117" s="166" t="s">
        <v>777</v>
      </c>
      <c r="H117" s="511" t="s">
        <v>333</v>
      </c>
      <c r="I117" s="83">
        <v>54000</v>
      </c>
      <c r="J117" s="82" t="s">
        <v>60</v>
      </c>
      <c r="K117" s="167">
        <v>43</v>
      </c>
      <c r="L117" s="803" t="s">
        <v>283</v>
      </c>
      <c r="M117" s="803" t="s">
        <v>21</v>
      </c>
      <c r="N117" s="92">
        <v>45778</v>
      </c>
      <c r="O117" s="91" t="s">
        <v>1224</v>
      </c>
      <c r="P117" s="91" t="s">
        <v>1112</v>
      </c>
      <c r="Q117" s="90" t="s">
        <v>786</v>
      </c>
      <c r="R117" s="91" t="s">
        <v>333</v>
      </c>
      <c r="S117" s="89">
        <v>51570</v>
      </c>
      <c r="T117" s="212">
        <v>46092</v>
      </c>
      <c r="U117" s="213">
        <v>66</v>
      </c>
      <c r="V117" s="214">
        <v>36</v>
      </c>
      <c r="W117" s="215">
        <v>46128</v>
      </c>
    </row>
    <row r="118" spans="1:23" ht="15" hidden="1" customHeight="1">
      <c r="A118" s="82" t="s">
        <v>220</v>
      </c>
      <c r="B118" s="88">
        <v>45650</v>
      </c>
      <c r="C118" s="87">
        <v>45652</v>
      </c>
      <c r="D118" s="110" t="s">
        <v>1225</v>
      </c>
      <c r="E118" s="110">
        <v>82.571428571428569</v>
      </c>
      <c r="F118" s="85" t="s">
        <v>1114</v>
      </c>
      <c r="G118" s="84" t="s">
        <v>221</v>
      </c>
      <c r="H118" s="484" t="s">
        <v>1046</v>
      </c>
      <c r="I118" s="83">
        <v>54000</v>
      </c>
      <c r="J118" s="82" t="s">
        <v>60</v>
      </c>
      <c r="K118" s="167">
        <v>47</v>
      </c>
      <c r="L118" s="803" t="s">
        <v>283</v>
      </c>
      <c r="M118" s="803" t="s">
        <v>21</v>
      </c>
      <c r="N118" s="92">
        <v>45799</v>
      </c>
      <c r="O118" s="91" t="s">
        <v>1226</v>
      </c>
      <c r="P118" s="91" t="s">
        <v>1116</v>
      </c>
      <c r="Q118" s="90" t="s">
        <v>1117</v>
      </c>
      <c r="R118" s="91" t="s">
        <v>333</v>
      </c>
      <c r="S118" s="89">
        <v>26000</v>
      </c>
      <c r="T118" s="212">
        <v>46162</v>
      </c>
      <c r="U118" s="213">
        <v>73</v>
      </c>
      <c r="V118" s="214">
        <v>1</v>
      </c>
      <c r="W118" s="215">
        <v>46163</v>
      </c>
    </row>
    <row r="119" spans="1:23" ht="15" hidden="1" customHeight="1">
      <c r="A119" s="82" t="s">
        <v>220</v>
      </c>
      <c r="B119" s="88">
        <v>45650</v>
      </c>
      <c r="C119" s="87">
        <v>45652</v>
      </c>
      <c r="D119" s="110" t="s">
        <v>1225</v>
      </c>
      <c r="E119" s="110">
        <v>82.571428571428569</v>
      </c>
      <c r="F119" s="85" t="s">
        <v>1114</v>
      </c>
      <c r="G119" s="84" t="s">
        <v>221</v>
      </c>
      <c r="H119" s="484" t="s">
        <v>1046</v>
      </c>
      <c r="I119" s="83">
        <v>0</v>
      </c>
      <c r="J119" s="82" t="s">
        <v>60</v>
      </c>
      <c r="K119" s="167">
        <v>47</v>
      </c>
      <c r="L119" s="803" t="s">
        <v>283</v>
      </c>
      <c r="M119" s="803" t="s">
        <v>21</v>
      </c>
      <c r="N119" s="92">
        <v>45799</v>
      </c>
      <c r="O119" s="91" t="s">
        <v>1227</v>
      </c>
      <c r="P119" s="91" t="s">
        <v>1119</v>
      </c>
      <c r="Q119" s="90" t="s">
        <v>787</v>
      </c>
      <c r="R119" s="91" t="s">
        <v>333</v>
      </c>
      <c r="S119" s="89">
        <v>25570</v>
      </c>
      <c r="T119" s="212">
        <v>46120</v>
      </c>
      <c r="U119" s="213">
        <v>67</v>
      </c>
      <c r="V119" s="214">
        <v>43</v>
      </c>
      <c r="W119" s="215">
        <v>46163</v>
      </c>
    </row>
    <row r="120" spans="1:23" ht="15" hidden="1" customHeight="1">
      <c r="A120" s="82" t="s">
        <v>220</v>
      </c>
      <c r="B120" s="88">
        <v>45685</v>
      </c>
      <c r="C120" s="87">
        <v>45687</v>
      </c>
      <c r="D120" s="110" t="s">
        <v>1228</v>
      </c>
      <c r="E120" s="110">
        <v>77.571428571428569</v>
      </c>
      <c r="F120" s="85" t="s">
        <v>1121</v>
      </c>
      <c r="G120" s="84" t="s">
        <v>782</v>
      </c>
      <c r="H120" s="484" t="s">
        <v>1088</v>
      </c>
      <c r="I120" s="83">
        <v>54000</v>
      </c>
      <c r="J120" s="82" t="s">
        <v>45</v>
      </c>
      <c r="K120" s="180">
        <v>47</v>
      </c>
      <c r="L120" s="807" t="s">
        <v>285</v>
      </c>
      <c r="M120" s="803" t="s">
        <v>26</v>
      </c>
      <c r="N120" s="445">
        <v>45834</v>
      </c>
      <c r="O120" s="167" t="s">
        <v>1229</v>
      </c>
      <c r="P120" s="167" t="s">
        <v>1123</v>
      </c>
      <c r="Q120" s="537" t="s">
        <v>788</v>
      </c>
      <c r="R120" s="167" t="s">
        <v>333</v>
      </c>
      <c r="S120" s="83">
        <v>51452</v>
      </c>
      <c r="T120" s="1261">
        <v>46155</v>
      </c>
      <c r="U120" s="1262">
        <v>67</v>
      </c>
      <c r="V120" s="1263">
        <v>50</v>
      </c>
      <c r="W120" s="1264">
        <v>46205</v>
      </c>
    </row>
    <row r="121" spans="1:23" ht="15" hidden="1" customHeight="1">
      <c r="A121" s="82" t="s">
        <v>220</v>
      </c>
      <c r="B121" s="88">
        <v>45762</v>
      </c>
      <c r="C121" s="87">
        <v>45764</v>
      </c>
      <c r="D121" s="110" t="s">
        <v>1230</v>
      </c>
      <c r="E121" s="110">
        <v>66.571428571428569</v>
      </c>
      <c r="F121" s="85" t="s">
        <v>1106</v>
      </c>
      <c r="G121" s="84" t="s">
        <v>784</v>
      </c>
      <c r="H121" s="484" t="s">
        <v>1048</v>
      </c>
      <c r="I121" s="83">
        <v>54000</v>
      </c>
      <c r="J121" s="82" t="s">
        <v>20</v>
      </c>
      <c r="K121" s="85">
        <v>20</v>
      </c>
      <c r="L121" s="803" t="s">
        <v>283</v>
      </c>
      <c r="M121" s="803" t="s">
        <v>169</v>
      </c>
      <c r="N121" s="445">
        <v>45911</v>
      </c>
      <c r="O121" s="167" t="s">
        <v>1231</v>
      </c>
      <c r="P121" s="167" t="s">
        <v>1126</v>
      </c>
      <c r="Q121" s="537" t="s">
        <v>789</v>
      </c>
      <c r="R121" s="167" t="s">
        <v>333</v>
      </c>
      <c r="S121" s="83">
        <v>51443</v>
      </c>
      <c r="T121" s="1261">
        <v>46232</v>
      </c>
      <c r="U121" s="1262">
        <v>67</v>
      </c>
      <c r="V121" s="1263">
        <v>43</v>
      </c>
      <c r="W121" s="1264">
        <v>46275</v>
      </c>
    </row>
  </sheetData>
  <autoFilter ref="A1:W121" xr:uid="{00000000-0001-0000-0400-000000000000}">
    <filterColumn colId="0">
      <filters>
        <filter val="PR"/>
        <filter val="SC"/>
      </filters>
    </filterColumn>
    <filterColumn colId="14">
      <filters>
        <filter val="143-25"/>
      </filters>
    </filterColumn>
  </autoFilter>
  <phoneticPr fontId="37" type="noConversion"/>
  <conditionalFormatting sqref="L30:L47">
    <cfRule type="cellIs" dxfId="200" priority="124" operator="equal">
      <formula>"HUBB"</formula>
    </cfRule>
    <cfRule type="cellIs" dxfId="199" priority="125" operator="equal">
      <formula>"ROSS"</formula>
    </cfRule>
    <cfRule type="cellIs" dxfId="198" priority="126" operator="equal">
      <formula>"COBB"</formula>
    </cfRule>
  </conditionalFormatting>
  <conditionalFormatting sqref="L62:L76">
    <cfRule type="cellIs" dxfId="197" priority="88" operator="equal">
      <formula>"HUBB"</formula>
    </cfRule>
    <cfRule type="cellIs" dxfId="196" priority="92" operator="equal">
      <formula>"ROSS"</formula>
    </cfRule>
    <cfRule type="cellIs" dxfId="195" priority="94" operator="equal">
      <formula>"COBB"</formula>
    </cfRule>
  </conditionalFormatting>
  <conditionalFormatting sqref="L78:L121">
    <cfRule type="cellIs" dxfId="194" priority="1" operator="equal">
      <formula>"HUBB"</formula>
    </cfRule>
    <cfRule type="cellIs" dxfId="193" priority="2" operator="equal">
      <formula>"ROSS"</formula>
    </cfRule>
    <cfRule type="cellIs" dxfId="192" priority="3" operator="equal">
      <formula>"COBB"</formula>
    </cfRule>
  </conditionalFormatting>
  <conditionalFormatting sqref="M30:M47">
    <cfRule type="cellIs" dxfId="191" priority="139" operator="equal">
      <formula>"500 SLOW - MV"</formula>
    </cfRule>
    <cfRule type="cellIs" dxfId="190" priority="140" operator="equal">
      <formula>"500 FAST - MALE"</formula>
    </cfRule>
    <cfRule type="cellIs" dxfId="189" priority="141" operator="equal">
      <formula>"500 SLOW - MX"</formula>
    </cfRule>
    <cfRule type="cellIs" dxfId="188" priority="142" operator="equal">
      <formula>"EFFICIENCY PLUS_M77"</formula>
    </cfRule>
    <cfRule type="cellIs" dxfId="187" priority="143" operator="equal">
      <formula>"AP95 - 344  JBS"</formula>
    </cfRule>
    <cfRule type="cellIs" dxfId="186" priority="144" operator="equal">
      <formula>"500 SLOW - MALE JBS"</formula>
    </cfRule>
    <cfRule type="cellIs" dxfId="185" priority="145" operator="equal">
      <formula>"AP95 - 344"</formula>
    </cfRule>
    <cfRule type="cellIs" dxfId="184" priority="146" operator="equal">
      <formula>"800 SLOW CDP4 - MALE"</formula>
    </cfRule>
    <cfRule type="cellIs" dxfId="183" priority="147" operator="equal">
      <formula>"800 SLOW CDP4 - MX"</formula>
    </cfRule>
    <cfRule type="cellIs" dxfId="182" priority="148" operator="equal">
      <formula>"500 SLOW - MALE"</formula>
    </cfRule>
  </conditionalFormatting>
  <conditionalFormatting sqref="M62:M76">
    <cfRule type="cellIs" dxfId="181" priority="85" operator="equal">
      <formula>"500 SLOW - MV"</formula>
    </cfRule>
    <cfRule type="cellIs" dxfId="180" priority="86" operator="equal">
      <formula>"500 FAST - MALE"</formula>
    </cfRule>
    <cfRule type="cellIs" dxfId="179" priority="87" operator="equal">
      <formula>"500 SLOW - MX"</formula>
    </cfRule>
    <cfRule type="cellIs" dxfId="178" priority="89" operator="equal">
      <formula>"EFFICIENCY PLUS_M77"</formula>
    </cfRule>
    <cfRule type="cellIs" dxfId="177" priority="90" operator="equal">
      <formula>"AP95 - 344  JBS"</formula>
    </cfRule>
    <cfRule type="cellIs" dxfId="176" priority="91" operator="equal">
      <formula>"500 SLOW - MALE JBS"</formula>
    </cfRule>
    <cfRule type="cellIs" dxfId="175" priority="93" operator="equal">
      <formula>"AP95 - 344"</formula>
    </cfRule>
    <cfRule type="cellIs" dxfId="174" priority="95" operator="equal">
      <formula>"800 SLOW CDP4 - MALE"</formula>
    </cfRule>
    <cfRule type="cellIs" dxfId="173" priority="96" operator="equal">
      <formula>"800 SLOW CDP4 - MX"</formula>
    </cfRule>
    <cfRule type="cellIs" dxfId="172" priority="97" operator="equal">
      <formula>"500 SLOW - MALE"</formula>
    </cfRule>
  </conditionalFormatting>
  <conditionalFormatting sqref="M78:M97">
    <cfRule type="cellIs" dxfId="171" priority="43" operator="equal">
      <formula>"800 SLOW - MX"</formula>
    </cfRule>
  </conditionalFormatting>
  <conditionalFormatting sqref="M78:M121">
    <cfRule type="cellIs" dxfId="170" priority="4" operator="equal">
      <formula>"500 SLOW - MV"</formula>
    </cfRule>
    <cfRule type="cellIs" dxfId="169" priority="5" operator="equal">
      <formula>"500 FAST - MALE"</formula>
    </cfRule>
    <cfRule type="cellIs" dxfId="168" priority="6" operator="equal">
      <formula>"500 SLOW - MX"</formula>
    </cfRule>
    <cfRule type="cellIs" dxfId="167" priority="7" operator="equal">
      <formula>"EFFICIENCY PLUS_M77"</formula>
    </cfRule>
    <cfRule type="cellIs" dxfId="166" priority="8" operator="equal">
      <formula>"AP95 - 344  JBS"</formula>
    </cfRule>
    <cfRule type="cellIs" dxfId="165" priority="9" operator="equal">
      <formula>"500 SLOW - MALE JBS"</formula>
    </cfRule>
    <cfRule type="cellIs" dxfId="164" priority="10" operator="equal">
      <formula>"AP95 - 344"</formula>
    </cfRule>
    <cfRule type="cellIs" dxfId="163" priority="11" operator="equal">
      <formula>"800 SLOW CDP4 - MALE"</formula>
    </cfRule>
    <cfRule type="cellIs" dxfId="162" priority="12" operator="equal">
      <formula>"800 SLOW CDP4 - MX"</formula>
    </cfRule>
    <cfRule type="cellIs" dxfId="161" priority="13" operator="equal">
      <formula>"500 SLOW - MALE"</formula>
    </cfRule>
  </conditionalFormatting>
  <conditionalFormatting sqref="M103:M115">
    <cfRule type="cellIs" dxfId="160" priority="14" operator="equal">
      <formula>"CDP4 SF - MALE"</formula>
    </cfRule>
    <cfRule type="cellIs" dxfId="159" priority="15" operator="equal">
      <formula>"CDP4 SF - MX"</formula>
    </cfRule>
    <cfRule type="cellIs" dxfId="158" priority="16" operator="equal">
      <formula>"800 SLOW - MX"</formula>
    </cfRule>
  </conditionalFormatting>
  <pageMargins left="0.51181102362204722" right="0.51181102362204722" top="0.78740157480314965" bottom="0.78740157480314965" header="0" footer="0"/>
  <pageSetup paperSize="9" scale="2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5A14-A3A9-4E26-91C8-20FC390B6DF4}">
  <sheetPr codeName="Planilha3"/>
  <dimension ref="A1:AB38"/>
  <sheetViews>
    <sheetView showGridLines="0" workbookViewId="0">
      <selection activeCell="F11" sqref="F11"/>
    </sheetView>
  </sheetViews>
  <sheetFormatPr defaultRowHeight="15"/>
  <cols>
    <col min="1" max="1" width="22.3984375" customWidth="1"/>
    <col min="2" max="2" width="14.8984375" customWidth="1"/>
    <col min="3" max="4" width="13.09765625" customWidth="1"/>
    <col min="5" max="5" width="9.8984375" customWidth="1"/>
    <col min="6" max="6" width="19" bestFit="1" customWidth="1"/>
    <col min="7" max="7" width="14.69921875" customWidth="1"/>
    <col min="8" max="8" width="14.69921875" bestFit="1" customWidth="1"/>
    <col min="9" max="9" width="3.8984375" bestFit="1" customWidth="1"/>
    <col min="10" max="10" width="5.8984375" bestFit="1" customWidth="1"/>
    <col min="11" max="11" width="2.09765625" bestFit="1" customWidth="1"/>
    <col min="12" max="12" width="19.59765625" bestFit="1" customWidth="1"/>
    <col min="14" max="14" width="13.09765625" customWidth="1"/>
    <col min="15" max="15" width="11.09765625" bestFit="1" customWidth="1"/>
    <col min="16" max="16" width="10.09765625" bestFit="1" customWidth="1"/>
    <col min="17" max="17" width="8.8984375" bestFit="1" customWidth="1"/>
    <col min="18" max="18" width="10.09765625" bestFit="1" customWidth="1"/>
    <col min="19" max="19" width="11.09765625" bestFit="1" customWidth="1"/>
    <col min="20" max="20" width="13.09765625" bestFit="1" customWidth="1"/>
    <col min="21" max="21" width="11.09765625" bestFit="1" customWidth="1"/>
    <col min="22" max="22" width="8.8984375" bestFit="1" customWidth="1"/>
    <col min="23" max="23" width="9.09765625" bestFit="1" customWidth="1"/>
    <col min="24" max="24" width="8.8984375" bestFit="1" customWidth="1"/>
    <col min="25" max="25" width="12.09765625" bestFit="1" customWidth="1"/>
    <col min="26" max="27" width="11.09765625" customWidth="1"/>
    <col min="28" max="28" width="15.69921875" bestFit="1" customWidth="1"/>
    <col min="29" max="30" width="10.09765625" bestFit="1" customWidth="1"/>
  </cols>
  <sheetData>
    <row r="1" spans="1:28">
      <c r="L1" s="161" t="s">
        <v>346</v>
      </c>
      <c r="M1" s="161" t="s">
        <v>1232</v>
      </c>
    </row>
    <row r="2" spans="1:28" ht="17.399999999999999">
      <c r="A2" s="1411" t="s">
        <v>1233</v>
      </c>
      <c r="B2" s="1411"/>
      <c r="C2" s="1411"/>
      <c r="D2" s="1411"/>
      <c r="E2" s="233"/>
      <c r="F2" s="1412" t="s">
        <v>1234</v>
      </c>
      <c r="G2" s="1412"/>
      <c r="H2" s="1412"/>
      <c r="L2" t="s">
        <v>21</v>
      </c>
      <c r="M2" t="s">
        <v>283</v>
      </c>
    </row>
    <row r="3" spans="1:28" ht="15.6" thickBot="1">
      <c r="L3" t="s">
        <v>37</v>
      </c>
      <c r="M3" t="s">
        <v>283</v>
      </c>
    </row>
    <row r="4" spans="1:28" ht="16.2" thickBot="1">
      <c r="A4" s="230" t="s">
        <v>1235</v>
      </c>
      <c r="B4" s="231" t="s">
        <v>6</v>
      </c>
      <c r="C4" s="232" t="s">
        <v>775</v>
      </c>
      <c r="D4" s="232" t="s">
        <v>775</v>
      </c>
      <c r="F4" s="230" t="s">
        <v>1236</v>
      </c>
      <c r="G4" s="234" t="s">
        <v>6</v>
      </c>
      <c r="H4" s="232" t="s">
        <v>775</v>
      </c>
      <c r="L4" t="s">
        <v>26</v>
      </c>
      <c r="M4" t="s">
        <v>285</v>
      </c>
    </row>
    <row r="5" spans="1:28">
      <c r="A5" s="297" t="s">
        <v>1237</v>
      </c>
      <c r="B5" s="298"/>
      <c r="C5" s="298"/>
      <c r="D5" s="298"/>
      <c r="F5" s="297" t="s">
        <v>1237</v>
      </c>
      <c r="G5" s="238" t="s">
        <v>1238</v>
      </c>
      <c r="H5" s="236" t="s">
        <v>1239</v>
      </c>
      <c r="L5" t="s">
        <v>1094</v>
      </c>
      <c r="M5" t="s">
        <v>283</v>
      </c>
      <c r="V5" s="19">
        <f>V20+V22+V23</f>
        <v>0</v>
      </c>
      <c r="W5" s="161" t="s">
        <v>1240</v>
      </c>
      <c r="Z5" s="19">
        <f>V15+V20+V21</f>
        <v>0</v>
      </c>
      <c r="AA5" s="161" t="s">
        <v>1240</v>
      </c>
      <c r="AB5" s="19">
        <f>Z5-V5</f>
        <v>0</v>
      </c>
    </row>
    <row r="6" spans="1:28">
      <c r="A6" s="235" t="s">
        <v>745</v>
      </c>
      <c r="B6" s="236"/>
      <c r="C6" s="236"/>
      <c r="D6" s="236"/>
      <c r="E6" s="237"/>
      <c r="F6" s="235" t="s">
        <v>745</v>
      </c>
      <c r="G6" s="238" t="s">
        <v>1241</v>
      </c>
      <c r="H6" s="236" t="s">
        <v>1242</v>
      </c>
      <c r="L6" t="s">
        <v>31</v>
      </c>
      <c r="M6" t="s">
        <v>285</v>
      </c>
      <c r="V6" s="19">
        <f>V15+V21+V24+V25</f>
        <v>0</v>
      </c>
      <c r="W6" s="161" t="s">
        <v>1243</v>
      </c>
      <c r="Z6" s="19">
        <f>V22+V24+V25+V23</f>
        <v>0</v>
      </c>
      <c r="AA6" s="161" t="s">
        <v>1243</v>
      </c>
    </row>
    <row r="7" spans="1:28">
      <c r="A7" s="235" t="s">
        <v>1244</v>
      </c>
      <c r="B7" s="236" t="s">
        <v>1245</v>
      </c>
      <c r="C7" s="236" t="s">
        <v>1246</v>
      </c>
      <c r="D7" s="236" t="s">
        <v>1247</v>
      </c>
      <c r="E7" s="237"/>
      <c r="F7" s="235" t="s">
        <v>1248</v>
      </c>
      <c r="G7" s="238" t="s">
        <v>1249</v>
      </c>
      <c r="H7" s="236" t="s">
        <v>1250</v>
      </c>
      <c r="L7" t="s">
        <v>112</v>
      </c>
      <c r="M7" t="s">
        <v>283</v>
      </c>
      <c r="V7" s="19">
        <f>SUM(V5:V6)</f>
        <v>0</v>
      </c>
      <c r="Z7" s="19">
        <f>SUM(Z5:Z6)</f>
        <v>0</v>
      </c>
      <c r="AA7" s="19"/>
    </row>
    <row r="8" spans="1:28">
      <c r="A8" s="235" t="s">
        <v>1251</v>
      </c>
      <c r="B8" s="236" t="s">
        <v>1252</v>
      </c>
      <c r="C8" s="236" t="s">
        <v>1253</v>
      </c>
      <c r="D8" s="236" t="s">
        <v>1254</v>
      </c>
      <c r="E8" s="237"/>
      <c r="F8" s="235" t="s">
        <v>1255</v>
      </c>
      <c r="G8" s="238" t="s">
        <v>1256</v>
      </c>
      <c r="H8" s="236" t="s">
        <v>1257</v>
      </c>
      <c r="L8" t="s">
        <v>743</v>
      </c>
      <c r="M8" t="s">
        <v>283</v>
      </c>
    </row>
    <row r="9" spans="1:28">
      <c r="A9" s="235" t="s">
        <v>330</v>
      </c>
      <c r="B9" s="236" t="s">
        <v>1258</v>
      </c>
      <c r="C9" s="236" t="s">
        <v>1259</v>
      </c>
      <c r="D9" s="236" t="s">
        <v>1260</v>
      </c>
      <c r="E9" s="237"/>
      <c r="F9" s="235" t="s">
        <v>1261</v>
      </c>
      <c r="G9" s="238" t="s">
        <v>1262</v>
      </c>
      <c r="H9" s="236" t="s">
        <v>1263</v>
      </c>
      <c r="L9" t="s">
        <v>169</v>
      </c>
      <c r="M9" t="s">
        <v>283</v>
      </c>
    </row>
    <row r="10" spans="1:28">
      <c r="A10" s="239" t="s">
        <v>806</v>
      </c>
      <c r="B10" s="236" t="s">
        <v>1264</v>
      </c>
      <c r="C10" s="236" t="s">
        <v>1264</v>
      </c>
      <c r="D10" s="236" t="s">
        <v>1264</v>
      </c>
      <c r="E10" s="237"/>
      <c r="F10" s="239" t="s">
        <v>806</v>
      </c>
      <c r="G10" s="238" t="s">
        <v>1265</v>
      </c>
      <c r="H10" s="236" t="s">
        <v>1266</v>
      </c>
      <c r="L10" t="s">
        <v>211</v>
      </c>
      <c r="M10" t="s">
        <v>283</v>
      </c>
    </row>
    <row r="11" spans="1:28">
      <c r="A11" s="239" t="s">
        <v>220</v>
      </c>
      <c r="B11" s="236" t="s">
        <v>1267</v>
      </c>
      <c r="C11" s="236" t="s">
        <v>1268</v>
      </c>
      <c r="D11" s="236" t="s">
        <v>1269</v>
      </c>
      <c r="E11" s="237"/>
      <c r="F11" s="239" t="s">
        <v>220</v>
      </c>
      <c r="G11" s="238" t="s">
        <v>1270</v>
      </c>
      <c r="H11" s="236" t="s">
        <v>1271</v>
      </c>
      <c r="L11" t="s">
        <v>229</v>
      </c>
      <c r="M11" t="s">
        <v>285</v>
      </c>
    </row>
    <row r="12" spans="1:28">
      <c r="A12" s="297" t="s">
        <v>1272</v>
      </c>
      <c r="B12" s="298"/>
      <c r="C12" s="298"/>
      <c r="D12" s="298"/>
      <c r="E12" s="299"/>
      <c r="F12" s="297" t="s">
        <v>1273</v>
      </c>
      <c r="G12" s="300" t="s">
        <v>1274</v>
      </c>
      <c r="H12" s="298" t="s">
        <v>1275</v>
      </c>
      <c r="L12" t="s">
        <v>1276</v>
      </c>
      <c r="M12" t="s">
        <v>283</v>
      </c>
    </row>
    <row r="13" spans="1:28">
      <c r="A13" s="297" t="s">
        <v>1277</v>
      </c>
      <c r="B13" s="298"/>
      <c r="C13" s="298"/>
      <c r="D13" s="298"/>
      <c r="E13" s="299"/>
      <c r="F13" s="297" t="s">
        <v>1278</v>
      </c>
      <c r="G13" s="300" t="s">
        <v>1279</v>
      </c>
      <c r="H13" s="298" t="s">
        <v>1280</v>
      </c>
      <c r="L13" t="s">
        <v>242</v>
      </c>
      <c r="M13" t="s">
        <v>284</v>
      </c>
    </row>
    <row r="14" spans="1:28">
      <c r="A14" s="297" t="s">
        <v>1281</v>
      </c>
      <c r="B14" s="298"/>
      <c r="C14" s="298"/>
      <c r="D14" s="298"/>
      <c r="E14" s="299"/>
      <c r="F14" s="297" t="s">
        <v>708</v>
      </c>
      <c r="G14" s="300" t="s">
        <v>1282</v>
      </c>
      <c r="H14" s="298" t="s">
        <v>1283</v>
      </c>
      <c r="L14" t="s">
        <v>1284</v>
      </c>
      <c r="M14" t="s">
        <v>283</v>
      </c>
    </row>
    <row r="15" spans="1:28">
      <c r="L15" t="s">
        <v>232</v>
      </c>
      <c r="M15" t="s">
        <v>283</v>
      </c>
    </row>
    <row r="16" spans="1:28">
      <c r="L16" t="s">
        <v>149</v>
      </c>
      <c r="M16" t="s">
        <v>283</v>
      </c>
    </row>
    <row r="17" spans="8:13">
      <c r="L17" t="s">
        <v>235</v>
      </c>
      <c r="M17" t="s">
        <v>283</v>
      </c>
    </row>
    <row r="18" spans="8:13">
      <c r="L18" t="s">
        <v>319</v>
      </c>
      <c r="M18" t="s">
        <v>283</v>
      </c>
    </row>
    <row r="20" spans="8:13">
      <c r="H20" s="132"/>
    </row>
    <row r="30" spans="8:13" ht="16.2">
      <c r="L30" s="1343"/>
    </row>
    <row r="38" spans="4:5">
      <c r="D38" s="19"/>
      <c r="E38" s="19"/>
    </row>
  </sheetData>
  <sortState xmlns:xlrd2="http://schemas.microsoft.com/office/spreadsheetml/2017/richdata2" ref="T40:V43">
    <sortCondition ref="T40:T43"/>
  </sortState>
  <mergeCells count="3">
    <mergeCell ref="A2:B2"/>
    <mergeCell ref="C2:D2"/>
    <mergeCell ref="F2:H2"/>
  </mergeCells>
  <phoneticPr fontId="31" type="noConversion"/>
  <pageMargins left="0.51181102362204722" right="0.51181102362204722" top="0.78740157480314965" bottom="0.78740157480314965" header="0.31496062992125984" footer="0.31496062992125984"/>
  <pageSetup paperSize="9" orientation="landscape" horizontalDpi="4294967293" verticalDpi="0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54A4-0931-4712-93A3-1E85CCBD4BF0}">
  <sheetPr codeName="Planilha15"/>
  <dimension ref="A1:U231"/>
  <sheetViews>
    <sheetView showGridLines="0" topLeftCell="D32" workbookViewId="0">
      <selection activeCell="P54" sqref="P54"/>
    </sheetView>
  </sheetViews>
  <sheetFormatPr defaultRowHeight="15"/>
  <cols>
    <col min="2" max="2" width="11.09765625" bestFit="1" customWidth="1"/>
    <col min="3" max="3" width="10.3984375" bestFit="1" customWidth="1"/>
    <col min="4" max="4" width="22.296875" bestFit="1" customWidth="1"/>
    <col min="5" max="5" width="10.296875" bestFit="1" customWidth="1"/>
    <col min="6" max="6" width="8.8984375" bestFit="1" customWidth="1"/>
    <col min="7" max="7" width="10.09765625" bestFit="1" customWidth="1"/>
    <col min="8" max="8" width="11.5" bestFit="1" customWidth="1"/>
    <col min="9" max="9" width="11.3984375" bestFit="1" customWidth="1"/>
    <col min="10" max="10" width="10.59765625" bestFit="1" customWidth="1"/>
    <col min="11" max="11" width="4.8984375" customWidth="1"/>
    <col min="12" max="12" width="11.09765625" bestFit="1" customWidth="1"/>
    <col min="13" max="13" width="9.296875" bestFit="1" customWidth="1"/>
    <col min="14" max="14" width="10.296875" customWidth="1"/>
    <col min="15" max="15" width="11.69921875" bestFit="1" customWidth="1"/>
    <col min="16" max="16" width="11.5" bestFit="1" customWidth="1"/>
    <col min="17" max="17" width="11.69921875" bestFit="1" customWidth="1"/>
    <col min="18" max="18" width="11.3984375" bestFit="1" customWidth="1"/>
    <col min="19" max="19" width="5.59765625" bestFit="1" customWidth="1"/>
  </cols>
  <sheetData>
    <row r="1" spans="1:19" ht="15.6" thickBot="1"/>
    <row r="2" spans="1:19">
      <c r="A2" s="485"/>
      <c r="B2" s="486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8"/>
    </row>
    <row r="3" spans="1:19">
      <c r="A3" s="485"/>
      <c r="B3" s="204"/>
      <c r="C3" s="485"/>
      <c r="D3" s="485"/>
      <c r="E3" s="75" t="s">
        <v>1285</v>
      </c>
      <c r="F3" t="s">
        <v>1286</v>
      </c>
      <c r="G3" t="s">
        <v>1287</v>
      </c>
      <c r="H3" t="s">
        <v>1288</v>
      </c>
      <c r="K3" s="485"/>
      <c r="L3" s="485"/>
      <c r="M3" s="485"/>
      <c r="N3" s="75" t="s">
        <v>1285</v>
      </c>
      <c r="O3" t="s">
        <v>1289</v>
      </c>
      <c r="P3" t="s">
        <v>1288</v>
      </c>
      <c r="S3" s="208"/>
    </row>
    <row r="4" spans="1:19">
      <c r="A4" s="485"/>
      <c r="B4" s="204"/>
      <c r="C4" s="485"/>
      <c r="D4" s="485"/>
      <c r="E4" s="111" t="s">
        <v>329</v>
      </c>
      <c r="F4" s="19">
        <v>4343000</v>
      </c>
      <c r="G4" s="19">
        <v>4147565</v>
      </c>
      <c r="H4">
        <v>38</v>
      </c>
      <c r="K4" s="485"/>
      <c r="L4" s="485"/>
      <c r="M4" s="485"/>
      <c r="N4" s="111" t="s">
        <v>1426</v>
      </c>
      <c r="O4" s="19">
        <v>267400</v>
      </c>
      <c r="P4">
        <v>8</v>
      </c>
      <c r="S4" s="208"/>
    </row>
    <row r="5" spans="1:19">
      <c r="A5" s="485"/>
      <c r="B5" s="204"/>
      <c r="C5" s="485"/>
      <c r="D5" s="485"/>
      <c r="E5" s="111" t="s">
        <v>282</v>
      </c>
      <c r="F5" s="19">
        <v>4343000</v>
      </c>
      <c r="G5" s="19">
        <v>4147565</v>
      </c>
      <c r="H5">
        <v>38</v>
      </c>
      <c r="K5" s="485"/>
      <c r="L5" s="485"/>
      <c r="M5" s="485"/>
      <c r="N5" s="111" t="s">
        <v>282</v>
      </c>
      <c r="O5" s="19">
        <v>267400</v>
      </c>
      <c r="P5">
        <v>8</v>
      </c>
      <c r="S5" s="208"/>
    </row>
    <row r="6" spans="1:19">
      <c r="A6" s="485"/>
      <c r="B6" s="204"/>
      <c r="C6" s="485"/>
      <c r="D6" s="485"/>
      <c r="K6" s="485"/>
      <c r="L6" s="485"/>
      <c r="M6" s="485"/>
      <c r="S6" s="208"/>
    </row>
    <row r="7" spans="1:19">
      <c r="A7" s="485"/>
      <c r="B7" s="204"/>
      <c r="C7" s="485"/>
      <c r="D7" s="485"/>
      <c r="K7" s="485"/>
      <c r="L7" s="485"/>
      <c r="M7" s="485"/>
      <c r="S7" s="208"/>
    </row>
    <row r="8" spans="1:19">
      <c r="A8" s="485"/>
      <c r="B8" s="204"/>
      <c r="C8" s="485"/>
      <c r="D8" s="485"/>
      <c r="K8" s="485"/>
      <c r="L8" s="485"/>
      <c r="M8" s="485"/>
      <c r="S8" s="208"/>
    </row>
    <row r="9" spans="1:19">
      <c r="A9" s="485"/>
      <c r="B9" s="204"/>
      <c r="C9" s="485"/>
      <c r="D9" s="485"/>
      <c r="K9" s="485"/>
      <c r="L9" s="485"/>
      <c r="M9" s="485"/>
      <c r="S9" s="208"/>
    </row>
    <row r="10" spans="1:19">
      <c r="A10" s="485"/>
      <c r="B10" s="204"/>
      <c r="C10" s="485"/>
      <c r="D10" s="485"/>
      <c r="K10" s="485"/>
      <c r="L10" s="485"/>
      <c r="M10" s="485"/>
      <c r="S10" s="208"/>
    </row>
    <row r="11" spans="1:19">
      <c r="A11" s="485"/>
      <c r="B11" s="204"/>
      <c r="C11" s="485"/>
      <c r="D11" s="485"/>
      <c r="K11" s="485"/>
      <c r="L11" s="485"/>
      <c r="M11" s="485"/>
      <c r="S11" s="208"/>
    </row>
    <row r="12" spans="1:19">
      <c r="A12" s="485"/>
      <c r="B12" s="204"/>
      <c r="C12" s="485"/>
      <c r="D12" s="485"/>
      <c r="K12" s="485"/>
      <c r="L12" s="485"/>
      <c r="M12" s="485"/>
      <c r="S12" s="208"/>
    </row>
    <row r="13" spans="1:19">
      <c r="A13" s="485"/>
      <c r="B13" s="204"/>
      <c r="C13" s="485"/>
      <c r="D13" s="485"/>
      <c r="E13" s="485"/>
      <c r="F13" s="485"/>
      <c r="G13" s="485"/>
      <c r="H13" s="485"/>
      <c r="I13" s="485"/>
      <c r="J13" s="485"/>
      <c r="K13" s="485"/>
      <c r="L13" s="485"/>
      <c r="M13" s="485"/>
      <c r="Q13" s="485"/>
      <c r="R13" s="485"/>
      <c r="S13" s="208"/>
    </row>
    <row r="14" spans="1:19">
      <c r="A14" s="485"/>
      <c r="B14" s="204"/>
      <c r="C14" s="485"/>
      <c r="D14" s="485"/>
      <c r="E14" s="485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5"/>
      <c r="R14" s="485"/>
      <c r="S14" s="208"/>
    </row>
    <row r="15" spans="1:19">
      <c r="A15" s="485"/>
      <c r="B15" s="204"/>
      <c r="C15" s="485"/>
      <c r="D15" s="485"/>
      <c r="E15" s="485"/>
      <c r="F15" s="485"/>
      <c r="G15" s="485"/>
      <c r="H15" s="485"/>
      <c r="I15" s="485"/>
      <c r="J15" s="485"/>
      <c r="K15" s="485"/>
      <c r="L15" s="485"/>
      <c r="M15" s="485"/>
      <c r="N15" s="485"/>
      <c r="O15" s="485"/>
      <c r="P15" s="485"/>
      <c r="Q15" s="485"/>
      <c r="R15" s="485"/>
      <c r="S15" s="208"/>
    </row>
    <row r="16" spans="1:19" ht="15.6" thickBot="1">
      <c r="A16" s="485"/>
      <c r="B16" s="489"/>
      <c r="C16" s="490"/>
      <c r="D16" s="490"/>
      <c r="E16" s="490"/>
      <c r="F16" s="490"/>
      <c r="G16" s="490"/>
      <c r="H16" s="490"/>
      <c r="I16" s="490"/>
      <c r="J16" s="490"/>
      <c r="K16" s="490"/>
      <c r="L16" s="490"/>
      <c r="M16" s="490"/>
      <c r="N16" s="490"/>
      <c r="O16" s="490"/>
      <c r="P16" s="490"/>
      <c r="Q16" s="490"/>
      <c r="R16" s="490"/>
      <c r="S16" s="491"/>
    </row>
    <row r="19" spans="2:21">
      <c r="B19" s="246" t="s">
        <v>1291</v>
      </c>
      <c r="C19" s="246" t="s">
        <v>1292</v>
      </c>
      <c r="D19" s="246" t="s">
        <v>539</v>
      </c>
      <c r="E19" s="246" t="s">
        <v>7</v>
      </c>
      <c r="F19" s="246" t="s">
        <v>1293</v>
      </c>
      <c r="G19" s="246" t="s">
        <v>1294</v>
      </c>
      <c r="H19" s="246" t="s">
        <v>538</v>
      </c>
      <c r="I19" s="246" t="s">
        <v>1295</v>
      </c>
      <c r="J19" s="246"/>
      <c r="K19" s="246"/>
      <c r="L19" s="246" t="s">
        <v>1291</v>
      </c>
      <c r="M19" s="246" t="s">
        <v>1292</v>
      </c>
      <c r="N19" s="246" t="s">
        <v>1296</v>
      </c>
      <c r="O19" s="246" t="s">
        <v>7</v>
      </c>
      <c r="P19" s="246" t="s">
        <v>1293</v>
      </c>
      <c r="Q19" s="246" t="s">
        <v>1294</v>
      </c>
      <c r="R19" s="246" t="s">
        <v>538</v>
      </c>
      <c r="S19" s="246" t="s">
        <v>1295</v>
      </c>
      <c r="U19" s="161" t="s">
        <v>1297</v>
      </c>
    </row>
    <row r="20" spans="2:21">
      <c r="B20" s="492" t="s">
        <v>329</v>
      </c>
      <c r="C20" s="492" t="s">
        <v>6</v>
      </c>
      <c r="D20" s="496" t="s">
        <v>36</v>
      </c>
      <c r="E20" s="496" t="s">
        <v>333</v>
      </c>
      <c r="F20" s="515">
        <v>120000</v>
      </c>
      <c r="G20" s="516" t="s">
        <v>1103</v>
      </c>
      <c r="H20" s="492">
        <v>128</v>
      </c>
      <c r="I20" s="492">
        <v>1367</v>
      </c>
      <c r="L20" s="492" t="s">
        <v>329</v>
      </c>
      <c r="M20" s="492" t="s">
        <v>775</v>
      </c>
      <c r="N20" s="496" t="s">
        <v>205</v>
      </c>
      <c r="O20" s="496" t="s">
        <v>333</v>
      </c>
      <c r="P20" s="497">
        <v>57000</v>
      </c>
      <c r="Q20" s="498" t="s">
        <v>1186</v>
      </c>
      <c r="R20" s="492">
        <v>10</v>
      </c>
      <c r="S20" s="492">
        <v>17</v>
      </c>
      <c r="U20" s="18" t="s">
        <v>1298</v>
      </c>
    </row>
    <row r="21" spans="2:21">
      <c r="B21" s="492" t="s">
        <v>329</v>
      </c>
      <c r="C21" s="492" t="s">
        <v>6</v>
      </c>
      <c r="D21" s="496" t="s">
        <v>30</v>
      </c>
      <c r="E21" s="496" t="s">
        <v>1088</v>
      </c>
      <c r="F21" s="515">
        <v>84000</v>
      </c>
      <c r="G21" s="516" t="s">
        <v>1097</v>
      </c>
      <c r="H21" s="492">
        <v>117</v>
      </c>
      <c r="I21" s="492">
        <v>139</v>
      </c>
      <c r="L21" s="492" t="s">
        <v>329</v>
      </c>
      <c r="M21" s="492" t="s">
        <v>775</v>
      </c>
      <c r="N21" s="496" t="s">
        <v>179</v>
      </c>
      <c r="O21" s="496" t="s">
        <v>333</v>
      </c>
      <c r="P21" s="497">
        <v>24000</v>
      </c>
      <c r="Q21" s="498" t="s">
        <v>1095</v>
      </c>
      <c r="R21" s="492">
        <v>10</v>
      </c>
      <c r="S21" s="492">
        <v>18</v>
      </c>
      <c r="U21" s="18">
        <v>5013</v>
      </c>
    </row>
    <row r="22" spans="2:21">
      <c r="B22" s="492" t="s">
        <v>329</v>
      </c>
      <c r="C22" s="492" t="s">
        <v>6</v>
      </c>
      <c r="D22" s="496" t="s">
        <v>160</v>
      </c>
      <c r="E22" s="496" t="s">
        <v>1078</v>
      </c>
      <c r="F22" s="515">
        <v>168000</v>
      </c>
      <c r="G22" s="516" t="s">
        <v>1077</v>
      </c>
      <c r="H22" s="492">
        <v>117</v>
      </c>
      <c r="I22" s="492">
        <v>1531</v>
      </c>
      <c r="L22" s="492" t="s">
        <v>329</v>
      </c>
      <c r="M22" s="492" t="s">
        <v>775</v>
      </c>
      <c r="N22" s="496" t="s">
        <v>185</v>
      </c>
      <c r="O22" s="496" t="s">
        <v>333</v>
      </c>
      <c r="P22" s="497">
        <v>36000</v>
      </c>
      <c r="Q22" s="498" t="s">
        <v>1171</v>
      </c>
      <c r="R22" s="492">
        <v>89</v>
      </c>
      <c r="S22" s="492">
        <v>864</v>
      </c>
      <c r="U22" s="18" t="s">
        <v>1299</v>
      </c>
    </row>
    <row r="23" spans="2:21">
      <c r="B23" s="492" t="s">
        <v>329</v>
      </c>
      <c r="C23" s="492" t="s">
        <v>6</v>
      </c>
      <c r="D23" s="496" t="s">
        <v>123</v>
      </c>
      <c r="E23" s="496" t="s">
        <v>333</v>
      </c>
      <c r="F23" s="515">
        <v>84000</v>
      </c>
      <c r="G23" s="516" t="s">
        <v>334</v>
      </c>
      <c r="H23" s="492">
        <v>10</v>
      </c>
      <c r="I23" s="492">
        <v>130</v>
      </c>
      <c r="L23" s="492" t="s">
        <v>329</v>
      </c>
      <c r="M23" s="492" t="s">
        <v>775</v>
      </c>
      <c r="N23" s="496" t="s">
        <v>212</v>
      </c>
      <c r="O23" s="496" t="s">
        <v>333</v>
      </c>
      <c r="P23" s="497">
        <v>40000</v>
      </c>
      <c r="Q23" s="498" t="s">
        <v>1193</v>
      </c>
      <c r="R23" s="492">
        <v>17</v>
      </c>
      <c r="S23" s="492">
        <v>104</v>
      </c>
      <c r="U23" s="18" t="s">
        <v>1300</v>
      </c>
    </row>
    <row r="24" spans="2:21">
      <c r="B24" s="492" t="s">
        <v>329</v>
      </c>
      <c r="C24" s="492" t="s">
        <v>6</v>
      </c>
      <c r="D24" s="496" t="s">
        <v>59</v>
      </c>
      <c r="E24" s="496" t="s">
        <v>333</v>
      </c>
      <c r="F24" s="515">
        <v>120000</v>
      </c>
      <c r="G24" s="516" t="s">
        <v>1301</v>
      </c>
      <c r="H24" s="492">
        <v>139</v>
      </c>
      <c r="I24" s="492">
        <v>49</v>
      </c>
      <c r="L24" s="492" t="s">
        <v>329</v>
      </c>
      <c r="M24" s="492" t="s">
        <v>775</v>
      </c>
      <c r="N24" s="496" t="s">
        <v>85</v>
      </c>
      <c r="O24" s="496" t="s">
        <v>1048</v>
      </c>
      <c r="P24" s="497">
        <v>40000</v>
      </c>
      <c r="Q24" s="498" t="s">
        <v>1302</v>
      </c>
      <c r="R24" s="492">
        <v>17</v>
      </c>
      <c r="S24" s="492">
        <v>105</v>
      </c>
      <c r="U24" s="18" t="s">
        <v>1303</v>
      </c>
    </row>
    <row r="25" spans="2:21">
      <c r="B25" s="492" t="s">
        <v>329</v>
      </c>
      <c r="C25" s="492" t="s">
        <v>6</v>
      </c>
      <c r="D25" s="496" t="s">
        <v>139</v>
      </c>
      <c r="E25" s="496" t="s">
        <v>1048</v>
      </c>
      <c r="F25" s="515">
        <v>120000</v>
      </c>
      <c r="G25" s="516" t="s">
        <v>1304</v>
      </c>
      <c r="H25" s="492">
        <v>139</v>
      </c>
      <c r="I25" s="492">
        <v>149</v>
      </c>
      <c r="L25" s="492" t="s">
        <v>329</v>
      </c>
      <c r="M25" s="492" t="s">
        <v>775</v>
      </c>
      <c r="N25" s="496" t="s">
        <v>180</v>
      </c>
      <c r="O25" s="496" t="s">
        <v>1046</v>
      </c>
      <c r="P25" s="497">
        <v>40000</v>
      </c>
      <c r="Q25" s="498" t="s">
        <v>1172</v>
      </c>
      <c r="R25" s="492">
        <v>17</v>
      </c>
      <c r="S25" s="492">
        <v>106</v>
      </c>
      <c r="U25" s="18" t="s">
        <v>1305</v>
      </c>
    </row>
    <row r="26" spans="2:21">
      <c r="B26" s="492" t="s">
        <v>329</v>
      </c>
      <c r="C26" s="492" t="s">
        <v>6</v>
      </c>
      <c r="D26" s="496" t="s">
        <v>19</v>
      </c>
      <c r="E26" s="496" t="s">
        <v>1046</v>
      </c>
      <c r="F26" s="515">
        <v>168000</v>
      </c>
      <c r="G26" s="516" t="s">
        <v>1092</v>
      </c>
      <c r="H26" s="492">
        <v>10</v>
      </c>
      <c r="I26" s="492">
        <v>1295</v>
      </c>
      <c r="L26" s="492" t="s">
        <v>329</v>
      </c>
      <c r="M26" s="492" t="s">
        <v>775</v>
      </c>
      <c r="N26" s="496" t="s">
        <v>152</v>
      </c>
      <c r="O26" s="496" t="s">
        <v>1088</v>
      </c>
      <c r="P26" s="497">
        <v>40000</v>
      </c>
      <c r="Q26" s="498" t="s">
        <v>1087</v>
      </c>
      <c r="R26" s="492">
        <v>17</v>
      </c>
      <c r="S26" s="492">
        <v>107</v>
      </c>
      <c r="U26" s="18" t="s">
        <v>1306</v>
      </c>
    </row>
    <row r="27" spans="2:21">
      <c r="B27" s="492" t="s">
        <v>329</v>
      </c>
      <c r="C27" s="492" t="s">
        <v>6</v>
      </c>
      <c r="D27" s="496" t="s">
        <v>101</v>
      </c>
      <c r="E27" s="496" t="s">
        <v>1048</v>
      </c>
      <c r="F27" s="515">
        <v>120000</v>
      </c>
      <c r="G27" s="516" t="s">
        <v>1185</v>
      </c>
      <c r="H27" s="492">
        <v>10</v>
      </c>
      <c r="I27" s="492">
        <v>1250</v>
      </c>
      <c r="L27" s="492" t="s">
        <v>1290</v>
      </c>
      <c r="M27" s="492" t="s">
        <v>775</v>
      </c>
      <c r="N27" s="496" t="s">
        <v>42</v>
      </c>
      <c r="O27" s="496" t="s">
        <v>333</v>
      </c>
      <c r="P27" s="497">
        <v>30000</v>
      </c>
      <c r="Q27" s="498" t="s">
        <v>1307</v>
      </c>
      <c r="R27" s="492">
        <v>96</v>
      </c>
      <c r="S27" s="492">
        <v>1029</v>
      </c>
      <c r="U27" s="18" t="s">
        <v>1308</v>
      </c>
    </row>
    <row r="28" spans="2:21">
      <c r="B28" s="492" t="s">
        <v>329</v>
      </c>
      <c r="C28" s="492" t="s">
        <v>6</v>
      </c>
      <c r="D28" s="496" t="s">
        <v>95</v>
      </c>
      <c r="E28" s="496" t="s">
        <v>333</v>
      </c>
      <c r="F28" s="515">
        <v>84000</v>
      </c>
      <c r="G28" s="516" t="s">
        <v>332</v>
      </c>
      <c r="H28" s="492">
        <v>10</v>
      </c>
      <c r="I28" s="492">
        <v>169</v>
      </c>
      <c r="L28" s="492" t="s">
        <v>329</v>
      </c>
      <c r="M28" s="492" t="s">
        <v>775</v>
      </c>
      <c r="N28" s="496" t="s">
        <v>167</v>
      </c>
      <c r="O28" s="496" t="s">
        <v>333</v>
      </c>
      <c r="P28" s="497">
        <v>26000</v>
      </c>
      <c r="Q28" s="498" t="s">
        <v>1099</v>
      </c>
      <c r="R28" s="492">
        <v>10</v>
      </c>
      <c r="S28" s="492">
        <v>20</v>
      </c>
      <c r="U28" s="18" t="s">
        <v>1309</v>
      </c>
    </row>
    <row r="29" spans="2:21">
      <c r="B29" s="492" t="s">
        <v>329</v>
      </c>
      <c r="C29" s="492" t="s">
        <v>6</v>
      </c>
      <c r="D29" s="496" t="s">
        <v>154</v>
      </c>
      <c r="E29" s="496" t="s">
        <v>1048</v>
      </c>
      <c r="F29" s="515">
        <v>120000</v>
      </c>
      <c r="G29" s="516" t="s">
        <v>1090</v>
      </c>
      <c r="H29" s="492">
        <v>10</v>
      </c>
      <c r="I29" s="492">
        <v>1182</v>
      </c>
      <c r="L29" s="492" t="s">
        <v>329</v>
      </c>
      <c r="M29" s="492" t="s">
        <v>775</v>
      </c>
      <c r="N29" s="496" t="s">
        <v>192</v>
      </c>
      <c r="O29" s="496" t="s">
        <v>333</v>
      </c>
      <c r="P29" s="497">
        <v>40000</v>
      </c>
      <c r="Q29" s="498" t="s">
        <v>1175</v>
      </c>
      <c r="R29" s="492">
        <v>117</v>
      </c>
      <c r="S29" s="492">
        <v>788</v>
      </c>
      <c r="U29" s="18" t="s">
        <v>1310</v>
      </c>
    </row>
    <row r="30" spans="2:21">
      <c r="B30" s="492" t="s">
        <v>329</v>
      </c>
      <c r="C30" s="492" t="s">
        <v>6</v>
      </c>
      <c r="D30" s="496" t="s">
        <v>135</v>
      </c>
      <c r="E30" s="496" t="s">
        <v>333</v>
      </c>
      <c r="F30" s="515">
        <v>92000</v>
      </c>
      <c r="G30" s="516" t="s">
        <v>1073</v>
      </c>
      <c r="H30" s="492">
        <v>10</v>
      </c>
      <c r="I30" s="492">
        <v>180</v>
      </c>
      <c r="L30" s="492" t="s">
        <v>329</v>
      </c>
      <c r="M30" s="492" t="s">
        <v>775</v>
      </c>
      <c r="N30" s="496" t="s">
        <v>190</v>
      </c>
      <c r="O30" s="496" t="s">
        <v>1048</v>
      </c>
      <c r="P30" s="497">
        <v>40000</v>
      </c>
      <c r="Q30" s="498" t="s">
        <v>1182</v>
      </c>
      <c r="R30" s="492">
        <v>117</v>
      </c>
      <c r="S30" s="492">
        <v>124</v>
      </c>
      <c r="U30" s="18" t="s">
        <v>1311</v>
      </c>
    </row>
    <row r="31" spans="2:21">
      <c r="B31" s="492" t="s">
        <v>329</v>
      </c>
      <c r="C31" s="492" t="s">
        <v>6</v>
      </c>
      <c r="D31" s="496" t="s">
        <v>104</v>
      </c>
      <c r="E31" s="496" t="s">
        <v>1048</v>
      </c>
      <c r="F31" s="515">
        <v>126000</v>
      </c>
      <c r="G31" s="516" t="s">
        <v>1054</v>
      </c>
      <c r="H31" s="492">
        <v>10</v>
      </c>
      <c r="I31" s="492">
        <v>369</v>
      </c>
      <c r="L31" s="492" t="s">
        <v>329</v>
      </c>
      <c r="M31" s="492" t="s">
        <v>775</v>
      </c>
      <c r="N31" s="496" t="s">
        <v>124</v>
      </c>
      <c r="O31" s="496" t="s">
        <v>1046</v>
      </c>
      <c r="P31" s="497">
        <v>40000</v>
      </c>
      <c r="Q31" s="498" t="s">
        <v>1312</v>
      </c>
      <c r="R31" s="492">
        <v>117</v>
      </c>
      <c r="S31" s="492">
        <v>157</v>
      </c>
      <c r="U31" s="18" t="s">
        <v>1313</v>
      </c>
    </row>
    <row r="32" spans="2:21">
      <c r="B32" s="492" t="s">
        <v>329</v>
      </c>
      <c r="C32" s="492" t="s">
        <v>6</v>
      </c>
      <c r="D32" s="496" t="s">
        <v>89</v>
      </c>
      <c r="E32" s="496" t="s">
        <v>1046</v>
      </c>
      <c r="F32" s="515">
        <v>148000</v>
      </c>
      <c r="G32" s="516" t="s">
        <v>1045</v>
      </c>
      <c r="H32" s="492">
        <v>10</v>
      </c>
      <c r="I32" s="492">
        <v>776</v>
      </c>
      <c r="L32" s="492" t="s">
        <v>329</v>
      </c>
      <c r="M32" s="492" t="s">
        <v>775</v>
      </c>
      <c r="N32" s="496" t="s">
        <v>113</v>
      </c>
      <c r="O32" s="496" t="s">
        <v>1057</v>
      </c>
      <c r="P32" s="497">
        <v>40000</v>
      </c>
      <c r="Q32" s="498" t="s">
        <v>1056</v>
      </c>
      <c r="R32" s="492">
        <v>117</v>
      </c>
      <c r="S32" s="492">
        <v>202</v>
      </c>
      <c r="U32" s="18" t="s">
        <v>1314</v>
      </c>
    </row>
    <row r="33" spans="2:21">
      <c r="B33" s="492" t="s">
        <v>329</v>
      </c>
      <c r="C33" s="492" t="s">
        <v>6</v>
      </c>
      <c r="D33" s="496" t="s">
        <v>25</v>
      </c>
      <c r="E33" s="496" t="s">
        <v>333</v>
      </c>
      <c r="F33" s="515">
        <v>120000</v>
      </c>
      <c r="G33" s="516" t="s">
        <v>336</v>
      </c>
      <c r="H33" s="492">
        <v>10</v>
      </c>
      <c r="I33" s="492">
        <v>203</v>
      </c>
      <c r="L33" s="492" t="s">
        <v>329</v>
      </c>
      <c r="M33" s="492" t="s">
        <v>775</v>
      </c>
      <c r="N33" s="496" t="s">
        <v>130</v>
      </c>
      <c r="O33" s="496" t="s">
        <v>1076</v>
      </c>
      <c r="P33" s="497">
        <v>40000</v>
      </c>
      <c r="Q33" s="498" t="s">
        <v>1075</v>
      </c>
      <c r="R33" s="492">
        <v>117</v>
      </c>
      <c r="S33" s="492">
        <v>219</v>
      </c>
      <c r="U33" s="18" t="s">
        <v>1315</v>
      </c>
    </row>
    <row r="34" spans="2:21">
      <c r="B34" s="492" t="s">
        <v>329</v>
      </c>
      <c r="C34" s="492" t="s">
        <v>6</v>
      </c>
      <c r="D34" s="496" t="s">
        <v>68</v>
      </c>
      <c r="E34" s="496" t="s">
        <v>333</v>
      </c>
      <c r="F34" s="515">
        <v>214000</v>
      </c>
      <c r="G34" s="516" t="s">
        <v>337</v>
      </c>
      <c r="H34" s="492">
        <v>112</v>
      </c>
      <c r="I34" s="492">
        <v>29</v>
      </c>
      <c r="L34" s="492" t="s">
        <v>329</v>
      </c>
      <c r="M34" s="492" t="s">
        <v>775</v>
      </c>
      <c r="N34" s="496" t="s">
        <v>71</v>
      </c>
      <c r="O34" s="496" t="s">
        <v>333</v>
      </c>
      <c r="P34" s="497">
        <v>70000</v>
      </c>
      <c r="Q34" s="498" t="s">
        <v>1316</v>
      </c>
      <c r="R34" s="492">
        <v>10</v>
      </c>
      <c r="S34" s="492">
        <v>1027</v>
      </c>
      <c r="U34" s="18" t="s">
        <v>1317</v>
      </c>
    </row>
    <row r="35" spans="2:21">
      <c r="B35" s="492" t="s">
        <v>329</v>
      </c>
      <c r="C35" s="492" t="s">
        <v>6</v>
      </c>
      <c r="D35" s="496" t="s">
        <v>132</v>
      </c>
      <c r="E35" s="496" t="s">
        <v>1048</v>
      </c>
      <c r="F35" s="515">
        <v>144000</v>
      </c>
      <c r="G35" s="516" t="s">
        <v>1052</v>
      </c>
      <c r="H35" s="492">
        <v>112</v>
      </c>
      <c r="I35" s="492">
        <v>67</v>
      </c>
      <c r="L35" s="492" t="s">
        <v>329</v>
      </c>
      <c r="M35" s="492" t="s">
        <v>775</v>
      </c>
      <c r="N35" s="496" t="s">
        <v>194</v>
      </c>
      <c r="O35" s="496" t="s">
        <v>333</v>
      </c>
      <c r="P35" s="497">
        <v>36000</v>
      </c>
      <c r="Q35" s="498" t="s">
        <v>1082</v>
      </c>
      <c r="R35" s="492">
        <v>122</v>
      </c>
      <c r="S35" s="492">
        <v>222</v>
      </c>
      <c r="U35" s="18" t="s">
        <v>1318</v>
      </c>
    </row>
    <row r="36" spans="2:21">
      <c r="B36" s="492" t="s">
        <v>329</v>
      </c>
      <c r="C36" s="492" t="s">
        <v>6</v>
      </c>
      <c r="D36" s="496" t="s">
        <v>79</v>
      </c>
      <c r="E36" s="496" t="s">
        <v>1046</v>
      </c>
      <c r="F36" s="515">
        <v>120000</v>
      </c>
      <c r="G36" s="516" t="s">
        <v>1174</v>
      </c>
      <c r="H36" s="492">
        <v>112</v>
      </c>
      <c r="I36" s="492">
        <v>16</v>
      </c>
      <c r="L36" s="492" t="s">
        <v>329</v>
      </c>
      <c r="M36" s="492" t="s">
        <v>775</v>
      </c>
      <c r="N36" s="496" t="s">
        <v>57</v>
      </c>
      <c r="O36" s="496" t="s">
        <v>333</v>
      </c>
      <c r="P36" s="497">
        <v>57000</v>
      </c>
      <c r="Q36" s="498" t="s">
        <v>1319</v>
      </c>
      <c r="R36" s="492">
        <v>10</v>
      </c>
      <c r="S36" s="492">
        <v>860</v>
      </c>
      <c r="U36" s="18" t="s">
        <v>1320</v>
      </c>
    </row>
    <row r="37" spans="2:21">
      <c r="B37" s="492" t="s">
        <v>329</v>
      </c>
      <c r="C37" s="492" t="s">
        <v>6</v>
      </c>
      <c r="D37" s="496" t="s">
        <v>83</v>
      </c>
      <c r="E37" s="496" t="s">
        <v>1088</v>
      </c>
      <c r="F37" s="515">
        <v>168000</v>
      </c>
      <c r="G37" s="516" t="s">
        <v>1321</v>
      </c>
      <c r="H37" s="492">
        <v>112</v>
      </c>
      <c r="I37" s="492">
        <v>1939</v>
      </c>
      <c r="L37" s="492" t="s">
        <v>329</v>
      </c>
      <c r="M37" s="492" t="s">
        <v>775</v>
      </c>
      <c r="N37" s="496" t="s">
        <v>81</v>
      </c>
      <c r="O37" s="496" t="s">
        <v>1048</v>
      </c>
      <c r="P37" s="497">
        <v>57000</v>
      </c>
      <c r="Q37" s="498" t="s">
        <v>1322</v>
      </c>
      <c r="R37" s="492">
        <v>10</v>
      </c>
      <c r="S37" s="492">
        <v>1296</v>
      </c>
      <c r="U37" s="161" t="s">
        <v>1323</v>
      </c>
    </row>
    <row r="38" spans="2:21">
      <c r="B38" s="492" t="s">
        <v>329</v>
      </c>
      <c r="C38" s="492" t="s">
        <v>6</v>
      </c>
      <c r="D38" s="496" t="s">
        <v>216</v>
      </c>
      <c r="E38" s="496" t="s">
        <v>1057</v>
      </c>
      <c r="F38" s="515">
        <v>120000</v>
      </c>
      <c r="G38" s="516" t="s">
        <v>1324</v>
      </c>
      <c r="H38" s="492">
        <v>112</v>
      </c>
      <c r="I38" s="492">
        <v>2399</v>
      </c>
      <c r="L38" s="492" t="s">
        <v>329</v>
      </c>
      <c r="M38" s="492" t="s">
        <v>775</v>
      </c>
      <c r="N38" s="496" t="s">
        <v>226</v>
      </c>
      <c r="O38" s="496" t="s">
        <v>1046</v>
      </c>
      <c r="P38" s="497">
        <v>57000</v>
      </c>
      <c r="Q38" s="498" t="s">
        <v>1215</v>
      </c>
      <c r="R38" s="492">
        <v>10</v>
      </c>
      <c r="S38" s="492">
        <v>1459</v>
      </c>
      <c r="U38" s="161" t="s">
        <v>1325</v>
      </c>
    </row>
    <row r="39" spans="2:21">
      <c r="B39" s="492" t="s">
        <v>329</v>
      </c>
      <c r="C39" s="492" t="s">
        <v>6</v>
      </c>
      <c r="D39" s="517" t="s">
        <v>241</v>
      </c>
      <c r="E39" s="517" t="s">
        <v>1076</v>
      </c>
      <c r="F39" s="518">
        <v>168000</v>
      </c>
      <c r="G39" s="519" t="s">
        <v>1326</v>
      </c>
      <c r="H39" s="492">
        <v>112</v>
      </c>
      <c r="I39" s="492">
        <v>2401</v>
      </c>
      <c r="L39" s="492" t="s">
        <v>329</v>
      </c>
      <c r="M39" s="492" t="s">
        <v>775</v>
      </c>
      <c r="N39" s="496" t="s">
        <v>200</v>
      </c>
      <c r="O39" s="496" t="s">
        <v>333</v>
      </c>
      <c r="P39" s="497">
        <v>37000</v>
      </c>
      <c r="Q39" s="498" t="s">
        <v>1179</v>
      </c>
      <c r="R39" s="492">
        <v>10</v>
      </c>
      <c r="S39" s="492">
        <v>233</v>
      </c>
      <c r="U39" s="18" t="s">
        <v>1327</v>
      </c>
    </row>
    <row r="40" spans="2:21">
      <c r="B40" s="492" t="s">
        <v>329</v>
      </c>
      <c r="C40" s="492" t="s">
        <v>6</v>
      </c>
      <c r="D40" s="496" t="s">
        <v>52</v>
      </c>
      <c r="E40" s="496" t="s">
        <v>333</v>
      </c>
      <c r="F40" s="515">
        <v>60000</v>
      </c>
      <c r="G40" s="516" t="s">
        <v>335</v>
      </c>
      <c r="H40" s="492">
        <v>124</v>
      </c>
      <c r="I40" s="492">
        <v>447</v>
      </c>
      <c r="L40" s="492" t="s">
        <v>1290</v>
      </c>
      <c r="M40" s="492" t="s">
        <v>775</v>
      </c>
      <c r="N40" s="496" t="s">
        <v>198</v>
      </c>
      <c r="O40" s="496" t="s">
        <v>333</v>
      </c>
      <c r="P40" s="497">
        <v>24000</v>
      </c>
      <c r="Q40" s="498" t="s">
        <v>1181</v>
      </c>
      <c r="R40" s="492">
        <v>95</v>
      </c>
      <c r="S40" s="492">
        <v>102</v>
      </c>
      <c r="U40" s="18" t="s">
        <v>1328</v>
      </c>
    </row>
    <row r="41" spans="2:21">
      <c r="B41" s="492" t="s">
        <v>329</v>
      </c>
      <c r="C41" s="492" t="s">
        <v>6</v>
      </c>
      <c r="D41" s="496" t="s">
        <v>151</v>
      </c>
      <c r="E41" s="496" t="s">
        <v>333</v>
      </c>
      <c r="F41" s="515">
        <v>84000</v>
      </c>
      <c r="G41" s="516" t="s">
        <v>1086</v>
      </c>
      <c r="H41" s="492">
        <v>27</v>
      </c>
      <c r="I41" s="492">
        <v>165</v>
      </c>
      <c r="L41" s="492" t="s">
        <v>329</v>
      </c>
      <c r="M41" s="492" t="s">
        <v>775</v>
      </c>
      <c r="N41" s="496" t="s">
        <v>155</v>
      </c>
      <c r="O41" s="496" t="s">
        <v>333</v>
      </c>
      <c r="P41" s="497">
        <v>57000</v>
      </c>
      <c r="Q41" s="498" t="s">
        <v>1084</v>
      </c>
      <c r="R41" s="492">
        <v>10</v>
      </c>
      <c r="S41" s="492">
        <v>55</v>
      </c>
      <c r="U41" s="18" t="s">
        <v>1329</v>
      </c>
    </row>
    <row r="42" spans="2:21">
      <c r="B42" s="492" t="s">
        <v>329</v>
      </c>
      <c r="C42" s="492" t="s">
        <v>6</v>
      </c>
      <c r="D42" s="496" t="s">
        <v>111</v>
      </c>
      <c r="E42" s="496" t="s">
        <v>1048</v>
      </c>
      <c r="F42" s="515">
        <v>84000</v>
      </c>
      <c r="G42" s="516" t="s">
        <v>1067</v>
      </c>
      <c r="H42" s="492">
        <v>27</v>
      </c>
      <c r="I42" s="492">
        <v>181</v>
      </c>
      <c r="L42" s="492" t="s">
        <v>329</v>
      </c>
      <c r="M42" s="492" t="s">
        <v>775</v>
      </c>
      <c r="N42" s="496" t="s">
        <v>28</v>
      </c>
      <c r="O42" s="496" t="s">
        <v>333</v>
      </c>
      <c r="P42" s="497">
        <v>57000</v>
      </c>
      <c r="Q42" s="498" t="s">
        <v>1330</v>
      </c>
      <c r="R42" s="492">
        <v>10</v>
      </c>
      <c r="S42" s="492">
        <v>330</v>
      </c>
      <c r="U42" s="18" t="s">
        <v>1331</v>
      </c>
    </row>
    <row r="43" spans="2:21">
      <c r="B43" s="492" t="s">
        <v>329</v>
      </c>
      <c r="C43" s="492" t="s">
        <v>6</v>
      </c>
      <c r="D43" s="496" t="s">
        <v>148</v>
      </c>
      <c r="E43" s="496" t="s">
        <v>333</v>
      </c>
      <c r="F43" s="515">
        <v>120000</v>
      </c>
      <c r="G43" s="516" t="s">
        <v>1080</v>
      </c>
      <c r="H43" s="492">
        <v>10</v>
      </c>
      <c r="I43" s="492">
        <v>1405</v>
      </c>
      <c r="L43" s="492" t="s">
        <v>329</v>
      </c>
      <c r="M43" s="492" t="s">
        <v>775</v>
      </c>
      <c r="N43" s="496" t="s">
        <v>482</v>
      </c>
      <c r="O43" s="496" t="s">
        <v>333</v>
      </c>
      <c r="P43" s="497">
        <v>36000</v>
      </c>
      <c r="Q43" s="498" t="s">
        <v>1197</v>
      </c>
      <c r="R43" s="492">
        <v>10</v>
      </c>
      <c r="S43" s="492">
        <v>177</v>
      </c>
      <c r="U43" s="18" t="s">
        <v>1332</v>
      </c>
    </row>
    <row r="44" spans="2:21">
      <c r="B44" s="492" t="s">
        <v>329</v>
      </c>
      <c r="C44" s="492" t="s">
        <v>6</v>
      </c>
      <c r="D44" s="496" t="s">
        <v>120</v>
      </c>
      <c r="E44" s="496" t="s">
        <v>333</v>
      </c>
      <c r="F44" s="515">
        <v>100000</v>
      </c>
      <c r="G44" s="516" t="s">
        <v>1058</v>
      </c>
      <c r="H44" s="492">
        <v>10</v>
      </c>
      <c r="I44" s="492">
        <v>775</v>
      </c>
      <c r="L44" s="492" t="s">
        <v>329</v>
      </c>
      <c r="M44" s="492" t="s">
        <v>775</v>
      </c>
      <c r="N44" s="496" t="s">
        <v>213</v>
      </c>
      <c r="O44" s="496" t="s">
        <v>1048</v>
      </c>
      <c r="P44" s="497">
        <v>36000</v>
      </c>
      <c r="Q44" s="498" t="s">
        <v>1196</v>
      </c>
      <c r="R44" s="492">
        <v>10</v>
      </c>
      <c r="S44" s="492">
        <v>178</v>
      </c>
      <c r="U44" s="18" t="s">
        <v>1333</v>
      </c>
    </row>
    <row r="45" spans="2:21">
      <c r="B45" s="492" t="s">
        <v>329</v>
      </c>
      <c r="C45" s="492" t="s">
        <v>6</v>
      </c>
      <c r="D45" s="496" t="s">
        <v>144</v>
      </c>
      <c r="E45" s="496" t="s">
        <v>333</v>
      </c>
      <c r="F45" s="515">
        <v>120000</v>
      </c>
      <c r="G45" s="516" t="s">
        <v>338</v>
      </c>
      <c r="H45" s="492">
        <v>10</v>
      </c>
      <c r="I45" s="492">
        <v>116</v>
      </c>
      <c r="L45" s="492" t="s">
        <v>329</v>
      </c>
      <c r="M45" s="492" t="s">
        <v>775</v>
      </c>
      <c r="N45" s="496" t="s">
        <v>174</v>
      </c>
      <c r="O45" s="496" t="s">
        <v>333</v>
      </c>
      <c r="P45" s="497">
        <v>32000</v>
      </c>
      <c r="Q45" s="498" t="s">
        <v>1334</v>
      </c>
      <c r="R45" s="492">
        <v>138</v>
      </c>
      <c r="S45" s="492">
        <v>26</v>
      </c>
      <c r="U45" s="18" t="s">
        <v>1335</v>
      </c>
    </row>
    <row r="46" spans="2:21">
      <c r="B46" s="492" t="s">
        <v>329</v>
      </c>
      <c r="C46" s="492" t="s">
        <v>6</v>
      </c>
      <c r="D46" s="496" t="s">
        <v>129</v>
      </c>
      <c r="E46" s="496" t="s">
        <v>333</v>
      </c>
      <c r="F46" s="515">
        <v>75000</v>
      </c>
      <c r="G46" s="516" t="s">
        <v>1060</v>
      </c>
      <c r="H46" s="492">
        <v>10</v>
      </c>
      <c r="I46" s="492">
        <v>326</v>
      </c>
      <c r="L46" s="492" t="s">
        <v>1290</v>
      </c>
      <c r="M46" s="492" t="s">
        <v>775</v>
      </c>
      <c r="N46" s="496" t="s">
        <v>73</v>
      </c>
      <c r="O46" s="496" t="s">
        <v>333</v>
      </c>
      <c r="P46" s="497">
        <v>30000</v>
      </c>
      <c r="Q46" s="498" t="s">
        <v>1336</v>
      </c>
      <c r="R46" s="492">
        <v>84</v>
      </c>
      <c r="S46" s="492">
        <v>159</v>
      </c>
      <c r="U46" s="18" t="s">
        <v>1337</v>
      </c>
    </row>
    <row r="47" spans="2:21">
      <c r="B47" s="492" t="s">
        <v>329</v>
      </c>
      <c r="C47" s="492" t="s">
        <v>6</v>
      </c>
      <c r="D47" s="496" t="s">
        <v>157</v>
      </c>
      <c r="E47" s="496" t="s">
        <v>1048</v>
      </c>
      <c r="F47" s="515">
        <v>75000</v>
      </c>
      <c r="G47" s="516" t="s">
        <v>1081</v>
      </c>
      <c r="H47" s="492">
        <v>10</v>
      </c>
      <c r="I47" s="492">
        <v>327</v>
      </c>
      <c r="L47" s="492" t="s">
        <v>1290</v>
      </c>
      <c r="M47" s="492" t="s">
        <v>775</v>
      </c>
      <c r="N47" s="496" t="s">
        <v>93</v>
      </c>
      <c r="O47" s="496" t="s">
        <v>1048</v>
      </c>
      <c r="P47" s="497">
        <v>15000</v>
      </c>
      <c r="Q47" s="498" t="s">
        <v>1047</v>
      </c>
      <c r="R47" s="492">
        <v>84</v>
      </c>
      <c r="S47" s="492">
        <v>162</v>
      </c>
      <c r="U47" s="18" t="s">
        <v>1338</v>
      </c>
    </row>
    <row r="48" spans="2:21">
      <c r="B48" s="492" t="s">
        <v>329</v>
      </c>
      <c r="C48" s="492" t="s">
        <v>6</v>
      </c>
      <c r="D48" s="496" t="s">
        <v>44</v>
      </c>
      <c r="E48" s="496" t="s">
        <v>1046</v>
      </c>
      <c r="F48" s="515">
        <v>75000</v>
      </c>
      <c r="G48" s="516" t="s">
        <v>1170</v>
      </c>
      <c r="H48" s="492">
        <v>10</v>
      </c>
      <c r="I48" s="492">
        <v>328</v>
      </c>
      <c r="L48" s="492" t="s">
        <v>1290</v>
      </c>
      <c r="M48" s="492" t="s">
        <v>775</v>
      </c>
      <c r="N48" s="496" t="s">
        <v>116</v>
      </c>
      <c r="O48" s="496" t="s">
        <v>1046</v>
      </c>
      <c r="P48" s="497">
        <v>54000</v>
      </c>
      <c r="Q48" s="498" t="s">
        <v>1069</v>
      </c>
      <c r="R48" s="492">
        <v>84</v>
      </c>
      <c r="S48" s="492">
        <v>170</v>
      </c>
      <c r="U48" s="18" t="s">
        <v>1339</v>
      </c>
    </row>
    <row r="49" spans="2:21">
      <c r="B49" s="1084" t="s">
        <v>329</v>
      </c>
      <c r="C49" s="1084" t="s">
        <v>6</v>
      </c>
      <c r="D49" s="1085" t="s">
        <v>115</v>
      </c>
      <c r="E49" s="1085" t="s">
        <v>333</v>
      </c>
      <c r="F49" s="1286" t="s">
        <v>1340</v>
      </c>
      <c r="G49" s="1287" t="s">
        <v>1049</v>
      </c>
      <c r="H49" s="1084">
        <v>10</v>
      </c>
      <c r="I49" s="1084">
        <v>267</v>
      </c>
      <c r="L49" s="492" t="s">
        <v>1290</v>
      </c>
      <c r="M49" s="492" t="s">
        <v>775</v>
      </c>
      <c r="N49" s="496" t="s">
        <v>108</v>
      </c>
      <c r="O49" s="496" t="s">
        <v>333</v>
      </c>
      <c r="P49" s="497">
        <v>22000</v>
      </c>
      <c r="Q49" s="498" t="s">
        <v>1068</v>
      </c>
      <c r="R49" s="492">
        <v>13</v>
      </c>
      <c r="S49" s="492">
        <v>1458</v>
      </c>
      <c r="U49" s="18" t="s">
        <v>1341</v>
      </c>
    </row>
    <row r="50" spans="2:21">
      <c r="B50" s="492" t="s">
        <v>329</v>
      </c>
      <c r="C50" s="492" t="s">
        <v>6</v>
      </c>
      <c r="D50" s="496" t="s">
        <v>107</v>
      </c>
      <c r="E50" s="496" t="s">
        <v>333</v>
      </c>
      <c r="F50" s="515">
        <v>84000</v>
      </c>
      <c r="G50" s="516" t="s">
        <v>1071</v>
      </c>
      <c r="H50" s="492">
        <v>10</v>
      </c>
      <c r="I50" s="492">
        <v>140</v>
      </c>
      <c r="L50" s="492" t="s">
        <v>329</v>
      </c>
      <c r="M50" s="492" t="s">
        <v>775</v>
      </c>
      <c r="N50" s="496" t="s">
        <v>118</v>
      </c>
      <c r="O50" s="496" t="s">
        <v>333</v>
      </c>
      <c r="P50" s="549">
        <v>20000</v>
      </c>
      <c r="Q50" s="498" t="s">
        <v>1074</v>
      </c>
      <c r="R50" s="492">
        <v>10</v>
      </c>
      <c r="S50" s="492">
        <v>69</v>
      </c>
      <c r="U50" s="18" t="s">
        <v>1342</v>
      </c>
    </row>
    <row r="51" spans="2:21">
      <c r="B51" s="492" t="s">
        <v>329</v>
      </c>
      <c r="C51" s="492" t="s">
        <v>6</v>
      </c>
      <c r="D51" s="496" t="s">
        <v>47</v>
      </c>
      <c r="E51" s="496" t="s">
        <v>1048</v>
      </c>
      <c r="F51" s="515">
        <v>120000</v>
      </c>
      <c r="G51" s="516" t="s">
        <v>1168</v>
      </c>
      <c r="H51" s="492">
        <v>10</v>
      </c>
      <c r="I51" s="492">
        <v>857</v>
      </c>
      <c r="L51" s="492" t="s">
        <v>329</v>
      </c>
      <c r="M51" s="492" t="s">
        <v>775</v>
      </c>
      <c r="N51" s="496" t="s">
        <v>217</v>
      </c>
      <c r="O51" s="496" t="s">
        <v>333</v>
      </c>
      <c r="P51" s="497">
        <v>57000</v>
      </c>
      <c r="Q51" s="498" t="s">
        <v>1202</v>
      </c>
      <c r="R51" s="492">
        <v>10</v>
      </c>
      <c r="S51" s="492">
        <v>1184</v>
      </c>
      <c r="U51" s="18" t="s">
        <v>1343</v>
      </c>
    </row>
    <row r="52" spans="2:21">
      <c r="B52" s="492" t="s">
        <v>329</v>
      </c>
      <c r="C52" s="492" t="s">
        <v>6</v>
      </c>
      <c r="D52" s="496" t="s">
        <v>75</v>
      </c>
      <c r="E52" s="496" t="s">
        <v>333</v>
      </c>
      <c r="F52" s="515">
        <v>90000</v>
      </c>
      <c r="G52" s="516" t="s">
        <v>1178</v>
      </c>
      <c r="H52" s="492">
        <v>10</v>
      </c>
      <c r="I52" s="492">
        <v>1938</v>
      </c>
      <c r="L52" s="492" t="s">
        <v>329</v>
      </c>
      <c r="M52" s="492" t="s">
        <v>775</v>
      </c>
      <c r="N52" s="496" t="s">
        <v>34</v>
      </c>
      <c r="O52" s="496" t="s">
        <v>333</v>
      </c>
      <c r="P52" s="497">
        <v>57000</v>
      </c>
      <c r="Q52" s="498" t="s">
        <v>1344</v>
      </c>
      <c r="R52" s="492">
        <v>10</v>
      </c>
      <c r="S52" s="492">
        <v>859</v>
      </c>
      <c r="U52" s="18" t="s">
        <v>1345</v>
      </c>
    </row>
    <row r="53" spans="2:21">
      <c r="B53" s="492" t="s">
        <v>329</v>
      </c>
      <c r="C53" s="492" t="s">
        <v>6</v>
      </c>
      <c r="D53" s="496" t="s">
        <v>187</v>
      </c>
      <c r="E53" s="496" t="s">
        <v>333</v>
      </c>
      <c r="F53" s="515">
        <v>120000</v>
      </c>
      <c r="G53" s="516" t="s">
        <v>1346</v>
      </c>
      <c r="H53" s="492">
        <v>10</v>
      </c>
      <c r="I53" s="492">
        <v>1940</v>
      </c>
      <c r="L53" s="492" t="s">
        <v>329</v>
      </c>
      <c r="M53" s="492" t="s">
        <v>775</v>
      </c>
      <c r="N53" s="496" t="s">
        <v>92</v>
      </c>
      <c r="O53" s="496" t="s">
        <v>1046</v>
      </c>
      <c r="P53" s="497">
        <v>57000</v>
      </c>
      <c r="Q53" s="498" t="s">
        <v>1347</v>
      </c>
      <c r="R53" s="492">
        <v>10</v>
      </c>
      <c r="S53" s="492">
        <v>1460</v>
      </c>
      <c r="U53" s="18" t="s">
        <v>1348</v>
      </c>
    </row>
    <row r="54" spans="2:21">
      <c r="B54" s="492" t="s">
        <v>329</v>
      </c>
      <c r="C54" s="492" t="s">
        <v>6</v>
      </c>
      <c r="D54" s="517" t="s">
        <v>1707</v>
      </c>
      <c r="E54" s="517" t="s">
        <v>333</v>
      </c>
      <c r="F54" s="518">
        <v>168000</v>
      </c>
      <c r="G54" s="519" t="s">
        <v>1349</v>
      </c>
      <c r="H54" s="492">
        <v>10</v>
      </c>
      <c r="I54" s="492">
        <v>1941</v>
      </c>
      <c r="L54" s="492" t="s">
        <v>329</v>
      </c>
      <c r="M54" s="492" t="s">
        <v>775</v>
      </c>
      <c r="N54" s="496" t="s">
        <v>146</v>
      </c>
      <c r="O54" s="496" t="s">
        <v>333</v>
      </c>
      <c r="P54" s="497">
        <v>76000</v>
      </c>
      <c r="Q54" s="498" t="s">
        <v>1079</v>
      </c>
      <c r="R54" s="492">
        <v>10</v>
      </c>
      <c r="S54" s="492">
        <v>367</v>
      </c>
      <c r="U54" s="18" t="s">
        <v>1350</v>
      </c>
    </row>
    <row r="55" spans="2:21">
      <c r="B55" s="492" t="s">
        <v>329</v>
      </c>
      <c r="C55" s="492" t="s">
        <v>6</v>
      </c>
      <c r="D55" s="496" t="s">
        <v>239</v>
      </c>
      <c r="E55" s="496" t="s">
        <v>333</v>
      </c>
      <c r="F55" s="515">
        <v>120000</v>
      </c>
      <c r="G55" s="516" t="s">
        <v>1351</v>
      </c>
      <c r="H55" s="492">
        <v>10</v>
      </c>
      <c r="I55" s="492">
        <v>2384</v>
      </c>
      <c r="L55" s="492" t="s">
        <v>329</v>
      </c>
      <c r="M55" s="492" t="s">
        <v>775</v>
      </c>
      <c r="N55" s="499" t="s">
        <v>163</v>
      </c>
      <c r="O55" s="496" t="s">
        <v>1048</v>
      </c>
      <c r="P55" s="500">
        <v>57000</v>
      </c>
      <c r="Q55" s="498" t="s">
        <v>1089</v>
      </c>
      <c r="R55" s="492">
        <v>10</v>
      </c>
      <c r="S55" s="492">
        <v>1535</v>
      </c>
      <c r="U55" s="18" t="s">
        <v>1352</v>
      </c>
    </row>
    <row r="56" spans="2:21">
      <c r="B56" s="492" t="s">
        <v>329</v>
      </c>
      <c r="C56" s="492" t="s">
        <v>6</v>
      </c>
      <c r="D56" s="517" t="s">
        <v>246</v>
      </c>
      <c r="E56" s="517" t="s">
        <v>333</v>
      </c>
      <c r="F56" s="518">
        <v>120000</v>
      </c>
      <c r="G56" s="519" t="s">
        <v>1353</v>
      </c>
      <c r="H56" s="492">
        <v>135</v>
      </c>
      <c r="I56" s="492">
        <v>2389</v>
      </c>
      <c r="L56" s="492" t="s">
        <v>329</v>
      </c>
      <c r="M56" s="492" t="s">
        <v>775</v>
      </c>
      <c r="N56" s="496" t="s">
        <v>214</v>
      </c>
      <c r="O56" s="496" t="s">
        <v>333</v>
      </c>
      <c r="P56" s="497">
        <v>40000</v>
      </c>
      <c r="Q56" s="498" t="s">
        <v>1183</v>
      </c>
      <c r="R56" s="492">
        <v>105</v>
      </c>
      <c r="S56" s="492">
        <v>530</v>
      </c>
      <c r="U56" s="18" t="s">
        <v>1354</v>
      </c>
    </row>
    <row r="57" spans="2:21">
      <c r="B57" s="492" t="s">
        <v>329</v>
      </c>
      <c r="C57" s="492" t="s">
        <v>6</v>
      </c>
      <c r="D57" s="517" t="s">
        <v>252</v>
      </c>
      <c r="E57" s="517" t="s">
        <v>1048</v>
      </c>
      <c r="F57" s="518">
        <v>120000</v>
      </c>
      <c r="G57" s="519" t="s">
        <v>1355</v>
      </c>
      <c r="H57" s="492">
        <v>135</v>
      </c>
      <c r="I57" s="492">
        <v>2402</v>
      </c>
      <c r="L57" s="492" t="s">
        <v>329</v>
      </c>
      <c r="M57" s="492" t="s">
        <v>775</v>
      </c>
      <c r="N57" s="496" t="s">
        <v>237</v>
      </c>
      <c r="O57" s="496" t="s">
        <v>333</v>
      </c>
      <c r="P57" s="497">
        <v>15000</v>
      </c>
      <c r="Q57" s="498" t="s">
        <v>1199</v>
      </c>
      <c r="R57" s="492">
        <v>10</v>
      </c>
      <c r="S57" s="492">
        <v>31</v>
      </c>
      <c r="U57" s="18" t="s">
        <v>1356</v>
      </c>
    </row>
    <row r="58" spans="2:21">
      <c r="B58" s="493" t="s">
        <v>1251</v>
      </c>
      <c r="C58" s="493" t="s">
        <v>6</v>
      </c>
      <c r="D58" s="502" t="s">
        <v>298</v>
      </c>
      <c r="E58" s="502" t="s">
        <v>333</v>
      </c>
      <c r="F58" s="503">
        <v>130000</v>
      </c>
      <c r="G58" s="504" t="s">
        <v>1154</v>
      </c>
      <c r="H58" s="493">
        <v>39</v>
      </c>
      <c r="I58" s="493">
        <v>479</v>
      </c>
      <c r="L58" s="492" t="s">
        <v>329</v>
      </c>
      <c r="M58" s="492" t="s">
        <v>775</v>
      </c>
      <c r="N58" s="496" t="s">
        <v>142</v>
      </c>
      <c r="O58" s="496" t="s">
        <v>333</v>
      </c>
      <c r="P58" s="497">
        <v>36000</v>
      </c>
      <c r="Q58" s="498" t="s">
        <v>1357</v>
      </c>
      <c r="R58" s="492">
        <v>10</v>
      </c>
      <c r="S58" s="492">
        <v>856</v>
      </c>
      <c r="U58" s="18" t="s">
        <v>1358</v>
      </c>
    </row>
    <row r="59" spans="2:21">
      <c r="B59" s="493" t="s">
        <v>1251</v>
      </c>
      <c r="C59" s="493" t="s">
        <v>6</v>
      </c>
      <c r="D59" s="502" t="s">
        <v>178</v>
      </c>
      <c r="E59" s="502" t="s">
        <v>1048</v>
      </c>
      <c r="F59" s="503">
        <v>90000</v>
      </c>
      <c r="G59" s="504" t="s">
        <v>1139</v>
      </c>
      <c r="H59" s="493">
        <v>39</v>
      </c>
      <c r="I59" s="493">
        <v>464</v>
      </c>
      <c r="L59" s="492" t="s">
        <v>329</v>
      </c>
      <c r="M59" s="492" t="s">
        <v>775</v>
      </c>
      <c r="N59" s="496" t="s">
        <v>228</v>
      </c>
      <c r="O59" s="496" t="s">
        <v>333</v>
      </c>
      <c r="P59" s="497">
        <v>36000</v>
      </c>
      <c r="Q59" s="498" t="s">
        <v>1218</v>
      </c>
      <c r="R59" s="492">
        <v>10</v>
      </c>
      <c r="S59" s="492">
        <v>204</v>
      </c>
      <c r="U59" s="18" t="s">
        <v>1359</v>
      </c>
    </row>
    <row r="60" spans="2:21">
      <c r="B60" s="493" t="s">
        <v>1251</v>
      </c>
      <c r="C60" s="493" t="s">
        <v>6</v>
      </c>
      <c r="D60" s="502" t="s">
        <v>245</v>
      </c>
      <c r="E60" s="502" t="s">
        <v>333</v>
      </c>
      <c r="F60" s="503">
        <v>60000</v>
      </c>
      <c r="G60" s="504" t="s">
        <v>1142</v>
      </c>
      <c r="H60" s="493">
        <v>22</v>
      </c>
      <c r="I60" s="493">
        <v>494</v>
      </c>
      <c r="L60" s="492" t="s">
        <v>329</v>
      </c>
      <c r="M60" s="492" t="s">
        <v>775</v>
      </c>
      <c r="N60" s="496" t="s">
        <v>182</v>
      </c>
      <c r="O60" s="496" t="s">
        <v>1048</v>
      </c>
      <c r="P60" s="497">
        <v>50000</v>
      </c>
      <c r="Q60" s="498" t="s">
        <v>1100</v>
      </c>
      <c r="R60" s="492">
        <v>10</v>
      </c>
      <c r="S60" s="492">
        <v>52</v>
      </c>
      <c r="U60" s="18" t="s">
        <v>1360</v>
      </c>
    </row>
    <row r="61" spans="2:21">
      <c r="B61" s="493" t="s">
        <v>1251</v>
      </c>
      <c r="C61" s="493" t="s">
        <v>6</v>
      </c>
      <c r="D61" s="502" t="s">
        <v>318</v>
      </c>
      <c r="E61" s="502" t="s">
        <v>1048</v>
      </c>
      <c r="F61" s="503">
        <v>60000</v>
      </c>
      <c r="G61" s="504" t="s">
        <v>1151</v>
      </c>
      <c r="H61" s="493">
        <v>22</v>
      </c>
      <c r="I61" s="493">
        <v>481</v>
      </c>
      <c r="L61" s="492" t="s">
        <v>329</v>
      </c>
      <c r="M61" s="492" t="s">
        <v>775</v>
      </c>
      <c r="N61" s="496" t="s">
        <v>225</v>
      </c>
      <c r="O61" s="496" t="s">
        <v>333</v>
      </c>
      <c r="P61" s="497">
        <v>76000</v>
      </c>
      <c r="Q61" s="498" t="s">
        <v>1201</v>
      </c>
      <c r="R61" s="492">
        <v>10</v>
      </c>
      <c r="S61" s="492">
        <v>1183</v>
      </c>
      <c r="U61" s="18" t="s">
        <v>1361</v>
      </c>
    </row>
    <row r="62" spans="2:21">
      <c r="B62" s="493" t="s">
        <v>1251</v>
      </c>
      <c r="C62" s="493" t="s">
        <v>6</v>
      </c>
      <c r="D62" s="502" t="s">
        <v>315</v>
      </c>
      <c r="E62" s="502" t="s">
        <v>333</v>
      </c>
      <c r="F62" s="503">
        <v>120000</v>
      </c>
      <c r="G62" s="504" t="s">
        <v>1148</v>
      </c>
      <c r="H62" s="493">
        <v>10</v>
      </c>
      <c r="I62" s="493">
        <v>115</v>
      </c>
      <c r="L62" s="492" t="s">
        <v>329</v>
      </c>
      <c r="M62" s="492" t="s">
        <v>775</v>
      </c>
      <c r="N62" s="499" t="s">
        <v>230</v>
      </c>
      <c r="O62" s="499" t="s">
        <v>333</v>
      </c>
      <c r="P62" s="500">
        <v>57000</v>
      </c>
      <c r="Q62" s="498" t="s">
        <v>1217</v>
      </c>
      <c r="R62" s="492">
        <v>123</v>
      </c>
      <c r="S62" s="492">
        <v>1536</v>
      </c>
      <c r="U62" s="18" t="s">
        <v>1362</v>
      </c>
    </row>
    <row r="63" spans="2:21">
      <c r="B63" s="493" t="s">
        <v>1251</v>
      </c>
      <c r="C63" s="493" t="s">
        <v>6</v>
      </c>
      <c r="D63" s="502" t="s">
        <v>243</v>
      </c>
      <c r="E63" s="502" t="s">
        <v>333</v>
      </c>
      <c r="F63" s="503">
        <v>120000</v>
      </c>
      <c r="G63" s="504" t="s">
        <v>1363</v>
      </c>
      <c r="H63" s="493">
        <v>29</v>
      </c>
      <c r="I63" s="493">
        <v>2238</v>
      </c>
      <c r="L63" s="492" t="s">
        <v>329</v>
      </c>
      <c r="M63" s="492" t="s">
        <v>775</v>
      </c>
      <c r="N63" s="499" t="s">
        <v>140</v>
      </c>
      <c r="O63" s="499" t="s">
        <v>1048</v>
      </c>
      <c r="P63" s="500">
        <v>57000</v>
      </c>
      <c r="Q63" s="498" t="s">
        <v>1070</v>
      </c>
      <c r="R63" s="492">
        <v>123</v>
      </c>
      <c r="S63" s="492">
        <v>1537</v>
      </c>
      <c r="U63" s="18" t="s">
        <v>1364</v>
      </c>
    </row>
    <row r="64" spans="2:21">
      <c r="B64" s="494" t="s">
        <v>1281</v>
      </c>
      <c r="C64" s="494" t="s">
        <v>6</v>
      </c>
      <c r="D64" s="505" t="s">
        <v>735</v>
      </c>
      <c r="E64" s="505" t="s">
        <v>333</v>
      </c>
      <c r="F64" s="520">
        <v>40000</v>
      </c>
      <c r="G64" s="521" t="s">
        <v>1365</v>
      </c>
      <c r="H64" s="494">
        <v>225</v>
      </c>
      <c r="I64" s="494">
        <v>3001</v>
      </c>
      <c r="L64" s="492" t="s">
        <v>329</v>
      </c>
      <c r="M64" s="492" t="s">
        <v>775</v>
      </c>
      <c r="N64" s="499" t="s">
        <v>172</v>
      </c>
      <c r="O64" s="499" t="s">
        <v>1046</v>
      </c>
      <c r="P64" s="500">
        <v>57000</v>
      </c>
      <c r="Q64" s="498" t="s">
        <v>1104</v>
      </c>
      <c r="R64" s="492">
        <v>123</v>
      </c>
      <c r="S64" s="492">
        <v>1538</v>
      </c>
      <c r="U64" s="18" t="s">
        <v>1366</v>
      </c>
    </row>
    <row r="65" spans="2:21">
      <c r="B65" s="494" t="s">
        <v>1281</v>
      </c>
      <c r="C65" s="494" t="s">
        <v>6</v>
      </c>
      <c r="D65" s="505" t="s">
        <v>730</v>
      </c>
      <c r="E65" s="505" t="s">
        <v>1048</v>
      </c>
      <c r="F65" s="520">
        <v>32000</v>
      </c>
      <c r="G65" s="521" t="s">
        <v>1367</v>
      </c>
      <c r="H65" s="494">
        <v>225</v>
      </c>
      <c r="I65" s="494">
        <v>3002</v>
      </c>
      <c r="L65" s="492" t="s">
        <v>329</v>
      </c>
      <c r="M65" s="492" t="s">
        <v>775</v>
      </c>
      <c r="N65" s="499" t="s">
        <v>176</v>
      </c>
      <c r="O65" s="499" t="s">
        <v>1088</v>
      </c>
      <c r="P65" s="500">
        <v>57000</v>
      </c>
      <c r="Q65" s="498" t="s">
        <v>1102</v>
      </c>
      <c r="R65" s="492">
        <v>123</v>
      </c>
      <c r="S65" s="492">
        <v>1539</v>
      </c>
      <c r="U65" s="18" t="s">
        <v>1368</v>
      </c>
    </row>
    <row r="66" spans="2:21">
      <c r="B66" s="494" t="s">
        <v>1281</v>
      </c>
      <c r="C66" s="494" t="s">
        <v>6</v>
      </c>
      <c r="D66" s="505" t="s">
        <v>728</v>
      </c>
      <c r="E66" s="505" t="s">
        <v>1046</v>
      </c>
      <c r="F66" s="520">
        <v>41000</v>
      </c>
      <c r="G66" s="521" t="s">
        <v>1369</v>
      </c>
      <c r="H66" s="494">
        <v>225</v>
      </c>
      <c r="I66" s="494">
        <v>3003</v>
      </c>
      <c r="L66" s="492" t="s">
        <v>329</v>
      </c>
      <c r="M66" s="492" t="s">
        <v>775</v>
      </c>
      <c r="N66" s="496" t="s">
        <v>145</v>
      </c>
      <c r="O66" s="496" t="s">
        <v>333</v>
      </c>
      <c r="P66" s="497">
        <v>36000</v>
      </c>
      <c r="Q66" s="498" t="s">
        <v>1085</v>
      </c>
      <c r="R66" s="492">
        <v>90</v>
      </c>
      <c r="S66" s="492">
        <v>861</v>
      </c>
      <c r="U66" s="18" t="s">
        <v>1370</v>
      </c>
    </row>
    <row r="67" spans="2:21">
      <c r="B67" s="494" t="s">
        <v>1281</v>
      </c>
      <c r="C67" s="494" t="s">
        <v>6</v>
      </c>
      <c r="D67" s="505" t="s">
        <v>726</v>
      </c>
      <c r="E67" s="505" t="s">
        <v>333</v>
      </c>
      <c r="F67" s="520">
        <v>32000</v>
      </c>
      <c r="G67" s="521" t="s">
        <v>1371</v>
      </c>
      <c r="H67" s="494">
        <v>222</v>
      </c>
      <c r="I67" s="494">
        <v>3004</v>
      </c>
      <c r="L67" s="492" t="s">
        <v>329</v>
      </c>
      <c r="M67" s="492" t="s">
        <v>775</v>
      </c>
      <c r="N67" s="496" t="s">
        <v>77</v>
      </c>
      <c r="O67" s="496" t="s">
        <v>333</v>
      </c>
      <c r="P67" s="497">
        <v>40000</v>
      </c>
      <c r="Q67" s="498" t="s">
        <v>1372</v>
      </c>
      <c r="R67" s="492">
        <v>25</v>
      </c>
      <c r="S67" s="492">
        <v>553</v>
      </c>
      <c r="U67" s="18" t="s">
        <v>1373</v>
      </c>
    </row>
    <row r="68" spans="2:21">
      <c r="B68" s="494" t="s">
        <v>1281</v>
      </c>
      <c r="C68" s="494" t="s">
        <v>6</v>
      </c>
      <c r="D68" s="505" t="s">
        <v>725</v>
      </c>
      <c r="E68" s="505" t="s">
        <v>1048</v>
      </c>
      <c r="F68" s="520">
        <v>32000</v>
      </c>
      <c r="G68" s="521" t="s">
        <v>1374</v>
      </c>
      <c r="H68" s="494">
        <v>222</v>
      </c>
      <c r="I68" s="494">
        <v>3005</v>
      </c>
      <c r="L68" s="1084" t="s">
        <v>329</v>
      </c>
      <c r="M68" s="1084" t="s">
        <v>775</v>
      </c>
      <c r="N68" s="1085" t="s">
        <v>102</v>
      </c>
      <c r="O68" s="1085" t="s">
        <v>333</v>
      </c>
      <c r="P68" s="1281" t="s">
        <v>1375</v>
      </c>
      <c r="Q68" s="1086" t="s">
        <v>1061</v>
      </c>
      <c r="R68" s="1084">
        <v>10</v>
      </c>
      <c r="S68" s="1084">
        <v>179</v>
      </c>
      <c r="U68" s="18" t="e">
        <f>VLOOKUP(N68,[3]Planilha1!$A$5:$B$72,2,0)</f>
        <v>#N/A</v>
      </c>
    </row>
    <row r="69" spans="2:21">
      <c r="B69" s="494" t="s">
        <v>1281</v>
      </c>
      <c r="C69" s="494" t="s">
        <v>6</v>
      </c>
      <c r="D69" s="505" t="s">
        <v>722</v>
      </c>
      <c r="E69" s="505" t="s">
        <v>333</v>
      </c>
      <c r="F69" s="520">
        <v>28000</v>
      </c>
      <c r="G69" s="521" t="s">
        <v>1376</v>
      </c>
      <c r="H69" s="494">
        <v>229</v>
      </c>
      <c r="I69" s="494">
        <v>3006</v>
      </c>
      <c r="L69" s="492" t="s">
        <v>329</v>
      </c>
      <c r="M69" s="492" t="s">
        <v>775</v>
      </c>
      <c r="N69" s="496" t="s">
        <v>99</v>
      </c>
      <c r="O69" s="496" t="s">
        <v>333</v>
      </c>
      <c r="P69" s="497">
        <v>57000</v>
      </c>
      <c r="Q69" s="498" t="s">
        <v>1051</v>
      </c>
      <c r="R69" s="492">
        <v>10</v>
      </c>
      <c r="S69" s="492">
        <v>397</v>
      </c>
      <c r="U69" s="18" t="s">
        <v>1377</v>
      </c>
    </row>
    <row r="70" spans="2:21">
      <c r="B70" s="494" t="s">
        <v>1281</v>
      </c>
      <c r="C70" s="494" t="s">
        <v>6</v>
      </c>
      <c r="D70" s="505" t="s">
        <v>710</v>
      </c>
      <c r="E70" s="505" t="s">
        <v>333</v>
      </c>
      <c r="F70" s="520">
        <v>32000</v>
      </c>
      <c r="G70" s="521" t="s">
        <v>1378</v>
      </c>
      <c r="H70" s="494">
        <v>221</v>
      </c>
      <c r="I70" s="494">
        <v>3008</v>
      </c>
      <c r="L70" s="1084" t="s">
        <v>329</v>
      </c>
      <c r="M70" s="1084" t="s">
        <v>775</v>
      </c>
      <c r="N70" s="1085" t="s">
        <v>97</v>
      </c>
      <c r="O70" s="1085" t="s">
        <v>333</v>
      </c>
      <c r="P70" s="1281" t="s">
        <v>1379</v>
      </c>
      <c r="Q70" s="1086" t="s">
        <v>1380</v>
      </c>
      <c r="R70" s="1084">
        <v>10</v>
      </c>
      <c r="S70" s="1084">
        <v>734</v>
      </c>
      <c r="U70" s="18" t="e">
        <f>VLOOKUP(N70,[3]Planilha1!$A$5:$B$72,2,0)</f>
        <v>#N/A</v>
      </c>
    </row>
    <row r="71" spans="2:21">
      <c r="B71" s="494" t="s">
        <v>1281</v>
      </c>
      <c r="C71" s="494" t="s">
        <v>6</v>
      </c>
      <c r="D71" s="505" t="s">
        <v>711</v>
      </c>
      <c r="E71" s="505" t="s">
        <v>1048</v>
      </c>
      <c r="F71" s="520">
        <v>16000</v>
      </c>
      <c r="G71" s="521" t="s">
        <v>1381</v>
      </c>
      <c r="H71" s="494">
        <v>221</v>
      </c>
      <c r="I71" s="494">
        <v>3009</v>
      </c>
      <c r="L71" s="1084" t="s">
        <v>1290</v>
      </c>
      <c r="M71" s="1084" t="s">
        <v>775</v>
      </c>
      <c r="N71" s="1085" t="s">
        <v>64</v>
      </c>
      <c r="O71" s="1085" t="s">
        <v>333</v>
      </c>
      <c r="P71" s="1281" t="s">
        <v>515</v>
      </c>
      <c r="Q71" s="1086" t="s">
        <v>1382</v>
      </c>
      <c r="R71" s="1084">
        <v>102</v>
      </c>
      <c r="S71" s="1084">
        <v>351</v>
      </c>
      <c r="U71" s="18" t="e">
        <f>VLOOKUP(N71,[3]Planilha1!$A$5:$B$72,2,0)</f>
        <v>#N/A</v>
      </c>
    </row>
    <row r="72" spans="2:21">
      <c r="B72" s="494" t="s">
        <v>1281</v>
      </c>
      <c r="C72" s="494" t="s">
        <v>6</v>
      </c>
      <c r="D72" s="505" t="s">
        <v>713</v>
      </c>
      <c r="E72" s="505" t="s">
        <v>1046</v>
      </c>
      <c r="F72" s="520">
        <v>32000</v>
      </c>
      <c r="G72" s="521" t="s">
        <v>1383</v>
      </c>
      <c r="H72" s="494">
        <v>221</v>
      </c>
      <c r="I72" s="494">
        <v>3010</v>
      </c>
      <c r="L72" s="492" t="s">
        <v>329</v>
      </c>
      <c r="M72" s="492" t="s">
        <v>775</v>
      </c>
      <c r="N72" s="496" t="s">
        <v>202</v>
      </c>
      <c r="O72" s="496" t="s">
        <v>333</v>
      </c>
      <c r="P72" s="497">
        <v>36000</v>
      </c>
      <c r="Q72" s="498" t="s">
        <v>1184</v>
      </c>
      <c r="R72" s="492">
        <v>111</v>
      </c>
      <c r="S72" s="492">
        <v>1534</v>
      </c>
      <c r="U72" s="18" t="s">
        <v>1384</v>
      </c>
    </row>
    <row r="73" spans="2:21">
      <c r="B73" s="494" t="s">
        <v>1281</v>
      </c>
      <c r="C73" s="494" t="s">
        <v>6</v>
      </c>
      <c r="D73" s="505" t="s">
        <v>724</v>
      </c>
      <c r="E73" s="505" t="s">
        <v>333</v>
      </c>
      <c r="F73" s="520">
        <v>17000</v>
      </c>
      <c r="G73" s="521" t="s">
        <v>1385</v>
      </c>
      <c r="H73" s="494">
        <v>227</v>
      </c>
      <c r="I73" s="494">
        <v>3015</v>
      </c>
      <c r="L73" s="1084" t="s">
        <v>329</v>
      </c>
      <c r="M73" s="1084" t="s">
        <v>775</v>
      </c>
      <c r="N73" s="1085" t="s">
        <v>39</v>
      </c>
      <c r="O73" s="1085" t="s">
        <v>333</v>
      </c>
      <c r="P73" s="1281" t="s">
        <v>515</v>
      </c>
      <c r="Q73" s="1086" t="s">
        <v>1386</v>
      </c>
      <c r="R73" s="1084">
        <v>10</v>
      </c>
      <c r="S73" s="1084">
        <v>735</v>
      </c>
      <c r="U73" s="18" t="e">
        <f>VLOOKUP(N73,[3]Planilha1!$A$5:$B$72,2,0)</f>
        <v>#N/A</v>
      </c>
    </row>
    <row r="74" spans="2:21">
      <c r="B74" s="494" t="s">
        <v>1281</v>
      </c>
      <c r="C74" s="494" t="s">
        <v>6</v>
      </c>
      <c r="D74" s="505" t="s">
        <v>732</v>
      </c>
      <c r="E74" s="505" t="s">
        <v>1048</v>
      </c>
      <c r="F74" s="520">
        <v>16500</v>
      </c>
      <c r="G74" s="521" t="s">
        <v>1387</v>
      </c>
      <c r="H74" s="494">
        <v>227</v>
      </c>
      <c r="I74" s="494">
        <v>3016</v>
      </c>
      <c r="L74" s="492" t="s">
        <v>329</v>
      </c>
      <c r="M74" s="492" t="s">
        <v>775</v>
      </c>
      <c r="N74" s="496" t="s">
        <v>223</v>
      </c>
      <c r="O74" s="496" t="s">
        <v>333</v>
      </c>
      <c r="P74" s="497">
        <v>25000</v>
      </c>
      <c r="Q74" s="498" t="s">
        <v>1187</v>
      </c>
      <c r="R74" s="492">
        <v>10</v>
      </c>
      <c r="S74" s="492">
        <v>34</v>
      </c>
      <c r="U74" s="18" t="s">
        <v>1388</v>
      </c>
    </row>
    <row r="75" spans="2:21">
      <c r="B75" s="494" t="s">
        <v>1281</v>
      </c>
      <c r="C75" s="494" t="s">
        <v>6</v>
      </c>
      <c r="D75" s="505" t="s">
        <v>720</v>
      </c>
      <c r="E75" s="505" t="s">
        <v>1046</v>
      </c>
      <c r="F75" s="520">
        <v>17000</v>
      </c>
      <c r="G75" s="521" t="s">
        <v>1389</v>
      </c>
      <c r="H75" s="494">
        <v>227</v>
      </c>
      <c r="I75" s="494">
        <v>3017</v>
      </c>
      <c r="L75" s="1084" t="s">
        <v>329</v>
      </c>
      <c r="M75" s="1084" t="s">
        <v>775</v>
      </c>
      <c r="N75" s="1085" t="s">
        <v>208</v>
      </c>
      <c r="O75" s="1085" t="s">
        <v>333</v>
      </c>
      <c r="P75" s="1281" t="s">
        <v>1390</v>
      </c>
      <c r="Q75" s="1086" t="s">
        <v>1195</v>
      </c>
      <c r="R75" s="1084">
        <v>10</v>
      </c>
      <c r="S75" s="1084">
        <v>274</v>
      </c>
      <c r="U75" s="18" t="s">
        <v>1391</v>
      </c>
    </row>
    <row r="76" spans="2:21">
      <c r="B76" s="494" t="s">
        <v>1281</v>
      </c>
      <c r="C76" s="494" t="s">
        <v>6</v>
      </c>
      <c r="D76" s="505" t="s">
        <v>709</v>
      </c>
      <c r="E76" s="505" t="s">
        <v>1088</v>
      </c>
      <c r="F76" s="520">
        <v>17000</v>
      </c>
      <c r="G76" s="521" t="s">
        <v>1392</v>
      </c>
      <c r="H76" s="494">
        <v>227</v>
      </c>
      <c r="I76" s="494">
        <v>3018</v>
      </c>
      <c r="L76" s="492" t="s">
        <v>1290</v>
      </c>
      <c r="M76" s="492" t="s">
        <v>775</v>
      </c>
      <c r="N76" s="496" t="s">
        <v>126</v>
      </c>
      <c r="O76" s="496" t="s">
        <v>333</v>
      </c>
      <c r="P76" s="497">
        <v>30000</v>
      </c>
      <c r="Q76" s="498" t="s">
        <v>1065</v>
      </c>
      <c r="R76" s="492">
        <v>101</v>
      </c>
      <c r="S76" s="492">
        <v>1079</v>
      </c>
      <c r="U76" s="18" t="s">
        <v>1393</v>
      </c>
    </row>
    <row r="77" spans="2:21">
      <c r="B77" s="494" t="s">
        <v>1281</v>
      </c>
      <c r="C77" s="494" t="s">
        <v>6</v>
      </c>
      <c r="D77" s="505" t="s">
        <v>712</v>
      </c>
      <c r="E77" s="505" t="s">
        <v>1057</v>
      </c>
      <c r="F77" s="520">
        <v>17000</v>
      </c>
      <c r="G77" s="521" t="s">
        <v>1394</v>
      </c>
      <c r="H77" s="494">
        <v>227</v>
      </c>
      <c r="I77" s="494">
        <v>3019</v>
      </c>
      <c r="L77" s="492" t="s">
        <v>1290</v>
      </c>
      <c r="M77" s="492" t="s">
        <v>775</v>
      </c>
      <c r="N77" s="496" t="s">
        <v>117</v>
      </c>
      <c r="O77" s="496" t="s">
        <v>333</v>
      </c>
      <c r="P77" s="497">
        <v>58000</v>
      </c>
      <c r="Q77" s="498" t="s">
        <v>1064</v>
      </c>
      <c r="R77" s="492">
        <v>13</v>
      </c>
      <c r="S77" s="492">
        <v>1080</v>
      </c>
      <c r="U77" s="18" t="s">
        <v>1395</v>
      </c>
    </row>
    <row r="78" spans="2:21">
      <c r="B78" s="494" t="s">
        <v>1281</v>
      </c>
      <c r="C78" s="494" t="s">
        <v>6</v>
      </c>
      <c r="D78" s="505" t="s">
        <v>714</v>
      </c>
      <c r="E78" s="505" t="s">
        <v>1076</v>
      </c>
      <c r="F78" s="520">
        <v>17000</v>
      </c>
      <c r="G78" s="521" t="s">
        <v>1396</v>
      </c>
      <c r="H78" s="494">
        <v>227</v>
      </c>
      <c r="I78" s="494">
        <v>3020</v>
      </c>
      <c r="L78" s="492" t="s">
        <v>1290</v>
      </c>
      <c r="M78" s="492" t="s">
        <v>775</v>
      </c>
      <c r="N78" s="496" t="s">
        <v>219</v>
      </c>
      <c r="O78" s="496" t="s">
        <v>333</v>
      </c>
      <c r="P78" s="497">
        <v>40000</v>
      </c>
      <c r="Q78" s="498" t="s">
        <v>1200</v>
      </c>
      <c r="R78" s="492">
        <v>13</v>
      </c>
      <c r="S78" s="492">
        <v>258</v>
      </c>
      <c r="U78" s="301" t="s">
        <v>1397</v>
      </c>
    </row>
    <row r="79" spans="2:21">
      <c r="B79" s="494" t="s">
        <v>1281</v>
      </c>
      <c r="C79" s="494" t="s">
        <v>6</v>
      </c>
      <c r="D79" s="505" t="s">
        <v>717</v>
      </c>
      <c r="E79" s="505" t="s">
        <v>1078</v>
      </c>
      <c r="F79" s="520">
        <v>17000</v>
      </c>
      <c r="G79" s="521" t="s">
        <v>1398</v>
      </c>
      <c r="H79" s="494">
        <v>227</v>
      </c>
      <c r="I79" s="494">
        <v>3021</v>
      </c>
      <c r="L79" s="492" t="s">
        <v>329</v>
      </c>
      <c r="M79" s="492" t="s">
        <v>775</v>
      </c>
      <c r="N79" s="496" t="s">
        <v>87</v>
      </c>
      <c r="O79" s="496" t="s">
        <v>333</v>
      </c>
      <c r="P79" s="497">
        <v>57000</v>
      </c>
      <c r="Q79" s="498" t="s">
        <v>1055</v>
      </c>
      <c r="R79" s="492">
        <v>118</v>
      </c>
      <c r="S79" s="492">
        <v>832</v>
      </c>
      <c r="U79" s="18" t="s">
        <v>1399</v>
      </c>
    </row>
    <row r="80" spans="2:21">
      <c r="B80" s="494" t="s">
        <v>1281</v>
      </c>
      <c r="C80" s="494" t="s">
        <v>6</v>
      </c>
      <c r="D80" s="505" t="s">
        <v>741</v>
      </c>
      <c r="E80" s="505" t="s">
        <v>1400</v>
      </c>
      <c r="F80" s="520">
        <v>17000</v>
      </c>
      <c r="G80" s="521" t="s">
        <v>1401</v>
      </c>
      <c r="H80" s="494">
        <v>227</v>
      </c>
      <c r="I80" s="494">
        <v>3022</v>
      </c>
      <c r="L80" s="492" t="s">
        <v>329</v>
      </c>
      <c r="M80" s="492" t="s">
        <v>775</v>
      </c>
      <c r="N80" s="496" t="s">
        <v>158</v>
      </c>
      <c r="O80" s="496" t="s">
        <v>1048</v>
      </c>
      <c r="P80" s="497">
        <v>57000</v>
      </c>
      <c r="Q80" s="498" t="s">
        <v>1093</v>
      </c>
      <c r="R80" s="492">
        <v>118</v>
      </c>
      <c r="S80" s="492">
        <v>863</v>
      </c>
      <c r="U80" s="18" t="s">
        <v>1402</v>
      </c>
    </row>
    <row r="81" spans="2:21">
      <c r="B81" s="494" t="s">
        <v>1281</v>
      </c>
      <c r="C81" s="494" t="s">
        <v>6</v>
      </c>
      <c r="D81" s="505" t="s">
        <v>719</v>
      </c>
      <c r="E81" s="505" t="s">
        <v>1403</v>
      </c>
      <c r="F81" s="520">
        <v>56000</v>
      </c>
      <c r="G81" s="521" t="s">
        <v>1404</v>
      </c>
      <c r="H81" s="494">
        <v>220</v>
      </c>
      <c r="I81" s="494">
        <v>3011</v>
      </c>
      <c r="L81" s="492" t="s">
        <v>329</v>
      </c>
      <c r="M81" s="492" t="s">
        <v>775</v>
      </c>
      <c r="N81" s="496" t="s">
        <v>184</v>
      </c>
      <c r="O81" s="496" t="s">
        <v>1046</v>
      </c>
      <c r="P81" s="497">
        <v>57000</v>
      </c>
      <c r="Q81" s="498" t="s">
        <v>1167</v>
      </c>
      <c r="R81" s="492">
        <v>118</v>
      </c>
      <c r="S81" s="492">
        <v>1081</v>
      </c>
      <c r="U81" s="18" t="s">
        <v>1405</v>
      </c>
    </row>
    <row r="82" spans="2:21">
      <c r="B82" s="494" t="s">
        <v>1281</v>
      </c>
      <c r="C82" s="494" t="s">
        <v>6</v>
      </c>
      <c r="D82" s="505" t="s">
        <v>716</v>
      </c>
      <c r="E82" s="505" t="s">
        <v>1406</v>
      </c>
      <c r="F82" s="520">
        <v>56000</v>
      </c>
      <c r="G82" s="521" t="s">
        <v>1407</v>
      </c>
      <c r="H82" s="494">
        <v>220</v>
      </c>
      <c r="I82" s="494">
        <v>3012</v>
      </c>
      <c r="L82" s="492" t="s">
        <v>329</v>
      </c>
      <c r="M82" s="492" t="s">
        <v>775</v>
      </c>
      <c r="N82" s="496" t="s">
        <v>50</v>
      </c>
      <c r="O82" s="496" t="s">
        <v>333</v>
      </c>
      <c r="P82" s="497">
        <v>57000</v>
      </c>
      <c r="Q82" s="498" t="s">
        <v>1408</v>
      </c>
      <c r="R82" s="492">
        <v>10</v>
      </c>
      <c r="S82" s="492">
        <v>329</v>
      </c>
      <c r="U82" s="18" t="s">
        <v>1409</v>
      </c>
    </row>
    <row r="83" spans="2:21">
      <c r="B83" s="494" t="s">
        <v>1281</v>
      </c>
      <c r="C83" s="494" t="s">
        <v>6</v>
      </c>
      <c r="D83" s="505" t="s">
        <v>718</v>
      </c>
      <c r="E83" s="505" t="s">
        <v>1410</v>
      </c>
      <c r="F83" s="520">
        <v>56000</v>
      </c>
      <c r="G83" s="521" t="s">
        <v>1411</v>
      </c>
      <c r="H83" s="494">
        <v>220</v>
      </c>
      <c r="I83" s="494">
        <v>3013</v>
      </c>
      <c r="L83" s="492" t="s">
        <v>329</v>
      </c>
      <c r="M83" s="492" t="s">
        <v>775</v>
      </c>
      <c r="N83" s="496" t="s">
        <v>161</v>
      </c>
      <c r="O83" s="496" t="s">
        <v>1048</v>
      </c>
      <c r="P83" s="497">
        <v>57000</v>
      </c>
      <c r="Q83" s="498" t="s">
        <v>1096</v>
      </c>
      <c r="R83" s="492">
        <v>10</v>
      </c>
      <c r="S83" s="492">
        <v>368</v>
      </c>
      <c r="U83" s="18" t="s">
        <v>1412</v>
      </c>
    </row>
    <row r="84" spans="2:21">
      <c r="B84" s="494" t="s">
        <v>1281</v>
      </c>
      <c r="C84" s="494" t="s">
        <v>6</v>
      </c>
      <c r="D84" s="505" t="s">
        <v>715</v>
      </c>
      <c r="E84" s="505" t="s">
        <v>1413</v>
      </c>
      <c r="F84" s="520">
        <v>56000</v>
      </c>
      <c r="G84" s="521" t="s">
        <v>1414</v>
      </c>
      <c r="H84" s="494">
        <v>220</v>
      </c>
      <c r="I84" s="494">
        <v>3014</v>
      </c>
      <c r="L84" s="492" t="s">
        <v>1290</v>
      </c>
      <c r="M84" s="492" t="s">
        <v>775</v>
      </c>
      <c r="N84" s="496" t="s">
        <v>195</v>
      </c>
      <c r="O84" s="496" t="s">
        <v>333</v>
      </c>
      <c r="P84" s="497">
        <v>30000</v>
      </c>
      <c r="Q84" s="498" t="s">
        <v>1173</v>
      </c>
      <c r="R84" s="492">
        <v>93</v>
      </c>
      <c r="S84" s="492">
        <v>261</v>
      </c>
      <c r="U84" s="18" t="s">
        <v>1415</v>
      </c>
    </row>
    <row r="85" spans="2:21">
      <c r="B85" s="495" t="s">
        <v>220</v>
      </c>
      <c r="C85" s="495" t="s">
        <v>6</v>
      </c>
      <c r="D85" s="508" t="s">
        <v>777</v>
      </c>
      <c r="E85" s="508" t="s">
        <v>333</v>
      </c>
      <c r="F85" s="522">
        <v>108000</v>
      </c>
      <c r="G85" s="523" t="s">
        <v>1110</v>
      </c>
      <c r="H85" s="495">
        <v>12</v>
      </c>
      <c r="I85" s="495">
        <v>122</v>
      </c>
      <c r="L85" s="492" t="s">
        <v>1290</v>
      </c>
      <c r="M85" s="492" t="s">
        <v>775</v>
      </c>
      <c r="N85" s="496" t="s">
        <v>166</v>
      </c>
      <c r="O85" s="496" t="s">
        <v>333</v>
      </c>
      <c r="P85" s="497">
        <v>24000</v>
      </c>
      <c r="Q85" s="498" t="s">
        <v>1098</v>
      </c>
      <c r="R85" s="492">
        <v>108</v>
      </c>
      <c r="S85" s="492">
        <v>1387</v>
      </c>
      <c r="U85" s="18" t="s">
        <v>1416</v>
      </c>
    </row>
    <row r="86" spans="2:21">
      <c r="B86" s="1280" t="s">
        <v>220</v>
      </c>
      <c r="C86" s="495" t="s">
        <v>6</v>
      </c>
      <c r="D86" s="508" t="s">
        <v>784</v>
      </c>
      <c r="E86" s="508" t="s">
        <v>1048</v>
      </c>
      <c r="F86" s="522">
        <v>108000</v>
      </c>
      <c r="G86" s="523" t="s">
        <v>1106</v>
      </c>
      <c r="H86" s="495">
        <v>12</v>
      </c>
      <c r="I86" s="495">
        <v>100</v>
      </c>
      <c r="L86" s="492" t="s">
        <v>329</v>
      </c>
      <c r="M86" s="492" t="s">
        <v>775</v>
      </c>
      <c r="N86" s="496" t="s">
        <v>170</v>
      </c>
      <c r="O86" s="496" t="s">
        <v>333</v>
      </c>
      <c r="P86" s="497">
        <v>36000</v>
      </c>
      <c r="Q86" s="498" t="s">
        <v>1169</v>
      </c>
      <c r="R86" s="492">
        <v>26</v>
      </c>
      <c r="S86" s="492">
        <v>166</v>
      </c>
      <c r="U86" s="18" t="s">
        <v>1417</v>
      </c>
    </row>
    <row r="87" spans="2:21">
      <c r="B87" s="1280" t="s">
        <v>220</v>
      </c>
      <c r="C87" s="495" t="s">
        <v>6</v>
      </c>
      <c r="D87" s="508" t="s">
        <v>221</v>
      </c>
      <c r="E87" s="508" t="s">
        <v>1046</v>
      </c>
      <c r="F87" s="522">
        <v>108000</v>
      </c>
      <c r="G87" s="523" t="s">
        <v>1114</v>
      </c>
      <c r="H87" s="495">
        <v>12</v>
      </c>
      <c r="I87" s="495">
        <v>99</v>
      </c>
      <c r="L87" s="492" t="s">
        <v>329</v>
      </c>
      <c r="M87" s="492" t="s">
        <v>775</v>
      </c>
      <c r="N87" s="496" t="s">
        <v>136</v>
      </c>
      <c r="O87" s="496" t="s">
        <v>1048</v>
      </c>
      <c r="P87" s="497">
        <v>36000</v>
      </c>
      <c r="Q87" s="498" t="s">
        <v>1418</v>
      </c>
      <c r="R87" s="492">
        <v>26</v>
      </c>
      <c r="S87" s="492">
        <v>167</v>
      </c>
      <c r="U87" s="18" t="s">
        <v>1419</v>
      </c>
    </row>
    <row r="88" spans="2:21">
      <c r="B88" s="1280" t="s">
        <v>220</v>
      </c>
      <c r="C88" s="495" t="s">
        <v>6</v>
      </c>
      <c r="D88" s="508" t="s">
        <v>782</v>
      </c>
      <c r="E88" s="508" t="s">
        <v>1088</v>
      </c>
      <c r="F88" s="522">
        <v>108000</v>
      </c>
      <c r="G88" s="523" t="s">
        <v>1121</v>
      </c>
      <c r="H88" s="495">
        <v>12</v>
      </c>
      <c r="I88" s="495">
        <v>98</v>
      </c>
      <c r="L88" s="492" t="s">
        <v>329</v>
      </c>
      <c r="M88" s="492" t="s">
        <v>775</v>
      </c>
      <c r="N88" s="496" t="s">
        <v>210</v>
      </c>
      <c r="O88" s="496" t="s">
        <v>1048</v>
      </c>
      <c r="P88" s="497">
        <v>48000</v>
      </c>
      <c r="Q88" s="498" t="s">
        <v>1194</v>
      </c>
      <c r="R88" s="492">
        <v>10</v>
      </c>
      <c r="S88" s="492">
        <v>46</v>
      </c>
      <c r="U88" s="18" t="s">
        <v>1420</v>
      </c>
    </row>
    <row r="89" spans="2:21">
      <c r="B89" s="528" t="s">
        <v>1421</v>
      </c>
      <c r="C89" s="528" t="s">
        <v>6</v>
      </c>
      <c r="D89" s="501" t="s">
        <v>531</v>
      </c>
      <c r="E89" s="501" t="s">
        <v>333</v>
      </c>
      <c r="F89" s="529">
        <v>96000</v>
      </c>
      <c r="G89" s="530" t="s">
        <v>1422</v>
      </c>
      <c r="H89" s="528">
        <v>132</v>
      </c>
      <c r="I89" s="528">
        <v>2414</v>
      </c>
      <c r="L89" s="492" t="s">
        <v>329</v>
      </c>
      <c r="M89" s="492" t="s">
        <v>775</v>
      </c>
      <c r="N89" s="496" t="s">
        <v>121</v>
      </c>
      <c r="O89" s="496" t="s">
        <v>1046</v>
      </c>
      <c r="P89" s="497">
        <v>48000</v>
      </c>
      <c r="Q89" s="498" t="s">
        <v>1059</v>
      </c>
      <c r="R89" s="492">
        <v>10</v>
      </c>
      <c r="S89" s="492">
        <v>858</v>
      </c>
      <c r="U89" s="18" t="s">
        <v>1423</v>
      </c>
    </row>
    <row r="90" spans="2:21">
      <c r="B90" s="528" t="s">
        <v>1421</v>
      </c>
      <c r="C90" s="531" t="s">
        <v>6</v>
      </c>
      <c r="D90" s="532" t="s">
        <v>534</v>
      </c>
      <c r="E90" s="532" t="s">
        <v>1048</v>
      </c>
      <c r="F90" s="529">
        <v>96000</v>
      </c>
      <c r="G90" s="530" t="s">
        <v>1424</v>
      </c>
      <c r="H90" s="531">
        <v>132</v>
      </c>
      <c r="I90" s="531">
        <v>2415</v>
      </c>
      <c r="L90" s="492" t="s">
        <v>329</v>
      </c>
      <c r="M90" s="492" t="s">
        <v>775</v>
      </c>
      <c r="N90" s="496" t="s">
        <v>206</v>
      </c>
      <c r="O90" s="496" t="s">
        <v>333</v>
      </c>
      <c r="P90" s="497">
        <v>40000</v>
      </c>
      <c r="Q90" s="498" t="s">
        <v>1188</v>
      </c>
      <c r="R90" s="492">
        <v>10</v>
      </c>
      <c r="S90" s="492">
        <v>41</v>
      </c>
      <c r="U90" s="18" t="s">
        <v>1425</v>
      </c>
    </row>
    <row r="91" spans="2:21">
      <c r="B91" s="513" t="s">
        <v>1426</v>
      </c>
      <c r="C91" s="513" t="s">
        <v>6</v>
      </c>
      <c r="D91" s="524" t="s">
        <v>348</v>
      </c>
      <c r="E91" s="524" t="s">
        <v>333</v>
      </c>
      <c r="F91" s="525">
        <v>70000</v>
      </c>
      <c r="G91" s="526" t="s">
        <v>1427</v>
      </c>
      <c r="H91" s="513">
        <v>136</v>
      </c>
      <c r="I91" s="513">
        <v>2441</v>
      </c>
      <c r="L91" s="492" t="s">
        <v>329</v>
      </c>
      <c r="M91" s="492" t="s">
        <v>775</v>
      </c>
      <c r="N91" s="496" t="s">
        <v>196</v>
      </c>
      <c r="O91" s="496" t="s">
        <v>333</v>
      </c>
      <c r="P91" s="497">
        <v>34000</v>
      </c>
      <c r="Q91" s="498" t="s">
        <v>1177</v>
      </c>
      <c r="R91" s="492">
        <v>119</v>
      </c>
      <c r="S91" s="492">
        <v>153</v>
      </c>
      <c r="U91" s="18" t="s">
        <v>1428</v>
      </c>
    </row>
    <row r="92" spans="2:21">
      <c r="B92" s="513" t="s">
        <v>1426</v>
      </c>
      <c r="C92" s="513" t="s">
        <v>6</v>
      </c>
      <c r="D92" s="524" t="s">
        <v>350</v>
      </c>
      <c r="E92" s="524" t="s">
        <v>1048</v>
      </c>
      <c r="F92" s="525">
        <v>70000</v>
      </c>
      <c r="G92" s="526" t="s">
        <v>1429</v>
      </c>
      <c r="H92" s="513">
        <v>136</v>
      </c>
      <c r="I92" s="513">
        <v>2442</v>
      </c>
      <c r="L92" s="492" t="s">
        <v>329</v>
      </c>
      <c r="M92" s="492" t="s">
        <v>775</v>
      </c>
      <c r="N92" s="496" t="s">
        <v>209</v>
      </c>
      <c r="O92" s="496" t="s">
        <v>333</v>
      </c>
      <c r="P92" s="497">
        <v>30000</v>
      </c>
      <c r="Q92" s="498" t="s">
        <v>1198</v>
      </c>
      <c r="R92" s="492">
        <v>10</v>
      </c>
      <c r="S92" s="492">
        <v>43</v>
      </c>
      <c r="U92" s="18" t="s">
        <v>1430</v>
      </c>
    </row>
    <row r="93" spans="2:21">
      <c r="B93" s="513" t="s">
        <v>1426</v>
      </c>
      <c r="C93" s="513" t="s">
        <v>6</v>
      </c>
      <c r="D93" s="524" t="s">
        <v>352</v>
      </c>
      <c r="E93" s="524" t="s">
        <v>1046</v>
      </c>
      <c r="F93" s="525">
        <v>70000</v>
      </c>
      <c r="G93" s="526" t="s">
        <v>1431</v>
      </c>
      <c r="H93" s="513">
        <v>136</v>
      </c>
      <c r="I93" s="513">
        <v>2443</v>
      </c>
      <c r="L93" s="492" t="s">
        <v>329</v>
      </c>
      <c r="M93" s="492" t="s">
        <v>775</v>
      </c>
      <c r="N93" s="496" t="s">
        <v>215</v>
      </c>
      <c r="O93" s="496" t="s">
        <v>333</v>
      </c>
      <c r="P93" s="497">
        <v>40000</v>
      </c>
      <c r="Q93" s="498" t="s">
        <v>1189</v>
      </c>
      <c r="R93" s="492">
        <v>119</v>
      </c>
      <c r="S93" s="492">
        <v>154</v>
      </c>
      <c r="U93" s="18" t="s">
        <v>1432</v>
      </c>
    </row>
    <row r="94" spans="2:21">
      <c r="B94" s="513" t="s">
        <v>1426</v>
      </c>
      <c r="C94" s="513" t="s">
        <v>6</v>
      </c>
      <c r="D94" s="527" t="s">
        <v>354</v>
      </c>
      <c r="E94" s="527" t="s">
        <v>1088</v>
      </c>
      <c r="F94" s="525">
        <v>70000</v>
      </c>
      <c r="G94" s="526" t="s">
        <v>1433</v>
      </c>
      <c r="H94" s="514">
        <v>136</v>
      </c>
      <c r="I94" s="514">
        <v>2444</v>
      </c>
      <c r="L94" s="492" t="s">
        <v>329</v>
      </c>
      <c r="M94" s="492" t="s">
        <v>775</v>
      </c>
      <c r="N94" s="496" t="s">
        <v>233</v>
      </c>
      <c r="O94" s="496" t="s">
        <v>333</v>
      </c>
      <c r="P94" s="497">
        <v>34000</v>
      </c>
      <c r="Q94" s="498" t="s">
        <v>1220</v>
      </c>
      <c r="R94" s="492">
        <v>119</v>
      </c>
      <c r="S94" s="492">
        <v>156</v>
      </c>
      <c r="U94" s="18" t="s">
        <v>1434</v>
      </c>
    </row>
    <row r="95" spans="2:21">
      <c r="B95" s="539" t="s">
        <v>330</v>
      </c>
      <c r="C95" s="539" t="s">
        <v>6</v>
      </c>
      <c r="D95" s="540" t="s">
        <v>576</v>
      </c>
      <c r="E95" s="540"/>
      <c r="F95" s="546">
        <v>248000</v>
      </c>
      <c r="G95" s="548" t="s">
        <v>1435</v>
      </c>
      <c r="H95" s="547">
        <v>70</v>
      </c>
      <c r="I95" s="547">
        <v>952</v>
      </c>
      <c r="L95" s="492" t="s">
        <v>329</v>
      </c>
      <c r="M95" s="492" t="s">
        <v>775</v>
      </c>
      <c r="N95" s="496" t="s">
        <v>127</v>
      </c>
      <c r="O95" s="496" t="s">
        <v>333</v>
      </c>
      <c r="P95" s="497">
        <v>30000</v>
      </c>
      <c r="Q95" s="498" t="s">
        <v>1072</v>
      </c>
      <c r="R95" s="492">
        <v>10</v>
      </c>
      <c r="S95" s="492">
        <v>44</v>
      </c>
      <c r="U95" s="18" t="s">
        <v>1436</v>
      </c>
    </row>
    <row r="96" spans="2:21">
      <c r="B96" s="539" t="s">
        <v>330</v>
      </c>
      <c r="C96" s="539" t="s">
        <v>6</v>
      </c>
      <c r="D96" s="540" t="s">
        <v>554</v>
      </c>
      <c r="E96" s="540"/>
      <c r="F96" s="546">
        <v>122000</v>
      </c>
      <c r="G96" s="548" t="s">
        <v>1437</v>
      </c>
      <c r="H96" s="547">
        <v>70</v>
      </c>
      <c r="I96" s="547">
        <v>953</v>
      </c>
      <c r="L96" s="1084" t="s">
        <v>329</v>
      </c>
      <c r="M96" s="1084" t="s">
        <v>775</v>
      </c>
      <c r="N96" s="1085" t="s">
        <v>470</v>
      </c>
      <c r="O96" s="1085" t="s">
        <v>333</v>
      </c>
      <c r="P96" s="1281" t="s">
        <v>519</v>
      </c>
      <c r="Q96" s="1086" t="s">
        <v>1190</v>
      </c>
      <c r="R96" s="1084">
        <v>119</v>
      </c>
      <c r="S96" s="1084">
        <v>155</v>
      </c>
      <c r="U96" s="18" t="e">
        <f>VLOOKUP(N96,[3]Planilha1!$A$5:$B$72,2,0)</f>
        <v>#N/A</v>
      </c>
    </row>
    <row r="97" spans="2:21">
      <c r="B97" s="539" t="s">
        <v>330</v>
      </c>
      <c r="C97" s="539" t="s">
        <v>6</v>
      </c>
      <c r="D97" s="540" t="s">
        <v>591</v>
      </c>
      <c r="E97" s="540"/>
      <c r="F97" s="546">
        <v>133000</v>
      </c>
      <c r="G97" s="548" t="s">
        <v>1438</v>
      </c>
      <c r="H97" s="547">
        <v>70</v>
      </c>
      <c r="I97" s="547">
        <v>1360</v>
      </c>
      <c r="L97" s="492" t="s">
        <v>329</v>
      </c>
      <c r="M97" s="492" t="s">
        <v>775</v>
      </c>
      <c r="N97" s="496" t="s">
        <v>105</v>
      </c>
      <c r="O97" s="496" t="s">
        <v>333</v>
      </c>
      <c r="P97" s="497">
        <v>40000</v>
      </c>
      <c r="Q97" s="498" t="s">
        <v>1053</v>
      </c>
      <c r="R97" s="492">
        <v>10</v>
      </c>
      <c r="S97" s="492">
        <v>48</v>
      </c>
      <c r="U97" s="18" t="s">
        <v>1439</v>
      </c>
    </row>
    <row r="98" spans="2:21">
      <c r="B98" s="539" t="s">
        <v>330</v>
      </c>
      <c r="C98" s="539" t="s">
        <v>6</v>
      </c>
      <c r="D98" s="540" t="s">
        <v>547</v>
      </c>
      <c r="E98" s="540"/>
      <c r="F98" s="546">
        <v>128000</v>
      </c>
      <c r="G98" s="548" t="s">
        <v>1440</v>
      </c>
      <c r="H98" s="547">
        <v>70</v>
      </c>
      <c r="I98" s="547">
        <v>1164</v>
      </c>
      <c r="L98" s="492" t="s">
        <v>329</v>
      </c>
      <c r="M98" s="492" t="s">
        <v>775</v>
      </c>
      <c r="N98" s="496" t="s">
        <v>62</v>
      </c>
      <c r="O98" s="496" t="s">
        <v>333</v>
      </c>
      <c r="P98" s="497">
        <v>25000</v>
      </c>
      <c r="Q98" s="498" t="s">
        <v>1441</v>
      </c>
      <c r="R98" s="492">
        <v>120</v>
      </c>
      <c r="S98" s="492">
        <v>45</v>
      </c>
      <c r="U98" s="18" t="s">
        <v>1442</v>
      </c>
    </row>
    <row r="99" spans="2:21">
      <c r="B99" s="539" t="s">
        <v>330</v>
      </c>
      <c r="C99" s="539" t="s">
        <v>6</v>
      </c>
      <c r="D99" s="540" t="s">
        <v>585</v>
      </c>
      <c r="E99" s="540"/>
      <c r="F99" s="546">
        <v>133000</v>
      </c>
      <c r="G99" s="548" t="s">
        <v>1443</v>
      </c>
      <c r="H99" s="547">
        <v>70</v>
      </c>
      <c r="I99" s="547">
        <v>1165</v>
      </c>
      <c r="L99" s="492" t="s">
        <v>329</v>
      </c>
      <c r="M99" s="492" t="s">
        <v>775</v>
      </c>
      <c r="N99" s="496" t="s">
        <v>54</v>
      </c>
      <c r="O99" s="496" t="s">
        <v>333</v>
      </c>
      <c r="P99" s="497">
        <v>40000</v>
      </c>
      <c r="Q99" s="498" t="s">
        <v>1444</v>
      </c>
      <c r="R99" s="492">
        <v>11</v>
      </c>
      <c r="S99" s="492">
        <v>150</v>
      </c>
      <c r="U99" s="18" t="s">
        <v>1445</v>
      </c>
    </row>
    <row r="100" spans="2:21">
      <c r="B100" s="539" t="s">
        <v>330</v>
      </c>
      <c r="C100" s="539" t="s">
        <v>6</v>
      </c>
      <c r="D100" s="540" t="s">
        <v>565</v>
      </c>
      <c r="E100" s="540"/>
      <c r="F100" s="546">
        <v>133000</v>
      </c>
      <c r="G100" s="548" t="s">
        <v>1446</v>
      </c>
      <c r="H100" s="547">
        <v>70</v>
      </c>
      <c r="I100" s="547">
        <v>1166</v>
      </c>
      <c r="L100" s="492" t="s">
        <v>329</v>
      </c>
      <c r="M100" s="492" t="s">
        <v>775</v>
      </c>
      <c r="N100" s="496" t="s">
        <v>199</v>
      </c>
      <c r="O100" s="496" t="s">
        <v>333</v>
      </c>
      <c r="P100" s="497">
        <v>90000</v>
      </c>
      <c r="Q100" s="498" t="s">
        <v>1176</v>
      </c>
      <c r="R100" s="492">
        <v>16</v>
      </c>
      <c r="S100" s="492">
        <v>685</v>
      </c>
      <c r="U100" s="18" t="s">
        <v>1447</v>
      </c>
    </row>
    <row r="101" spans="2:21">
      <c r="B101" s="539" t="s">
        <v>330</v>
      </c>
      <c r="C101" s="539" t="s">
        <v>6</v>
      </c>
      <c r="D101" s="540" t="s">
        <v>572</v>
      </c>
      <c r="E101" s="540"/>
      <c r="F101" s="546">
        <v>133000</v>
      </c>
      <c r="G101" s="548" t="s">
        <v>1448</v>
      </c>
      <c r="H101" s="547">
        <v>70</v>
      </c>
      <c r="I101" s="547">
        <v>1193</v>
      </c>
      <c r="L101" s="492" t="s">
        <v>329</v>
      </c>
      <c r="M101" s="492" t="s">
        <v>775</v>
      </c>
      <c r="N101" s="496" t="s">
        <v>231</v>
      </c>
      <c r="O101" s="496" t="s">
        <v>333</v>
      </c>
      <c r="P101" s="497">
        <v>76000</v>
      </c>
      <c r="Q101" s="498" t="s">
        <v>1219</v>
      </c>
      <c r="R101" s="492">
        <v>10</v>
      </c>
      <c r="S101" s="492">
        <v>358</v>
      </c>
      <c r="U101" s="18" t="s">
        <v>1449</v>
      </c>
    </row>
    <row r="102" spans="2:21">
      <c r="B102" s="539" t="s">
        <v>330</v>
      </c>
      <c r="C102" s="539" t="s">
        <v>6</v>
      </c>
      <c r="D102" s="540" t="s">
        <v>595</v>
      </c>
      <c r="E102" s="540"/>
      <c r="F102" s="546">
        <v>133000</v>
      </c>
      <c r="G102" s="548" t="s">
        <v>1450</v>
      </c>
      <c r="H102" s="547">
        <v>70</v>
      </c>
      <c r="I102" s="547">
        <v>1194</v>
      </c>
      <c r="L102" s="492" t="s">
        <v>1290</v>
      </c>
      <c r="M102" s="492" t="s">
        <v>775</v>
      </c>
      <c r="N102" s="496" t="s">
        <v>109</v>
      </c>
      <c r="O102" s="496" t="s">
        <v>333</v>
      </c>
      <c r="P102" s="497">
        <v>20000</v>
      </c>
      <c r="Q102" s="498" t="s">
        <v>1066</v>
      </c>
      <c r="R102" s="492">
        <v>85</v>
      </c>
      <c r="S102" s="492">
        <v>158</v>
      </c>
      <c r="U102" s="18" t="s">
        <v>1451</v>
      </c>
    </row>
    <row r="103" spans="2:21">
      <c r="B103" s="539" t="s">
        <v>330</v>
      </c>
      <c r="C103" s="539" t="s">
        <v>6</v>
      </c>
      <c r="D103" s="540" t="s">
        <v>599</v>
      </c>
      <c r="E103" s="540"/>
      <c r="F103" s="546">
        <v>132000</v>
      </c>
      <c r="G103" s="548" t="s">
        <v>1452</v>
      </c>
      <c r="H103" s="547">
        <v>70</v>
      </c>
      <c r="I103" s="547">
        <v>1195</v>
      </c>
      <c r="L103" s="492" t="s">
        <v>1290</v>
      </c>
      <c r="M103" s="492" t="s">
        <v>775</v>
      </c>
      <c r="N103" s="496" t="s">
        <v>227</v>
      </c>
      <c r="O103" s="496" t="s">
        <v>333</v>
      </c>
      <c r="P103" s="497">
        <v>40000</v>
      </c>
      <c r="Q103" s="498" t="s">
        <v>1216</v>
      </c>
      <c r="R103" s="492">
        <v>107</v>
      </c>
      <c r="S103" s="492">
        <v>248</v>
      </c>
      <c r="U103" s="18" t="s">
        <v>1453</v>
      </c>
    </row>
    <row r="104" spans="2:21">
      <c r="B104" s="492" t="s">
        <v>806</v>
      </c>
      <c r="C104" s="492" t="s">
        <v>6</v>
      </c>
      <c r="D104" s="517" t="s">
        <v>812</v>
      </c>
      <c r="E104" s="496"/>
      <c r="F104" s="518">
        <v>98000</v>
      </c>
      <c r="G104" s="519" t="s">
        <v>1454</v>
      </c>
      <c r="H104" s="1091">
        <v>40</v>
      </c>
      <c r="I104" s="1091">
        <v>412</v>
      </c>
      <c r="L104" s="492" t="s">
        <v>1290</v>
      </c>
      <c r="M104" s="492" t="s">
        <v>775</v>
      </c>
      <c r="N104" s="496" t="s">
        <v>201</v>
      </c>
      <c r="O104" s="496" t="s">
        <v>333</v>
      </c>
      <c r="P104" s="497">
        <v>24000</v>
      </c>
      <c r="Q104" s="498" t="s">
        <v>1180</v>
      </c>
      <c r="R104" s="492">
        <v>13</v>
      </c>
      <c r="S104" s="492">
        <v>2295</v>
      </c>
      <c r="U104" s="18" t="s">
        <v>1455</v>
      </c>
    </row>
    <row r="105" spans="2:21">
      <c r="B105" s="492" t="s">
        <v>806</v>
      </c>
      <c r="C105" s="492" t="s">
        <v>6</v>
      </c>
      <c r="D105" s="517" t="s">
        <v>808</v>
      </c>
      <c r="E105" s="496"/>
      <c r="F105" s="518">
        <v>120000</v>
      </c>
      <c r="G105" s="519" t="s">
        <v>1456</v>
      </c>
      <c r="H105" s="1091">
        <v>40</v>
      </c>
      <c r="I105" s="1091">
        <v>403</v>
      </c>
      <c r="L105" s="492" t="s">
        <v>329</v>
      </c>
      <c r="M105" s="492" t="s">
        <v>775</v>
      </c>
      <c r="N105" s="496" t="s">
        <v>133</v>
      </c>
      <c r="O105" s="496" t="s">
        <v>333</v>
      </c>
      <c r="P105" s="497">
        <v>80000</v>
      </c>
      <c r="Q105" s="498" t="s">
        <v>1457</v>
      </c>
      <c r="R105" s="492">
        <v>116</v>
      </c>
      <c r="S105" s="492">
        <v>2297</v>
      </c>
      <c r="U105" s="18" t="s">
        <v>1458</v>
      </c>
    </row>
    <row r="106" spans="2:21">
      <c r="B106" s="492" t="s">
        <v>806</v>
      </c>
      <c r="C106" s="1092" t="s">
        <v>6</v>
      </c>
      <c r="D106" s="1093" t="s">
        <v>1459</v>
      </c>
      <c r="E106" s="1094"/>
      <c r="F106" s="1095">
        <v>120000</v>
      </c>
      <c r="G106" s="1096" t="s">
        <v>1460</v>
      </c>
      <c r="H106" s="1097">
        <v>44</v>
      </c>
      <c r="I106" s="1097">
        <v>3267</v>
      </c>
      <c r="L106" s="492" t="s">
        <v>329</v>
      </c>
      <c r="M106" s="492" t="s">
        <v>775</v>
      </c>
      <c r="N106" s="517" t="s">
        <v>238</v>
      </c>
      <c r="O106" s="517" t="s">
        <v>1048</v>
      </c>
      <c r="P106" s="549">
        <v>80000</v>
      </c>
      <c r="Q106" s="550" t="s">
        <v>1461</v>
      </c>
      <c r="R106" s="492">
        <v>116</v>
      </c>
      <c r="S106" s="492">
        <v>2296</v>
      </c>
      <c r="U106" s="18">
        <v>5477</v>
      </c>
    </row>
    <row r="107" spans="2:21">
      <c r="L107" s="492" t="s">
        <v>329</v>
      </c>
      <c r="M107" s="492" t="s">
        <v>775</v>
      </c>
      <c r="N107" s="496" t="s">
        <v>188</v>
      </c>
      <c r="O107" s="496" t="s">
        <v>1048</v>
      </c>
      <c r="P107" s="497">
        <v>57000</v>
      </c>
      <c r="Q107" s="498" t="s">
        <v>1462</v>
      </c>
      <c r="R107" s="492">
        <v>10</v>
      </c>
      <c r="S107" s="492">
        <v>2382</v>
      </c>
      <c r="U107" s="18" t="s">
        <v>1463</v>
      </c>
    </row>
    <row r="108" spans="2:21">
      <c r="L108" s="492" t="s">
        <v>329</v>
      </c>
      <c r="M108" s="492" t="s">
        <v>775</v>
      </c>
      <c r="N108" s="517" t="s">
        <v>236</v>
      </c>
      <c r="O108" s="517" t="s">
        <v>1046</v>
      </c>
      <c r="P108" s="549">
        <v>57000</v>
      </c>
      <c r="Q108" s="550" t="s">
        <v>1464</v>
      </c>
      <c r="R108" s="492">
        <v>10</v>
      </c>
      <c r="S108" s="492">
        <v>2383</v>
      </c>
      <c r="U108" s="18" t="s">
        <v>1465</v>
      </c>
    </row>
    <row r="109" spans="2:21">
      <c r="L109" s="492" t="s">
        <v>329</v>
      </c>
      <c r="M109" s="492" t="s">
        <v>775</v>
      </c>
      <c r="N109" s="517" t="s">
        <v>240</v>
      </c>
      <c r="O109" s="517" t="s">
        <v>1048</v>
      </c>
      <c r="P109" s="549">
        <v>57000</v>
      </c>
      <c r="Q109" s="550" t="s">
        <v>1466</v>
      </c>
      <c r="R109" s="492">
        <v>10</v>
      </c>
      <c r="S109" s="492">
        <v>2385</v>
      </c>
      <c r="U109" s="18" t="s">
        <v>1467</v>
      </c>
    </row>
    <row r="110" spans="2:21">
      <c r="L110" s="492" t="s">
        <v>329</v>
      </c>
      <c r="M110" s="492" t="s">
        <v>775</v>
      </c>
      <c r="N110" s="517" t="s">
        <v>251</v>
      </c>
      <c r="O110" s="517" t="s">
        <v>1046</v>
      </c>
      <c r="P110" s="549">
        <v>57000</v>
      </c>
      <c r="Q110" s="550" t="s">
        <v>1468</v>
      </c>
      <c r="R110" s="492">
        <v>10</v>
      </c>
      <c r="S110" s="492">
        <v>2386</v>
      </c>
      <c r="U110" s="18" t="s">
        <v>1469</v>
      </c>
    </row>
    <row r="111" spans="2:21">
      <c r="L111" s="492" t="s">
        <v>329</v>
      </c>
      <c r="M111" s="492" t="s">
        <v>775</v>
      </c>
      <c r="N111" s="517" t="s">
        <v>249</v>
      </c>
      <c r="O111" s="517" t="s">
        <v>1048</v>
      </c>
      <c r="P111" s="549">
        <v>80000</v>
      </c>
      <c r="Q111" s="550" t="s">
        <v>1470</v>
      </c>
      <c r="R111" s="492">
        <v>10</v>
      </c>
      <c r="S111" s="492">
        <v>2387</v>
      </c>
      <c r="U111" s="18" t="s">
        <v>1471</v>
      </c>
    </row>
    <row r="112" spans="2:21">
      <c r="L112" s="492" t="s">
        <v>329</v>
      </c>
      <c r="M112" s="492" t="s">
        <v>775</v>
      </c>
      <c r="N112" s="517" t="s">
        <v>259</v>
      </c>
      <c r="O112" s="517" t="s">
        <v>1046</v>
      </c>
      <c r="P112" s="549">
        <v>80000</v>
      </c>
      <c r="Q112" s="550" t="s">
        <v>1472</v>
      </c>
      <c r="R112" s="492">
        <v>10</v>
      </c>
      <c r="S112" s="492">
        <v>2388</v>
      </c>
      <c r="U112" s="18" t="s">
        <v>1473</v>
      </c>
    </row>
    <row r="113" spans="12:21">
      <c r="L113" s="492" t="s">
        <v>329</v>
      </c>
      <c r="M113" s="492" t="s">
        <v>775</v>
      </c>
      <c r="N113" s="517" t="s">
        <v>247</v>
      </c>
      <c r="O113" s="517" t="s">
        <v>1046</v>
      </c>
      <c r="P113" s="549">
        <v>57000</v>
      </c>
      <c r="Q113" s="550" t="s">
        <v>1474</v>
      </c>
      <c r="R113" s="492">
        <v>135</v>
      </c>
      <c r="S113" s="492">
        <v>2390</v>
      </c>
      <c r="U113" s="18" t="s">
        <v>1475</v>
      </c>
    </row>
    <row r="114" spans="12:21">
      <c r="L114" s="492" t="s">
        <v>329</v>
      </c>
      <c r="M114" s="492" t="s">
        <v>775</v>
      </c>
      <c r="N114" s="517" t="s">
        <v>253</v>
      </c>
      <c r="O114" s="517" t="s">
        <v>1088</v>
      </c>
      <c r="P114" s="549">
        <v>57000</v>
      </c>
      <c r="Q114" s="550" t="s">
        <v>1476</v>
      </c>
      <c r="R114" s="492">
        <v>135</v>
      </c>
      <c r="S114" s="492">
        <v>2391</v>
      </c>
      <c r="U114" s="18" t="s">
        <v>1477</v>
      </c>
    </row>
    <row r="115" spans="12:21">
      <c r="L115" s="492" t="s">
        <v>329</v>
      </c>
      <c r="M115" s="492" t="s">
        <v>775</v>
      </c>
      <c r="N115" s="517" t="s">
        <v>256</v>
      </c>
      <c r="O115" s="517" t="s">
        <v>1057</v>
      </c>
      <c r="P115" s="549">
        <v>57000</v>
      </c>
      <c r="Q115" s="550" t="s">
        <v>1478</v>
      </c>
      <c r="R115" s="492">
        <v>10</v>
      </c>
      <c r="S115" s="492">
        <v>10</v>
      </c>
      <c r="U115" s="18" t="s">
        <v>1479</v>
      </c>
    </row>
    <row r="116" spans="12:21">
      <c r="L116" s="492" t="s">
        <v>329</v>
      </c>
      <c r="M116" s="492" t="s">
        <v>775</v>
      </c>
      <c r="N116" s="517" t="s">
        <v>261</v>
      </c>
      <c r="O116" s="517" t="s">
        <v>1076</v>
      </c>
      <c r="P116" s="549">
        <v>57000</v>
      </c>
      <c r="Q116" s="550" t="s">
        <v>1478</v>
      </c>
      <c r="R116" s="492">
        <v>10</v>
      </c>
      <c r="S116" s="492">
        <v>10</v>
      </c>
      <c r="U116" s="18" t="s">
        <v>1480</v>
      </c>
    </row>
    <row r="117" spans="12:21">
      <c r="L117" s="493" t="s">
        <v>1251</v>
      </c>
      <c r="M117" s="493" t="s">
        <v>775</v>
      </c>
      <c r="N117" s="502" t="s">
        <v>204</v>
      </c>
      <c r="O117" s="502" t="s">
        <v>333</v>
      </c>
      <c r="P117" s="503">
        <v>28000</v>
      </c>
      <c r="Q117" s="504" t="s">
        <v>1212</v>
      </c>
      <c r="R117" s="493">
        <v>14</v>
      </c>
      <c r="S117" s="493">
        <v>496</v>
      </c>
      <c r="U117" s="18" t="s">
        <v>1481</v>
      </c>
    </row>
    <row r="118" spans="12:21">
      <c r="L118" s="493" t="s">
        <v>1251</v>
      </c>
      <c r="M118" s="493" t="s">
        <v>775</v>
      </c>
      <c r="N118" s="502" t="s">
        <v>316</v>
      </c>
      <c r="O118" s="502" t="s">
        <v>333</v>
      </c>
      <c r="P118" s="503">
        <v>58000</v>
      </c>
      <c r="Q118" s="504" t="s">
        <v>1149</v>
      </c>
      <c r="R118" s="493">
        <v>19</v>
      </c>
      <c r="S118" s="493">
        <v>495</v>
      </c>
      <c r="U118" s="18" t="s">
        <v>1482</v>
      </c>
    </row>
    <row r="119" spans="12:21">
      <c r="L119" s="493" t="s">
        <v>1251</v>
      </c>
      <c r="M119" s="493" t="s">
        <v>775</v>
      </c>
      <c r="N119" s="502" t="s">
        <v>300</v>
      </c>
      <c r="O119" s="502" t="s">
        <v>333</v>
      </c>
      <c r="P119" s="503">
        <v>60000</v>
      </c>
      <c r="Q119" s="504" t="s">
        <v>1483</v>
      </c>
      <c r="R119" s="493">
        <v>18</v>
      </c>
      <c r="S119" s="493">
        <v>476</v>
      </c>
      <c r="U119" s="18" t="s">
        <v>1484</v>
      </c>
    </row>
    <row r="120" spans="12:21">
      <c r="L120" s="493" t="s">
        <v>1251</v>
      </c>
      <c r="M120" s="493" t="s">
        <v>775</v>
      </c>
      <c r="N120" s="502" t="s">
        <v>234</v>
      </c>
      <c r="O120" s="502" t="s">
        <v>1048</v>
      </c>
      <c r="P120" s="503">
        <v>17000</v>
      </c>
      <c r="Q120" s="504" t="s">
        <v>1137</v>
      </c>
      <c r="R120" s="493">
        <v>18</v>
      </c>
      <c r="S120" s="493">
        <v>473</v>
      </c>
      <c r="U120" s="18" t="s">
        <v>1485</v>
      </c>
    </row>
    <row r="121" spans="12:21">
      <c r="L121" s="493" t="s">
        <v>1251</v>
      </c>
      <c r="M121" s="493" t="s">
        <v>775</v>
      </c>
      <c r="N121" s="502" t="s">
        <v>324</v>
      </c>
      <c r="O121" s="502" t="s">
        <v>333</v>
      </c>
      <c r="P121" s="503">
        <v>23500</v>
      </c>
      <c r="Q121" s="504" t="s">
        <v>1161</v>
      </c>
      <c r="R121" s="493">
        <v>81</v>
      </c>
      <c r="S121" s="493">
        <v>482</v>
      </c>
      <c r="U121" s="18" t="s">
        <v>1486</v>
      </c>
    </row>
    <row r="122" spans="12:21">
      <c r="L122" s="493" t="s">
        <v>1251</v>
      </c>
      <c r="M122" s="493" t="s">
        <v>775</v>
      </c>
      <c r="N122" s="502" t="s">
        <v>323</v>
      </c>
      <c r="O122" s="502" t="s">
        <v>1048</v>
      </c>
      <c r="P122" s="503">
        <v>23500</v>
      </c>
      <c r="Q122" s="504" t="s">
        <v>1166</v>
      </c>
      <c r="R122" s="493">
        <v>81</v>
      </c>
      <c r="S122" s="493">
        <v>483</v>
      </c>
      <c r="U122" s="18" t="s">
        <v>1487</v>
      </c>
    </row>
    <row r="123" spans="12:21">
      <c r="L123" s="493" t="s">
        <v>1251</v>
      </c>
      <c r="M123" s="493" t="s">
        <v>775</v>
      </c>
      <c r="N123" s="502" t="s">
        <v>325</v>
      </c>
      <c r="O123" s="502" t="s">
        <v>1046</v>
      </c>
      <c r="P123" s="503">
        <v>23500</v>
      </c>
      <c r="Q123" s="504" t="s">
        <v>1163</v>
      </c>
      <c r="R123" s="493">
        <v>81</v>
      </c>
      <c r="S123" s="493">
        <v>484</v>
      </c>
      <c r="U123" s="18" t="s">
        <v>1488</v>
      </c>
    </row>
    <row r="124" spans="12:21">
      <c r="L124" s="493" t="s">
        <v>1251</v>
      </c>
      <c r="M124" s="493" t="s">
        <v>775</v>
      </c>
      <c r="N124" s="502" t="s">
        <v>257</v>
      </c>
      <c r="O124" s="502" t="s">
        <v>1088</v>
      </c>
      <c r="P124" s="503">
        <v>23500</v>
      </c>
      <c r="Q124" s="504" t="s">
        <v>1146</v>
      </c>
      <c r="R124" s="493">
        <v>81</v>
      </c>
      <c r="S124" s="493">
        <v>826</v>
      </c>
      <c r="U124" s="18" t="s">
        <v>1489</v>
      </c>
    </row>
    <row r="125" spans="12:21">
      <c r="L125" s="493" t="s">
        <v>1251</v>
      </c>
      <c r="M125" s="493" t="s">
        <v>775</v>
      </c>
      <c r="N125" s="502" t="s">
        <v>331</v>
      </c>
      <c r="O125" s="502" t="s">
        <v>1057</v>
      </c>
      <c r="P125" s="503">
        <v>24000</v>
      </c>
      <c r="Q125" s="504" t="s">
        <v>1207</v>
      </c>
      <c r="R125" s="493">
        <v>81</v>
      </c>
      <c r="S125" s="493">
        <v>785</v>
      </c>
      <c r="U125" s="18" t="s">
        <v>1490</v>
      </c>
    </row>
    <row r="126" spans="12:21">
      <c r="L126" s="493" t="s">
        <v>1251</v>
      </c>
      <c r="M126" s="493" t="s">
        <v>775</v>
      </c>
      <c r="N126" s="502" t="s">
        <v>327</v>
      </c>
      <c r="O126" s="502" t="s">
        <v>1076</v>
      </c>
      <c r="P126" s="503">
        <v>18000</v>
      </c>
      <c r="Q126" s="504" t="s">
        <v>1204</v>
      </c>
      <c r="R126" s="493">
        <v>81</v>
      </c>
      <c r="S126" s="493">
        <v>786</v>
      </c>
      <c r="U126" s="18" t="s">
        <v>1491</v>
      </c>
    </row>
    <row r="127" spans="12:21">
      <c r="L127" s="493" t="s">
        <v>1251</v>
      </c>
      <c r="M127" s="493" t="s">
        <v>775</v>
      </c>
      <c r="N127" s="502" t="s">
        <v>321</v>
      </c>
      <c r="O127" s="502" t="s">
        <v>333</v>
      </c>
      <c r="P127" s="503">
        <v>45000</v>
      </c>
      <c r="Q127" s="504" t="s">
        <v>1156</v>
      </c>
      <c r="R127" s="493">
        <v>87</v>
      </c>
      <c r="S127" s="493">
        <v>853</v>
      </c>
      <c r="U127" s="18" t="s">
        <v>1492</v>
      </c>
    </row>
    <row r="128" spans="12:21">
      <c r="L128" s="493" t="s">
        <v>1251</v>
      </c>
      <c r="M128" s="493" t="s">
        <v>775</v>
      </c>
      <c r="N128" s="502" t="s">
        <v>165</v>
      </c>
      <c r="O128" s="502" t="s">
        <v>1048</v>
      </c>
      <c r="P128" s="503">
        <v>38000</v>
      </c>
      <c r="Q128" s="504" t="s">
        <v>1158</v>
      </c>
      <c r="R128" s="493">
        <v>87</v>
      </c>
      <c r="S128" s="493">
        <v>854</v>
      </c>
      <c r="U128" s="18" t="s">
        <v>1493</v>
      </c>
    </row>
    <row r="129" spans="12:21">
      <c r="L129" s="493" t="s">
        <v>1251</v>
      </c>
      <c r="M129" s="493" t="s">
        <v>775</v>
      </c>
      <c r="N129" s="502" t="s">
        <v>260</v>
      </c>
      <c r="O129" s="502" t="s">
        <v>1046</v>
      </c>
      <c r="P129" s="503">
        <v>28000</v>
      </c>
      <c r="Q129" s="504" t="s">
        <v>1152</v>
      </c>
      <c r="R129" s="493">
        <v>87</v>
      </c>
      <c r="S129" s="493">
        <v>855</v>
      </c>
      <c r="U129" s="18" t="s">
        <v>1494</v>
      </c>
    </row>
    <row r="130" spans="12:21">
      <c r="L130" s="493" t="s">
        <v>1251</v>
      </c>
      <c r="M130" s="493" t="s">
        <v>775</v>
      </c>
      <c r="N130" s="502" t="s">
        <v>1495</v>
      </c>
      <c r="O130" s="502" t="s">
        <v>333</v>
      </c>
      <c r="P130" s="503">
        <v>34000</v>
      </c>
      <c r="Q130" s="504" t="s">
        <v>1209</v>
      </c>
      <c r="R130" s="493">
        <v>92</v>
      </c>
      <c r="S130" s="493">
        <v>961</v>
      </c>
      <c r="U130" s="18" t="s">
        <v>1496</v>
      </c>
    </row>
    <row r="131" spans="12:21">
      <c r="L131" s="493" t="s">
        <v>1251</v>
      </c>
      <c r="M131" s="493" t="s">
        <v>775</v>
      </c>
      <c r="N131" s="502" t="s">
        <v>65</v>
      </c>
      <c r="O131" s="502" t="s">
        <v>333</v>
      </c>
      <c r="P131" s="503">
        <v>34000</v>
      </c>
      <c r="Q131" s="504" t="s">
        <v>1144</v>
      </c>
      <c r="R131" s="493">
        <v>130</v>
      </c>
      <c r="S131" s="493">
        <v>451</v>
      </c>
      <c r="U131" s="18" t="s">
        <v>1497</v>
      </c>
    </row>
    <row r="132" spans="12:21">
      <c r="L132" s="493" t="s">
        <v>1251</v>
      </c>
      <c r="M132" s="493" t="s">
        <v>775</v>
      </c>
      <c r="N132" s="502" t="s">
        <v>224</v>
      </c>
      <c r="O132" s="502" t="s">
        <v>333</v>
      </c>
      <c r="P132" s="503">
        <v>36000</v>
      </c>
      <c r="Q132" s="504" t="s">
        <v>1214</v>
      </c>
      <c r="R132" s="493">
        <v>121</v>
      </c>
      <c r="S132" s="493">
        <v>2237</v>
      </c>
      <c r="U132" s="18" t="s">
        <v>1498</v>
      </c>
    </row>
    <row r="133" spans="12:21">
      <c r="L133" s="493" t="s">
        <v>1251</v>
      </c>
      <c r="M133" s="493" t="s">
        <v>775</v>
      </c>
      <c r="N133" s="502" t="s">
        <v>22</v>
      </c>
      <c r="O133" s="502" t="s">
        <v>333</v>
      </c>
      <c r="P133" s="503">
        <v>24000</v>
      </c>
      <c r="Q133" s="504" t="s">
        <v>1499</v>
      </c>
      <c r="R133" s="493">
        <v>126</v>
      </c>
      <c r="S133" s="493">
        <v>2244</v>
      </c>
      <c r="U133" s="18">
        <v>5504</v>
      </c>
    </row>
    <row r="134" spans="12:21">
      <c r="L134" s="493" t="s">
        <v>1251</v>
      </c>
      <c r="M134" s="493" t="s">
        <v>775</v>
      </c>
      <c r="N134" s="502" t="s">
        <v>312</v>
      </c>
      <c r="O134" s="502" t="s">
        <v>333</v>
      </c>
      <c r="P134" s="503">
        <v>24000</v>
      </c>
      <c r="Q134" s="504" t="s">
        <v>1500</v>
      </c>
      <c r="R134" s="493">
        <v>125</v>
      </c>
      <c r="S134" s="493">
        <v>2245</v>
      </c>
      <c r="U134" s="18" t="s">
        <v>1501</v>
      </c>
    </row>
    <row r="135" spans="12:21">
      <c r="L135" s="493" t="s">
        <v>1251</v>
      </c>
      <c r="M135" s="493" t="s">
        <v>775</v>
      </c>
      <c r="N135" s="502" t="s">
        <v>1502</v>
      </c>
      <c r="O135" s="502" t="s">
        <v>333</v>
      </c>
      <c r="P135" s="503">
        <v>57000</v>
      </c>
      <c r="Q135" s="504" t="s">
        <v>1503</v>
      </c>
      <c r="R135" s="493">
        <v>127</v>
      </c>
      <c r="S135" s="493">
        <v>2243</v>
      </c>
      <c r="U135" s="18" t="s">
        <v>1504</v>
      </c>
    </row>
    <row r="136" spans="12:21">
      <c r="L136" s="494" t="s">
        <v>1281</v>
      </c>
      <c r="M136" s="494" t="s">
        <v>775</v>
      </c>
      <c r="N136" s="505" t="s">
        <v>735</v>
      </c>
      <c r="O136" s="505" t="s">
        <v>333</v>
      </c>
      <c r="P136" s="506">
        <v>38200</v>
      </c>
      <c r="Q136" s="507" t="s">
        <v>1505</v>
      </c>
      <c r="R136" s="494">
        <v>225</v>
      </c>
      <c r="S136" s="494">
        <v>3023</v>
      </c>
      <c r="U136" s="18" t="e">
        <f>VLOOKUP(N136,[3]Planilha1!$A$5:$B$72,2,0)</f>
        <v>#N/A</v>
      </c>
    </row>
    <row r="137" spans="12:21">
      <c r="L137" s="494" t="s">
        <v>1281</v>
      </c>
      <c r="M137" s="494" t="s">
        <v>775</v>
      </c>
      <c r="N137" s="505" t="s">
        <v>730</v>
      </c>
      <c r="O137" s="505" t="s">
        <v>1048</v>
      </c>
      <c r="P137" s="506">
        <v>30560</v>
      </c>
      <c r="Q137" s="507" t="s">
        <v>1506</v>
      </c>
      <c r="R137" s="494">
        <v>225</v>
      </c>
      <c r="S137" s="494">
        <v>3024</v>
      </c>
      <c r="U137" s="18" t="e">
        <f>VLOOKUP(N137,[3]Planilha1!$A$5:$B$72,2,0)</f>
        <v>#N/A</v>
      </c>
    </row>
    <row r="138" spans="12:21">
      <c r="L138" s="494" t="s">
        <v>1281</v>
      </c>
      <c r="M138" s="494" t="s">
        <v>775</v>
      </c>
      <c r="N138" s="505" t="s">
        <v>728</v>
      </c>
      <c r="O138" s="505" t="s">
        <v>1046</v>
      </c>
      <c r="P138" s="506">
        <v>39155</v>
      </c>
      <c r="Q138" s="507" t="s">
        <v>1507</v>
      </c>
      <c r="R138" s="494">
        <v>225</v>
      </c>
      <c r="S138" s="494">
        <v>3025</v>
      </c>
      <c r="U138" s="18" t="e">
        <f>VLOOKUP(N138,[3]Planilha1!$A$5:$B$72,2,0)</f>
        <v>#N/A</v>
      </c>
    </row>
    <row r="139" spans="12:21">
      <c r="L139" s="494" t="s">
        <v>1281</v>
      </c>
      <c r="M139" s="494" t="s">
        <v>775</v>
      </c>
      <c r="N139" s="505" t="s">
        <v>726</v>
      </c>
      <c r="O139" s="505" t="s">
        <v>333</v>
      </c>
      <c r="P139" s="506">
        <v>30560</v>
      </c>
      <c r="Q139" s="507" t="s">
        <v>1508</v>
      </c>
      <c r="R139" s="494">
        <v>222</v>
      </c>
      <c r="S139" s="494">
        <v>3026</v>
      </c>
      <c r="U139" s="18" t="e">
        <f>VLOOKUP(N139,[3]Planilha1!$A$5:$B$72,2,0)</f>
        <v>#N/A</v>
      </c>
    </row>
    <row r="140" spans="12:21">
      <c r="L140" s="494" t="s">
        <v>1281</v>
      </c>
      <c r="M140" s="494" t="s">
        <v>775</v>
      </c>
      <c r="N140" s="505" t="s">
        <v>725</v>
      </c>
      <c r="O140" s="505" t="s">
        <v>1048</v>
      </c>
      <c r="P140" s="506">
        <v>30560</v>
      </c>
      <c r="Q140" s="507" t="s">
        <v>1509</v>
      </c>
      <c r="R140" s="494">
        <v>222</v>
      </c>
      <c r="S140" s="494">
        <v>3027</v>
      </c>
      <c r="U140" s="18" t="e">
        <f>VLOOKUP(N140,[3]Planilha1!$A$5:$B$72,2,0)</f>
        <v>#N/A</v>
      </c>
    </row>
    <row r="141" spans="12:21">
      <c r="L141" s="494" t="s">
        <v>1281</v>
      </c>
      <c r="M141" s="494" t="s">
        <v>775</v>
      </c>
      <c r="N141" s="505" t="s">
        <v>722</v>
      </c>
      <c r="O141" s="505" t="s">
        <v>333</v>
      </c>
      <c r="P141" s="506">
        <v>26740</v>
      </c>
      <c r="Q141" s="507" t="s">
        <v>1510</v>
      </c>
      <c r="R141" s="494">
        <v>229</v>
      </c>
      <c r="S141" s="494">
        <v>3028</v>
      </c>
      <c r="U141" s="18" t="e">
        <f>VLOOKUP(N141,[3]Planilha1!$A$5:$B$72,2,0)</f>
        <v>#N/A</v>
      </c>
    </row>
    <row r="142" spans="12:21">
      <c r="L142" s="494" t="s">
        <v>1281</v>
      </c>
      <c r="M142" s="494" t="s">
        <v>775</v>
      </c>
      <c r="N142" s="505" t="s">
        <v>710</v>
      </c>
      <c r="O142" s="505" t="s">
        <v>333</v>
      </c>
      <c r="P142" s="506">
        <v>30560</v>
      </c>
      <c r="Q142" s="507" t="s">
        <v>1511</v>
      </c>
      <c r="R142" s="494">
        <v>221</v>
      </c>
      <c r="S142" s="494">
        <v>3030</v>
      </c>
      <c r="U142" s="18" t="e">
        <f>VLOOKUP(N142,[3]Planilha1!$A$5:$B$72,2,0)</f>
        <v>#N/A</v>
      </c>
    </row>
    <row r="143" spans="12:21">
      <c r="L143" s="494" t="s">
        <v>1281</v>
      </c>
      <c r="M143" s="494" t="s">
        <v>775</v>
      </c>
      <c r="N143" s="505" t="s">
        <v>711</v>
      </c>
      <c r="O143" s="505" t="s">
        <v>1048</v>
      </c>
      <c r="P143" s="506">
        <v>15280</v>
      </c>
      <c r="Q143" s="507" t="s">
        <v>1512</v>
      </c>
      <c r="R143" s="494">
        <v>221</v>
      </c>
      <c r="S143" s="494">
        <v>3031</v>
      </c>
      <c r="U143" s="18" t="e">
        <f>VLOOKUP(N143,[3]Planilha1!$A$5:$B$72,2,0)</f>
        <v>#N/A</v>
      </c>
    </row>
    <row r="144" spans="12:21">
      <c r="L144" s="494" t="s">
        <v>1281</v>
      </c>
      <c r="M144" s="494" t="s">
        <v>775</v>
      </c>
      <c r="N144" s="505" t="s">
        <v>713</v>
      </c>
      <c r="O144" s="505" t="s">
        <v>1046</v>
      </c>
      <c r="P144" s="506">
        <v>30560</v>
      </c>
      <c r="Q144" s="507" t="s">
        <v>1513</v>
      </c>
      <c r="R144" s="494">
        <v>221</v>
      </c>
      <c r="S144" s="494">
        <v>3032</v>
      </c>
      <c r="U144" s="18" t="e">
        <f>VLOOKUP(N144,[3]Planilha1!$A$5:$B$72,2,0)</f>
        <v>#N/A</v>
      </c>
    </row>
    <row r="145" spans="8:21">
      <c r="L145" s="494" t="s">
        <v>1281</v>
      </c>
      <c r="M145" s="494" t="s">
        <v>775</v>
      </c>
      <c r="N145" s="505" t="s">
        <v>724</v>
      </c>
      <c r="O145" s="505" t="s">
        <v>333</v>
      </c>
      <c r="P145" s="506">
        <v>16235</v>
      </c>
      <c r="Q145" s="507" t="s">
        <v>1514</v>
      </c>
      <c r="R145" s="494">
        <v>227</v>
      </c>
      <c r="S145" s="494">
        <v>3037</v>
      </c>
      <c r="U145" s="18" t="e">
        <f>VLOOKUP(N145,[3]Planilha1!$A$5:$B$72,2,0)</f>
        <v>#N/A</v>
      </c>
    </row>
    <row r="146" spans="8:21">
      <c r="L146" s="494" t="s">
        <v>1281</v>
      </c>
      <c r="M146" s="494" t="s">
        <v>775</v>
      </c>
      <c r="N146" s="505" t="s">
        <v>732</v>
      </c>
      <c r="O146" s="505" t="s">
        <v>1048</v>
      </c>
      <c r="P146" s="506">
        <v>15757.5</v>
      </c>
      <c r="Q146" s="507" t="s">
        <v>1515</v>
      </c>
      <c r="R146" s="494">
        <v>227</v>
      </c>
      <c r="S146" s="494">
        <v>3038</v>
      </c>
      <c r="U146" s="18" t="e">
        <f>VLOOKUP(N146,[3]Planilha1!$A$5:$B$72,2,0)</f>
        <v>#N/A</v>
      </c>
    </row>
    <row r="147" spans="8:21">
      <c r="L147" s="494" t="s">
        <v>1281</v>
      </c>
      <c r="M147" s="494" t="s">
        <v>775</v>
      </c>
      <c r="N147" s="505" t="s">
        <v>720</v>
      </c>
      <c r="O147" s="505" t="s">
        <v>1046</v>
      </c>
      <c r="P147" s="506">
        <v>16235</v>
      </c>
      <c r="Q147" s="507" t="s">
        <v>1516</v>
      </c>
      <c r="R147" s="494">
        <v>227</v>
      </c>
      <c r="S147" s="494">
        <v>3039</v>
      </c>
      <c r="U147" s="18" t="e">
        <f>VLOOKUP(N147,[3]Planilha1!$A$5:$B$72,2,0)</f>
        <v>#N/A</v>
      </c>
    </row>
    <row r="148" spans="8:21">
      <c r="L148" s="494" t="s">
        <v>1281</v>
      </c>
      <c r="M148" s="494" t="s">
        <v>775</v>
      </c>
      <c r="N148" s="505" t="s">
        <v>709</v>
      </c>
      <c r="O148" s="505" t="s">
        <v>1088</v>
      </c>
      <c r="P148" s="506">
        <v>16235</v>
      </c>
      <c r="Q148" s="507" t="s">
        <v>1517</v>
      </c>
      <c r="R148" s="494">
        <v>227</v>
      </c>
      <c r="S148" s="494">
        <v>3040</v>
      </c>
      <c r="U148" s="18" t="e">
        <f>VLOOKUP(N148,[3]Planilha1!$A$5:$B$72,2,0)</f>
        <v>#N/A</v>
      </c>
    </row>
    <row r="149" spans="8:21">
      <c r="L149" s="494" t="s">
        <v>1281</v>
      </c>
      <c r="M149" s="494" t="s">
        <v>775</v>
      </c>
      <c r="N149" s="505" t="s">
        <v>712</v>
      </c>
      <c r="O149" s="505" t="s">
        <v>1057</v>
      </c>
      <c r="P149" s="506">
        <v>16235</v>
      </c>
      <c r="Q149" s="507" t="s">
        <v>1518</v>
      </c>
      <c r="R149" s="494">
        <v>227</v>
      </c>
      <c r="S149" s="494">
        <v>3041</v>
      </c>
      <c r="U149" s="18" t="e">
        <f>VLOOKUP(N149,[3]Planilha1!$A$5:$B$72,2,0)</f>
        <v>#N/A</v>
      </c>
    </row>
    <row r="150" spans="8:21">
      <c r="L150" s="494" t="s">
        <v>1281</v>
      </c>
      <c r="M150" s="494" t="s">
        <v>775</v>
      </c>
      <c r="N150" s="505" t="s">
        <v>714</v>
      </c>
      <c r="O150" s="505" t="s">
        <v>1076</v>
      </c>
      <c r="P150" s="506">
        <v>16235</v>
      </c>
      <c r="Q150" s="507" t="s">
        <v>1519</v>
      </c>
      <c r="R150" s="494">
        <v>227</v>
      </c>
      <c r="S150" s="494">
        <v>3042</v>
      </c>
      <c r="U150" s="18" t="e">
        <f>VLOOKUP(N150,[3]Planilha1!$A$5:$B$72,2,0)</f>
        <v>#N/A</v>
      </c>
    </row>
    <row r="151" spans="8:21">
      <c r="H151" t="str">
        <f t="shared" ref="H151" si="0">LEFT(G151,3)</f>
        <v/>
      </c>
      <c r="I151" t="str">
        <f t="shared" ref="I151" si="1">RIGHT(G151,4)</f>
        <v/>
      </c>
      <c r="L151" s="494" t="s">
        <v>1281</v>
      </c>
      <c r="M151" s="494" t="s">
        <v>775</v>
      </c>
      <c r="N151" s="505" t="s">
        <v>717</v>
      </c>
      <c r="O151" s="505" t="s">
        <v>1078</v>
      </c>
      <c r="P151" s="506">
        <v>16235</v>
      </c>
      <c r="Q151" s="507" t="s">
        <v>1520</v>
      </c>
      <c r="R151" s="494">
        <v>227</v>
      </c>
      <c r="S151" s="494">
        <v>3043</v>
      </c>
      <c r="U151" s="18" t="e">
        <f>VLOOKUP(N151,[3]Planilha1!$A$5:$B$72,2,0)</f>
        <v>#N/A</v>
      </c>
    </row>
    <row r="152" spans="8:21">
      <c r="L152" s="494" t="s">
        <v>1281</v>
      </c>
      <c r="M152" s="494" t="s">
        <v>775</v>
      </c>
      <c r="N152" s="505" t="s">
        <v>741</v>
      </c>
      <c r="O152" s="505" t="s">
        <v>1400</v>
      </c>
      <c r="P152" s="506">
        <v>16235</v>
      </c>
      <c r="Q152" s="507" t="s">
        <v>1521</v>
      </c>
      <c r="R152" s="494">
        <v>227</v>
      </c>
      <c r="S152" s="494">
        <v>3044</v>
      </c>
      <c r="U152" s="18" t="e">
        <f>VLOOKUP(N152,[3]Planilha1!$A$5:$B$72,2,0)</f>
        <v>#N/A</v>
      </c>
    </row>
    <row r="153" spans="8:21">
      <c r="L153" s="494" t="s">
        <v>1281</v>
      </c>
      <c r="M153" s="494" t="s">
        <v>775</v>
      </c>
      <c r="N153" s="505" t="s">
        <v>719</v>
      </c>
      <c r="O153" s="505" t="s">
        <v>1403</v>
      </c>
      <c r="P153" s="506">
        <v>53480</v>
      </c>
      <c r="Q153" s="507" t="s">
        <v>1522</v>
      </c>
      <c r="R153" s="494">
        <v>220</v>
      </c>
      <c r="S153" s="494">
        <v>3033</v>
      </c>
      <c r="U153" s="18" t="e">
        <f>VLOOKUP(N153,[3]Planilha1!$A$5:$B$72,2,0)</f>
        <v>#N/A</v>
      </c>
    </row>
    <row r="154" spans="8:21">
      <c r="L154" s="494" t="s">
        <v>1281</v>
      </c>
      <c r="M154" s="494" t="s">
        <v>775</v>
      </c>
      <c r="N154" s="505" t="s">
        <v>716</v>
      </c>
      <c r="O154" s="505" t="s">
        <v>1406</v>
      </c>
      <c r="P154" s="506">
        <v>53480</v>
      </c>
      <c r="Q154" s="507" t="s">
        <v>1523</v>
      </c>
      <c r="R154" s="494">
        <v>220</v>
      </c>
      <c r="S154" s="494">
        <v>3034</v>
      </c>
      <c r="U154" s="18" t="e">
        <f>VLOOKUP(N154,[3]Planilha1!$A$5:$B$72,2,0)</f>
        <v>#N/A</v>
      </c>
    </row>
    <row r="155" spans="8:21">
      <c r="L155" s="494" t="s">
        <v>1281</v>
      </c>
      <c r="M155" s="494" t="s">
        <v>775</v>
      </c>
      <c r="N155" s="505" t="s">
        <v>718</v>
      </c>
      <c r="O155" s="505" t="s">
        <v>1410</v>
      </c>
      <c r="P155" s="506">
        <v>53480</v>
      </c>
      <c r="Q155" s="507" t="s">
        <v>1524</v>
      </c>
      <c r="R155" s="494">
        <v>220</v>
      </c>
      <c r="S155" s="494">
        <v>3035</v>
      </c>
      <c r="U155" s="18" t="e">
        <f>VLOOKUP(N155,[3]Planilha1!$A$5:$B$72,2,0)</f>
        <v>#N/A</v>
      </c>
    </row>
    <row r="156" spans="8:21">
      <c r="L156" s="494" t="s">
        <v>1281</v>
      </c>
      <c r="M156" s="494" t="s">
        <v>775</v>
      </c>
      <c r="N156" s="505" t="s">
        <v>715</v>
      </c>
      <c r="O156" s="505" t="s">
        <v>1413</v>
      </c>
      <c r="P156" s="506">
        <v>53480</v>
      </c>
      <c r="Q156" s="507" t="s">
        <v>1525</v>
      </c>
      <c r="R156" s="494">
        <v>220</v>
      </c>
      <c r="S156" s="494">
        <v>3036</v>
      </c>
      <c r="U156" s="18" t="e">
        <f>VLOOKUP(N156,[3]Planilha1!$A$5:$B$72,2,0)</f>
        <v>#N/A</v>
      </c>
    </row>
    <row r="157" spans="8:21">
      <c r="L157" s="495" t="s">
        <v>220</v>
      </c>
      <c r="M157" s="495" t="s">
        <v>775</v>
      </c>
      <c r="N157" s="508" t="s">
        <v>786</v>
      </c>
      <c r="O157" s="508" t="s">
        <v>333</v>
      </c>
      <c r="P157" s="509">
        <v>50000</v>
      </c>
      <c r="Q157" s="510" t="s">
        <v>1112</v>
      </c>
      <c r="R157" s="495">
        <v>20</v>
      </c>
      <c r="S157" s="495">
        <v>204</v>
      </c>
      <c r="U157" s="18" t="s">
        <v>1526</v>
      </c>
    </row>
    <row r="158" spans="8:21">
      <c r="L158" s="495" t="s">
        <v>220</v>
      </c>
      <c r="M158" s="495" t="s">
        <v>775</v>
      </c>
      <c r="N158" s="508" t="s">
        <v>787</v>
      </c>
      <c r="O158" s="508" t="s">
        <v>333</v>
      </c>
      <c r="P158" s="509">
        <v>25000</v>
      </c>
      <c r="Q158" s="510" t="s">
        <v>1119</v>
      </c>
      <c r="R158" s="495">
        <v>19</v>
      </c>
      <c r="S158" s="495">
        <v>362</v>
      </c>
      <c r="U158" s="18" t="s">
        <v>1527</v>
      </c>
    </row>
    <row r="159" spans="8:21">
      <c r="L159" s="1282" t="s">
        <v>220</v>
      </c>
      <c r="M159" s="1282" t="s">
        <v>775</v>
      </c>
      <c r="N159" s="1283" t="s">
        <v>1117</v>
      </c>
      <c r="O159" s="1283" t="s">
        <v>333</v>
      </c>
      <c r="P159" s="1285" t="s">
        <v>1528</v>
      </c>
      <c r="Q159" s="1284" t="s">
        <v>1116</v>
      </c>
      <c r="R159" s="1282">
        <v>6</v>
      </c>
      <c r="S159" s="1282">
        <v>208</v>
      </c>
      <c r="U159" s="18" t="e">
        <f>VLOOKUP(N159,[3]Planilha1!$A$5:$B$72,2,0)</f>
        <v>#N/A</v>
      </c>
    </row>
    <row r="160" spans="8:21">
      <c r="L160" s="495" t="s">
        <v>220</v>
      </c>
      <c r="M160" s="495" t="s">
        <v>775</v>
      </c>
      <c r="N160" s="508" t="s">
        <v>785</v>
      </c>
      <c r="O160" s="508" t="s">
        <v>333</v>
      </c>
      <c r="P160" s="509">
        <v>50000</v>
      </c>
      <c r="Q160" s="510" t="s">
        <v>1108</v>
      </c>
      <c r="R160" s="495">
        <v>6</v>
      </c>
      <c r="S160" s="495">
        <v>205</v>
      </c>
      <c r="U160" s="18" t="s">
        <v>1529</v>
      </c>
    </row>
    <row r="161" spans="12:21">
      <c r="L161" s="495" t="s">
        <v>220</v>
      </c>
      <c r="M161" s="495" t="s">
        <v>775</v>
      </c>
      <c r="N161" s="508" t="s">
        <v>788</v>
      </c>
      <c r="O161" s="508" t="s">
        <v>333</v>
      </c>
      <c r="P161" s="509">
        <v>50000</v>
      </c>
      <c r="Q161" s="510" t="s">
        <v>1123</v>
      </c>
      <c r="R161" s="495">
        <v>21</v>
      </c>
      <c r="S161" s="495">
        <v>207</v>
      </c>
      <c r="U161" s="18" t="s">
        <v>1530</v>
      </c>
    </row>
    <row r="162" spans="12:21">
      <c r="L162" s="495" t="s">
        <v>220</v>
      </c>
      <c r="M162" s="495" t="s">
        <v>775</v>
      </c>
      <c r="N162" s="508" t="s">
        <v>789</v>
      </c>
      <c r="O162" s="508" t="s">
        <v>333</v>
      </c>
      <c r="P162" s="509">
        <v>50000</v>
      </c>
      <c r="Q162" s="510" t="s">
        <v>1126</v>
      </c>
      <c r="R162" s="495">
        <v>14</v>
      </c>
      <c r="S162" s="495">
        <v>494</v>
      </c>
      <c r="U162" s="18" t="s">
        <v>1531</v>
      </c>
    </row>
    <row r="163" spans="12:21">
      <c r="L163" s="495" t="s">
        <v>220</v>
      </c>
      <c r="M163" s="495" t="s">
        <v>775</v>
      </c>
      <c r="N163" s="508" t="s">
        <v>778</v>
      </c>
      <c r="O163" s="508" t="s">
        <v>333</v>
      </c>
      <c r="P163" s="509">
        <v>50000</v>
      </c>
      <c r="Q163" s="510" t="s">
        <v>1129</v>
      </c>
      <c r="R163" s="495">
        <v>18</v>
      </c>
      <c r="S163" s="495">
        <v>895</v>
      </c>
      <c r="U163" s="18" t="s">
        <v>1532</v>
      </c>
    </row>
    <row r="164" spans="12:21">
      <c r="L164" s="495" t="s">
        <v>220</v>
      </c>
      <c r="M164" s="495" t="s">
        <v>775</v>
      </c>
      <c r="N164" s="508" t="s">
        <v>780</v>
      </c>
      <c r="O164" s="508" t="s">
        <v>333</v>
      </c>
      <c r="P164" s="509">
        <v>50000</v>
      </c>
      <c r="Q164" s="510" t="s">
        <v>1132</v>
      </c>
      <c r="R164" s="495">
        <v>10</v>
      </c>
      <c r="S164" s="495">
        <v>280</v>
      </c>
      <c r="U164" s="18" t="s">
        <v>1533</v>
      </c>
    </row>
    <row r="165" spans="12:21">
      <c r="L165" s="495" t="s">
        <v>220</v>
      </c>
      <c r="M165" s="495" t="s">
        <v>775</v>
      </c>
      <c r="N165" s="508" t="s">
        <v>783</v>
      </c>
      <c r="O165" s="508" t="s">
        <v>333</v>
      </c>
      <c r="P165" s="509">
        <v>50000</v>
      </c>
      <c r="Q165" s="510" t="s">
        <v>1135</v>
      </c>
      <c r="R165" s="495">
        <v>11</v>
      </c>
      <c r="S165" s="495">
        <v>134</v>
      </c>
      <c r="U165" s="18" t="s">
        <v>1534</v>
      </c>
    </row>
    <row r="166" spans="12:21">
      <c r="L166" s="528" t="s">
        <v>1421</v>
      </c>
      <c r="M166" s="528" t="s">
        <v>775</v>
      </c>
      <c r="N166" s="501" t="s">
        <v>532</v>
      </c>
      <c r="O166" s="501" t="s">
        <v>333</v>
      </c>
      <c r="P166" s="1052">
        <v>23000</v>
      </c>
      <c r="Q166" s="1053" t="s">
        <v>1535</v>
      </c>
      <c r="R166" s="528">
        <v>133</v>
      </c>
      <c r="S166" s="528">
        <v>2416</v>
      </c>
      <c r="U166" s="18" t="s">
        <v>1536</v>
      </c>
    </row>
    <row r="167" spans="12:21">
      <c r="L167" s="528" t="s">
        <v>1421</v>
      </c>
      <c r="M167" s="531" t="s">
        <v>775</v>
      </c>
      <c r="N167" s="501" t="s">
        <v>1537</v>
      </c>
      <c r="O167" s="532" t="s">
        <v>1048</v>
      </c>
      <c r="P167" s="1052">
        <v>23000</v>
      </c>
      <c r="Q167" s="1053" t="s">
        <v>1538</v>
      </c>
      <c r="R167" s="531">
        <v>133</v>
      </c>
      <c r="S167" s="531">
        <v>2417</v>
      </c>
      <c r="U167" s="18" t="s">
        <v>1539</v>
      </c>
    </row>
    <row r="168" spans="12:21">
      <c r="L168" s="528" t="s">
        <v>1421</v>
      </c>
      <c r="M168" s="528" t="s">
        <v>775</v>
      </c>
      <c r="N168" s="501" t="s">
        <v>533</v>
      </c>
      <c r="O168" s="501" t="s">
        <v>333</v>
      </c>
      <c r="P168" s="1052">
        <v>23000</v>
      </c>
      <c r="Q168" s="1053" t="s">
        <v>1540</v>
      </c>
      <c r="R168" s="528">
        <v>134</v>
      </c>
      <c r="S168" s="528">
        <v>2418</v>
      </c>
      <c r="U168" s="18" t="s">
        <v>1541</v>
      </c>
    </row>
    <row r="169" spans="12:21">
      <c r="L169" s="528" t="s">
        <v>1421</v>
      </c>
      <c r="M169" s="531" t="s">
        <v>775</v>
      </c>
      <c r="N169" s="501" t="s">
        <v>1542</v>
      </c>
      <c r="O169" s="532" t="s">
        <v>1048</v>
      </c>
      <c r="P169" s="1052">
        <v>23000</v>
      </c>
      <c r="Q169" s="1053" t="s">
        <v>1543</v>
      </c>
      <c r="R169" s="531">
        <v>134</v>
      </c>
      <c r="S169" s="531">
        <v>2419</v>
      </c>
      <c r="U169" s="18" t="s">
        <v>1544</v>
      </c>
    </row>
    <row r="170" spans="12:21">
      <c r="L170" s="528" t="s">
        <v>1421</v>
      </c>
      <c r="M170" s="528" t="s">
        <v>775</v>
      </c>
      <c r="N170" s="501" t="s">
        <v>535</v>
      </c>
      <c r="O170" s="501" t="s">
        <v>333</v>
      </c>
      <c r="P170" s="1052">
        <v>23000</v>
      </c>
      <c r="Q170" s="1053" t="s">
        <v>1545</v>
      </c>
      <c r="R170" s="528"/>
      <c r="S170" s="528">
        <v>2420</v>
      </c>
      <c r="U170" s="18" t="s">
        <v>1546</v>
      </c>
    </row>
    <row r="171" spans="12:21">
      <c r="L171" s="528" t="s">
        <v>1421</v>
      </c>
      <c r="M171" s="531" t="s">
        <v>775</v>
      </c>
      <c r="N171" s="501" t="s">
        <v>536</v>
      </c>
      <c r="O171" s="532" t="s">
        <v>1048</v>
      </c>
      <c r="P171" s="1052">
        <v>23000</v>
      </c>
      <c r="Q171" s="1053" t="s">
        <v>1547</v>
      </c>
      <c r="R171" s="531"/>
      <c r="S171" s="531">
        <v>2421</v>
      </c>
      <c r="U171" s="18" t="s">
        <v>1548</v>
      </c>
    </row>
    <row r="172" spans="12:21">
      <c r="L172" s="528" t="s">
        <v>1421</v>
      </c>
      <c r="M172" s="528" t="s">
        <v>775</v>
      </c>
      <c r="N172" s="501" t="s">
        <v>1549</v>
      </c>
      <c r="O172" s="501" t="s">
        <v>333</v>
      </c>
      <c r="P172" s="1052">
        <v>23000</v>
      </c>
      <c r="Q172" s="1053" t="s">
        <v>1550</v>
      </c>
      <c r="R172" s="528"/>
      <c r="S172" s="528">
        <v>2422</v>
      </c>
      <c r="U172" s="18" t="s">
        <v>1551</v>
      </c>
    </row>
    <row r="173" spans="12:21">
      <c r="L173" s="528" t="s">
        <v>1421</v>
      </c>
      <c r="M173" s="531" t="s">
        <v>775</v>
      </c>
      <c r="N173" s="501" t="s">
        <v>1552</v>
      </c>
      <c r="O173" s="532" t="s">
        <v>1048</v>
      </c>
      <c r="P173" s="1052">
        <v>23000</v>
      </c>
      <c r="Q173" s="1053" t="s">
        <v>1553</v>
      </c>
      <c r="R173" s="531"/>
      <c r="S173" s="531">
        <v>2423</v>
      </c>
      <c r="U173" s="18" t="s">
        <v>1554</v>
      </c>
    </row>
    <row r="174" spans="12:21">
      <c r="L174" s="513" t="s">
        <v>1426</v>
      </c>
      <c r="M174" s="513" t="s">
        <v>775</v>
      </c>
      <c r="N174" s="524" t="s">
        <v>349</v>
      </c>
      <c r="O174" s="524"/>
      <c r="P174" s="533">
        <v>33425</v>
      </c>
      <c r="Q174" s="534" t="s">
        <v>1555</v>
      </c>
      <c r="R174" s="513">
        <v>136</v>
      </c>
      <c r="S174" s="513">
        <v>2445</v>
      </c>
      <c r="U174" s="18" t="s">
        <v>1556</v>
      </c>
    </row>
    <row r="175" spans="12:21">
      <c r="L175" s="513" t="s">
        <v>1426</v>
      </c>
      <c r="M175" s="513" t="s">
        <v>775</v>
      </c>
      <c r="N175" s="524" t="s">
        <v>351</v>
      </c>
      <c r="O175" s="524"/>
      <c r="P175" s="533">
        <v>33425</v>
      </c>
      <c r="Q175" s="534" t="s">
        <v>1557</v>
      </c>
      <c r="R175" s="513">
        <v>136</v>
      </c>
      <c r="S175" s="513">
        <v>2446</v>
      </c>
      <c r="U175" s="18" t="s">
        <v>1558</v>
      </c>
    </row>
    <row r="176" spans="12:21">
      <c r="L176" s="513" t="s">
        <v>1426</v>
      </c>
      <c r="M176" s="513" t="s">
        <v>775</v>
      </c>
      <c r="N176" s="524" t="s">
        <v>353</v>
      </c>
      <c r="O176" s="524"/>
      <c r="P176" s="533">
        <v>33425</v>
      </c>
      <c r="Q176" s="534" t="s">
        <v>1559</v>
      </c>
      <c r="R176" s="513">
        <v>136</v>
      </c>
      <c r="S176" s="513">
        <v>2447</v>
      </c>
      <c r="U176" s="18" t="s">
        <v>1560</v>
      </c>
    </row>
    <row r="177" spans="12:21">
      <c r="L177" s="513" t="s">
        <v>1426</v>
      </c>
      <c r="M177" s="513" t="s">
        <v>775</v>
      </c>
      <c r="N177" s="527" t="s">
        <v>355</v>
      </c>
      <c r="O177" s="527"/>
      <c r="P177" s="535">
        <v>33425</v>
      </c>
      <c r="Q177" s="536" t="s">
        <v>1561</v>
      </c>
      <c r="R177" s="514">
        <v>136</v>
      </c>
      <c r="S177" s="514">
        <v>2448</v>
      </c>
      <c r="U177" s="18" t="s">
        <v>1562</v>
      </c>
    </row>
    <row r="178" spans="12:21">
      <c r="L178" s="513" t="s">
        <v>1426</v>
      </c>
      <c r="M178" s="513" t="s">
        <v>775</v>
      </c>
      <c r="N178" s="527" t="s">
        <v>356</v>
      </c>
      <c r="O178" s="527"/>
      <c r="P178" s="535">
        <v>33425</v>
      </c>
      <c r="Q178" s="536" t="s">
        <v>1563</v>
      </c>
      <c r="R178" s="514">
        <v>136</v>
      </c>
      <c r="S178" s="514">
        <v>2449</v>
      </c>
      <c r="U178" s="18" t="s">
        <v>1564</v>
      </c>
    </row>
    <row r="179" spans="12:21">
      <c r="L179" s="513" t="s">
        <v>1426</v>
      </c>
      <c r="M179" s="513" t="s">
        <v>775</v>
      </c>
      <c r="N179" s="527" t="s">
        <v>357</v>
      </c>
      <c r="O179" s="527"/>
      <c r="P179" s="535">
        <v>33425</v>
      </c>
      <c r="Q179" s="536" t="s">
        <v>1565</v>
      </c>
      <c r="R179" s="514">
        <v>136</v>
      </c>
      <c r="S179" s="514">
        <v>2450</v>
      </c>
      <c r="U179" s="18" t="s">
        <v>1566</v>
      </c>
    </row>
    <row r="180" spans="12:21">
      <c r="L180" s="513" t="s">
        <v>1426</v>
      </c>
      <c r="M180" s="513" t="s">
        <v>775</v>
      </c>
      <c r="N180" s="527" t="s">
        <v>358</v>
      </c>
      <c r="O180" s="527"/>
      <c r="P180" s="535">
        <v>33425</v>
      </c>
      <c r="Q180" s="536" t="s">
        <v>1567</v>
      </c>
      <c r="R180" s="514">
        <v>136</v>
      </c>
      <c r="S180" s="514">
        <v>2451</v>
      </c>
      <c r="U180" s="18" t="s">
        <v>1568</v>
      </c>
    </row>
    <row r="181" spans="12:21">
      <c r="L181" s="513" t="s">
        <v>1426</v>
      </c>
      <c r="M181" s="513" t="s">
        <v>775</v>
      </c>
      <c r="N181" s="527" t="s">
        <v>359</v>
      </c>
      <c r="O181" s="527"/>
      <c r="P181" s="535">
        <v>33425</v>
      </c>
      <c r="Q181" s="536" t="s">
        <v>1569</v>
      </c>
      <c r="R181" s="514">
        <v>136</v>
      </c>
      <c r="S181" s="514">
        <v>2452</v>
      </c>
      <c r="U181" s="18" t="s">
        <v>1570</v>
      </c>
    </row>
    <row r="182" spans="12:21">
      <c r="L182" s="539" t="s">
        <v>330</v>
      </c>
      <c r="M182" s="539" t="s">
        <v>775</v>
      </c>
      <c r="N182" s="540" t="s">
        <v>583</v>
      </c>
      <c r="O182" s="540"/>
      <c r="P182" s="541">
        <v>45000</v>
      </c>
      <c r="Q182" s="542" t="s">
        <v>1571</v>
      </c>
      <c r="R182" s="543">
        <v>70</v>
      </c>
      <c r="S182" s="543">
        <v>765</v>
      </c>
      <c r="U182" s="18" t="s">
        <v>1572</v>
      </c>
    </row>
    <row r="183" spans="12:21">
      <c r="L183" s="539" t="s">
        <v>330</v>
      </c>
      <c r="M183" s="539" t="s">
        <v>775</v>
      </c>
      <c r="N183" s="540" t="s">
        <v>570</v>
      </c>
      <c r="O183" s="540"/>
      <c r="P183" s="541">
        <v>35000</v>
      </c>
      <c r="Q183" s="542" t="s">
        <v>1573</v>
      </c>
      <c r="R183" s="543">
        <v>72</v>
      </c>
      <c r="S183" s="543">
        <v>750</v>
      </c>
      <c r="U183" s="18" t="s">
        <v>1574</v>
      </c>
    </row>
    <row r="184" spans="12:21">
      <c r="L184" s="539" t="s">
        <v>330</v>
      </c>
      <c r="M184" s="539" t="s">
        <v>775</v>
      </c>
      <c r="N184" s="540" t="s">
        <v>641</v>
      </c>
      <c r="O184" s="540"/>
      <c r="P184" s="541">
        <v>44000</v>
      </c>
      <c r="Q184" s="542" t="s">
        <v>1575</v>
      </c>
      <c r="R184" s="543">
        <v>72</v>
      </c>
      <c r="S184" s="543">
        <v>759</v>
      </c>
      <c r="U184" s="18" t="s">
        <v>1576</v>
      </c>
    </row>
    <row r="185" spans="12:21">
      <c r="L185" s="539" t="s">
        <v>330</v>
      </c>
      <c r="M185" s="539" t="s">
        <v>775</v>
      </c>
      <c r="N185" s="540" t="s">
        <v>638</v>
      </c>
      <c r="O185" s="540"/>
      <c r="P185" s="541">
        <v>19000</v>
      </c>
      <c r="Q185" s="542" t="s">
        <v>1577</v>
      </c>
      <c r="R185" s="543">
        <v>70</v>
      </c>
      <c r="S185" s="543">
        <v>747</v>
      </c>
      <c r="U185" s="18" t="s">
        <v>1578</v>
      </c>
    </row>
    <row r="186" spans="12:21">
      <c r="L186" s="539" t="s">
        <v>330</v>
      </c>
      <c r="M186" s="539" t="s">
        <v>775</v>
      </c>
      <c r="N186" s="540" t="s">
        <v>1579</v>
      </c>
      <c r="O186" s="540"/>
      <c r="P186" s="541">
        <v>44000</v>
      </c>
      <c r="Q186" s="542" t="s">
        <v>1580</v>
      </c>
      <c r="R186" s="543">
        <v>70</v>
      </c>
      <c r="S186" s="543">
        <v>3282</v>
      </c>
      <c r="U186" s="18" t="s">
        <v>1581</v>
      </c>
    </row>
    <row r="187" spans="12:21">
      <c r="L187" s="539" t="s">
        <v>330</v>
      </c>
      <c r="M187" s="539" t="s">
        <v>775</v>
      </c>
      <c r="N187" s="540" t="s">
        <v>1582</v>
      </c>
      <c r="O187" s="540"/>
      <c r="P187" s="541">
        <v>44000</v>
      </c>
      <c r="Q187" s="542" t="s">
        <v>1583</v>
      </c>
      <c r="R187" s="543">
        <v>70</v>
      </c>
      <c r="S187" s="543">
        <v>3283</v>
      </c>
      <c r="U187" s="18" t="s">
        <v>1584</v>
      </c>
    </row>
    <row r="188" spans="12:21">
      <c r="L188" s="539" t="s">
        <v>330</v>
      </c>
      <c r="M188" s="539" t="s">
        <v>775</v>
      </c>
      <c r="N188" s="540" t="s">
        <v>574</v>
      </c>
      <c r="O188" s="540"/>
      <c r="P188" s="541">
        <v>44000</v>
      </c>
      <c r="Q188" s="542" t="s">
        <v>1585</v>
      </c>
      <c r="R188" s="543">
        <v>72</v>
      </c>
      <c r="S188" s="543">
        <v>744</v>
      </c>
      <c r="U188" s="18" t="s">
        <v>1586</v>
      </c>
    </row>
    <row r="189" spans="12:21">
      <c r="L189" s="539" t="s">
        <v>330</v>
      </c>
      <c r="M189" s="539" t="s">
        <v>775</v>
      </c>
      <c r="N189" s="540" t="s">
        <v>666</v>
      </c>
      <c r="O189" s="540"/>
      <c r="P189" s="541">
        <v>45000</v>
      </c>
      <c r="Q189" s="542" t="s">
        <v>1587</v>
      </c>
      <c r="R189" s="543">
        <v>72</v>
      </c>
      <c r="S189" s="543">
        <v>745</v>
      </c>
      <c r="U189" s="18" t="s">
        <v>1588</v>
      </c>
    </row>
    <row r="190" spans="12:21">
      <c r="L190" s="539" t="s">
        <v>330</v>
      </c>
      <c r="M190" s="539" t="s">
        <v>775</v>
      </c>
      <c r="N190" s="540" t="s">
        <v>604</v>
      </c>
      <c r="O190" s="540"/>
      <c r="P190" s="541">
        <v>45000</v>
      </c>
      <c r="Q190" s="542" t="s">
        <v>1589</v>
      </c>
      <c r="R190" s="543">
        <v>70</v>
      </c>
      <c r="S190" s="543">
        <v>769</v>
      </c>
      <c r="U190" s="18" t="s">
        <v>1590</v>
      </c>
    </row>
    <row r="191" spans="12:21">
      <c r="L191" s="539" t="s">
        <v>330</v>
      </c>
      <c r="M191" s="539" t="s">
        <v>775</v>
      </c>
      <c r="N191" s="540" t="s">
        <v>589</v>
      </c>
      <c r="O191" s="540"/>
      <c r="P191" s="541">
        <v>48000</v>
      </c>
      <c r="Q191" s="542" t="s">
        <v>1591</v>
      </c>
      <c r="R191" s="543">
        <v>70</v>
      </c>
      <c r="S191" s="543">
        <v>1646</v>
      </c>
      <c r="U191" s="18" t="s">
        <v>1592</v>
      </c>
    </row>
    <row r="192" spans="12:21">
      <c r="L192" s="539" t="s">
        <v>330</v>
      </c>
      <c r="M192" s="539" t="s">
        <v>775</v>
      </c>
      <c r="N192" s="540" t="s">
        <v>601</v>
      </c>
      <c r="O192" s="540"/>
      <c r="P192" s="541">
        <v>48000</v>
      </c>
      <c r="Q192" s="542" t="s">
        <v>1593</v>
      </c>
      <c r="R192" s="543">
        <v>70</v>
      </c>
      <c r="S192" s="543">
        <v>1647</v>
      </c>
      <c r="U192" s="18" t="s">
        <v>1594</v>
      </c>
    </row>
    <row r="193" spans="12:21">
      <c r="L193" s="539" t="s">
        <v>330</v>
      </c>
      <c r="M193" s="539" t="s">
        <v>775</v>
      </c>
      <c r="N193" s="540" t="s">
        <v>608</v>
      </c>
      <c r="O193" s="540"/>
      <c r="P193" s="541">
        <v>45000</v>
      </c>
      <c r="Q193" s="542" t="s">
        <v>1595</v>
      </c>
      <c r="R193" s="543">
        <v>72</v>
      </c>
      <c r="S193" s="543">
        <v>753</v>
      </c>
      <c r="U193" s="18" t="s">
        <v>1596</v>
      </c>
    </row>
    <row r="194" spans="12:21">
      <c r="L194" s="539" t="s">
        <v>330</v>
      </c>
      <c r="M194" s="539" t="s">
        <v>775</v>
      </c>
      <c r="N194" s="540" t="s">
        <v>612</v>
      </c>
      <c r="O194" s="540"/>
      <c r="P194" s="541">
        <v>44000</v>
      </c>
      <c r="Q194" s="542" t="s">
        <v>1597</v>
      </c>
      <c r="R194" s="543">
        <v>72</v>
      </c>
      <c r="S194" s="543">
        <v>754</v>
      </c>
      <c r="U194" s="18" t="s">
        <v>1598</v>
      </c>
    </row>
    <row r="195" spans="12:21">
      <c r="L195" s="539" t="s">
        <v>330</v>
      </c>
      <c r="M195" s="539" t="s">
        <v>775</v>
      </c>
      <c r="N195" s="540" t="s">
        <v>587</v>
      </c>
      <c r="O195" s="540"/>
      <c r="P195" s="541">
        <v>44000</v>
      </c>
      <c r="Q195" s="542" t="s">
        <v>1599</v>
      </c>
      <c r="R195" s="543">
        <v>72</v>
      </c>
      <c r="S195" s="543">
        <v>748</v>
      </c>
      <c r="U195" s="18" t="s">
        <v>1600</v>
      </c>
    </row>
    <row r="196" spans="12:21">
      <c r="L196" s="539" t="s">
        <v>330</v>
      </c>
      <c r="M196" s="539" t="s">
        <v>775</v>
      </c>
      <c r="N196" s="540" t="s">
        <v>620</v>
      </c>
      <c r="O196" s="540"/>
      <c r="P196" s="541">
        <v>44000</v>
      </c>
      <c r="Q196" s="542" t="s">
        <v>1601</v>
      </c>
      <c r="R196" s="543">
        <v>70</v>
      </c>
      <c r="S196" s="543">
        <v>746</v>
      </c>
      <c r="U196" s="18" t="s">
        <v>1602</v>
      </c>
    </row>
    <row r="197" spans="12:21">
      <c r="L197" s="539" t="s">
        <v>330</v>
      </c>
      <c r="M197" s="539" t="s">
        <v>775</v>
      </c>
      <c r="N197" s="540" t="s">
        <v>632</v>
      </c>
      <c r="O197" s="540"/>
      <c r="P197" s="541">
        <v>58000</v>
      </c>
      <c r="Q197" s="542" t="s">
        <v>1603</v>
      </c>
      <c r="R197" s="543">
        <v>72</v>
      </c>
      <c r="S197" s="543">
        <v>757</v>
      </c>
      <c r="U197" s="18" t="s">
        <v>1604</v>
      </c>
    </row>
    <row r="198" spans="12:21">
      <c r="L198" s="539" t="s">
        <v>330</v>
      </c>
      <c r="M198" s="539" t="s">
        <v>775</v>
      </c>
      <c r="N198" s="540" t="s">
        <v>648</v>
      </c>
      <c r="O198" s="540"/>
      <c r="P198" s="541">
        <v>44000</v>
      </c>
      <c r="Q198" s="542" t="s">
        <v>1605</v>
      </c>
      <c r="R198" s="543">
        <v>70</v>
      </c>
      <c r="S198" s="543">
        <v>758</v>
      </c>
      <c r="U198" s="18" t="s">
        <v>1606</v>
      </c>
    </row>
    <row r="199" spans="12:21">
      <c r="L199" s="539" t="s">
        <v>330</v>
      </c>
      <c r="M199" s="539" t="s">
        <v>775</v>
      </c>
      <c r="N199" s="540" t="s">
        <v>568</v>
      </c>
      <c r="O199" s="540"/>
      <c r="P199" s="541">
        <v>45000</v>
      </c>
      <c r="Q199" s="542" t="s">
        <v>1607</v>
      </c>
      <c r="R199" s="543">
        <v>70</v>
      </c>
      <c r="S199" s="543">
        <v>764</v>
      </c>
      <c r="U199" s="18" t="s">
        <v>1608</v>
      </c>
    </row>
    <row r="200" spans="12:21">
      <c r="L200" s="539" t="s">
        <v>330</v>
      </c>
      <c r="M200" s="539" t="s">
        <v>775</v>
      </c>
      <c r="N200" s="540" t="s">
        <v>635</v>
      </c>
      <c r="O200" s="540"/>
      <c r="P200" s="541">
        <v>44000</v>
      </c>
      <c r="Q200" s="542" t="s">
        <v>1609</v>
      </c>
      <c r="R200" s="543">
        <v>70</v>
      </c>
      <c r="S200" s="543">
        <v>766</v>
      </c>
      <c r="U200" s="18" t="s">
        <v>1610</v>
      </c>
    </row>
    <row r="201" spans="12:21">
      <c r="L201" s="539" t="s">
        <v>330</v>
      </c>
      <c r="M201" s="539" t="s">
        <v>775</v>
      </c>
      <c r="N201" s="540" t="s">
        <v>617</v>
      </c>
      <c r="O201" s="540"/>
      <c r="P201" s="541">
        <v>44000</v>
      </c>
      <c r="Q201" s="542" t="s">
        <v>1611</v>
      </c>
      <c r="R201" s="543">
        <v>72</v>
      </c>
      <c r="S201" s="543">
        <v>767</v>
      </c>
      <c r="U201" s="18" t="s">
        <v>1612</v>
      </c>
    </row>
    <row r="202" spans="12:21">
      <c r="L202" s="539" t="s">
        <v>330</v>
      </c>
      <c r="M202" s="539" t="s">
        <v>775</v>
      </c>
      <c r="N202" s="540" t="s">
        <v>627</v>
      </c>
      <c r="O202" s="540"/>
      <c r="P202" s="541">
        <v>44000</v>
      </c>
      <c r="Q202" s="542" t="s">
        <v>1613</v>
      </c>
      <c r="R202" s="543">
        <v>70</v>
      </c>
      <c r="S202" s="543">
        <v>768</v>
      </c>
      <c r="U202" s="18" t="s">
        <v>1614</v>
      </c>
    </row>
    <row r="203" spans="12:21">
      <c r="L203" s="539" t="s">
        <v>330</v>
      </c>
      <c r="M203" s="539" t="s">
        <v>775</v>
      </c>
      <c r="N203" s="540" t="s">
        <v>1615</v>
      </c>
      <c r="O203" s="540"/>
      <c r="P203" s="541">
        <v>19000</v>
      </c>
      <c r="Q203" s="542" t="s">
        <v>1616</v>
      </c>
      <c r="R203" s="543">
        <v>94</v>
      </c>
      <c r="S203" s="543">
        <v>1382</v>
      </c>
      <c r="U203" s="18" t="s">
        <v>1617</v>
      </c>
    </row>
    <row r="204" spans="12:21">
      <c r="L204" s="539" t="s">
        <v>330</v>
      </c>
      <c r="M204" s="539" t="s">
        <v>775</v>
      </c>
      <c r="N204" s="540" t="s">
        <v>1618</v>
      </c>
      <c r="O204" s="540"/>
      <c r="P204" s="541">
        <v>19000</v>
      </c>
      <c r="Q204" s="542" t="s">
        <v>1619</v>
      </c>
      <c r="R204" s="543">
        <v>94</v>
      </c>
      <c r="S204" s="543">
        <v>1383</v>
      </c>
      <c r="U204" s="18" t="s">
        <v>1620</v>
      </c>
    </row>
    <row r="205" spans="12:21">
      <c r="L205" s="539" t="s">
        <v>330</v>
      </c>
      <c r="M205" s="539" t="s">
        <v>775</v>
      </c>
      <c r="N205" s="540" t="s">
        <v>1621</v>
      </c>
      <c r="O205" s="540"/>
      <c r="P205" s="541">
        <v>19000</v>
      </c>
      <c r="Q205" s="542" t="s">
        <v>1622</v>
      </c>
      <c r="R205" s="543">
        <v>94</v>
      </c>
      <c r="S205" s="543">
        <v>1384</v>
      </c>
      <c r="U205" s="18" t="s">
        <v>1623</v>
      </c>
    </row>
    <row r="206" spans="12:21">
      <c r="L206" s="539" t="s">
        <v>330</v>
      </c>
      <c r="M206" s="539" t="s">
        <v>775</v>
      </c>
      <c r="N206" s="540" t="s">
        <v>1624</v>
      </c>
      <c r="O206" s="540"/>
      <c r="P206" s="541">
        <v>19000</v>
      </c>
      <c r="Q206" s="542" t="s">
        <v>1625</v>
      </c>
      <c r="R206" s="543">
        <v>94</v>
      </c>
      <c r="S206" s="543">
        <v>1385</v>
      </c>
      <c r="U206" s="18" t="s">
        <v>1626</v>
      </c>
    </row>
    <row r="207" spans="12:21">
      <c r="L207" s="539" t="s">
        <v>330</v>
      </c>
      <c r="M207" s="539" t="s">
        <v>775</v>
      </c>
      <c r="N207" s="540" t="s">
        <v>1627</v>
      </c>
      <c r="O207" s="540"/>
      <c r="P207" s="541">
        <v>30000</v>
      </c>
      <c r="Q207" s="542" t="s">
        <v>1628</v>
      </c>
      <c r="R207" s="543">
        <v>94</v>
      </c>
      <c r="S207" s="543">
        <v>1450</v>
      </c>
      <c r="U207" s="18" t="s">
        <v>1629</v>
      </c>
    </row>
    <row r="208" spans="12:21">
      <c r="L208" s="539" t="s">
        <v>330</v>
      </c>
      <c r="M208" s="539" t="s">
        <v>775</v>
      </c>
      <c r="N208" s="540" t="s">
        <v>1630</v>
      </c>
      <c r="O208" s="540"/>
      <c r="P208" s="541">
        <v>30000</v>
      </c>
      <c r="Q208" s="542" t="s">
        <v>1631</v>
      </c>
      <c r="R208" s="543">
        <v>94</v>
      </c>
      <c r="S208" s="543">
        <v>634</v>
      </c>
      <c r="U208" s="18" t="s">
        <v>1632</v>
      </c>
    </row>
    <row r="209" spans="3:21">
      <c r="L209" s="539" t="s">
        <v>330</v>
      </c>
      <c r="M209" s="539" t="s">
        <v>775</v>
      </c>
      <c r="N209" s="540" t="s">
        <v>1633</v>
      </c>
      <c r="O209" s="540"/>
      <c r="P209" s="541">
        <v>28000</v>
      </c>
      <c r="Q209" s="542" t="s">
        <v>1634</v>
      </c>
      <c r="R209" s="543">
        <v>94</v>
      </c>
      <c r="S209" s="543">
        <v>635</v>
      </c>
      <c r="U209" s="18" t="s">
        <v>1635</v>
      </c>
    </row>
    <row r="210" spans="3:21">
      <c r="L210" s="539" t="s">
        <v>330</v>
      </c>
      <c r="M210" s="539" t="s">
        <v>775</v>
      </c>
      <c r="N210" s="540" t="s">
        <v>656</v>
      </c>
      <c r="O210" s="540"/>
      <c r="P210" s="541">
        <v>44000</v>
      </c>
      <c r="Q210" s="542" t="s">
        <v>1636</v>
      </c>
      <c r="R210" s="543">
        <v>72</v>
      </c>
      <c r="S210" s="543">
        <v>763</v>
      </c>
      <c r="U210" s="18" t="s">
        <v>1637</v>
      </c>
    </row>
    <row r="211" spans="3:21">
      <c r="L211" s="539" t="s">
        <v>330</v>
      </c>
      <c r="M211" s="539" t="s">
        <v>775</v>
      </c>
      <c r="N211" s="540" t="s">
        <v>593</v>
      </c>
      <c r="O211" s="540"/>
      <c r="P211" s="541">
        <v>44000</v>
      </c>
      <c r="Q211" s="542" t="s">
        <v>1638</v>
      </c>
      <c r="R211" s="543">
        <v>72</v>
      </c>
      <c r="S211" s="543">
        <v>749</v>
      </c>
      <c r="U211" s="18" t="s">
        <v>1639</v>
      </c>
    </row>
    <row r="212" spans="3:21">
      <c r="L212" s="539" t="s">
        <v>330</v>
      </c>
      <c r="M212" s="539" t="s">
        <v>775</v>
      </c>
      <c r="N212" s="540" t="s">
        <v>597</v>
      </c>
      <c r="O212" s="540"/>
      <c r="P212" s="541">
        <v>44000</v>
      </c>
      <c r="Q212" s="542" t="s">
        <v>1640</v>
      </c>
      <c r="R212" s="543">
        <v>72</v>
      </c>
      <c r="S212" s="543">
        <v>1344</v>
      </c>
      <c r="U212" s="18" t="s">
        <v>1641</v>
      </c>
    </row>
    <row r="213" spans="3:21">
      <c r="L213" s="539" t="s">
        <v>330</v>
      </c>
      <c r="M213" s="539" t="s">
        <v>775</v>
      </c>
      <c r="N213" s="540" t="s">
        <v>552</v>
      </c>
      <c r="O213" s="540"/>
      <c r="P213" s="541">
        <v>44000</v>
      </c>
      <c r="Q213" s="542" t="s">
        <v>1642</v>
      </c>
      <c r="R213" s="543">
        <v>110</v>
      </c>
      <c r="S213" s="543">
        <v>1677</v>
      </c>
      <c r="U213" s="18" t="s">
        <v>1643</v>
      </c>
    </row>
    <row r="214" spans="3:21">
      <c r="L214" s="539" t="s">
        <v>330</v>
      </c>
      <c r="M214" s="539" t="s">
        <v>775</v>
      </c>
      <c r="N214" s="544" t="s">
        <v>625</v>
      </c>
      <c r="O214" s="544"/>
      <c r="P214" s="545">
        <v>46000</v>
      </c>
      <c r="Q214" s="542" t="s">
        <v>1644</v>
      </c>
      <c r="R214" s="543">
        <v>104</v>
      </c>
      <c r="S214" s="543">
        <v>1232</v>
      </c>
      <c r="U214" s="18" t="s">
        <v>1645</v>
      </c>
    </row>
    <row r="215" spans="3:21">
      <c r="L215" s="492" t="s">
        <v>806</v>
      </c>
      <c r="M215" s="539" t="s">
        <v>775</v>
      </c>
      <c r="N215" s="501" t="s">
        <v>1646</v>
      </c>
      <c r="O215" s="501"/>
      <c r="P215" s="1181">
        <v>57000</v>
      </c>
      <c r="Q215" s="1053" t="s">
        <v>1647</v>
      </c>
      <c r="R215" s="492">
        <v>40</v>
      </c>
      <c r="S215" s="492">
        <v>410</v>
      </c>
      <c r="U215" s="18" t="s">
        <v>1648</v>
      </c>
    </row>
    <row r="216" spans="3:21">
      <c r="L216" s="492" t="s">
        <v>806</v>
      </c>
      <c r="M216" s="539" t="s">
        <v>775</v>
      </c>
      <c r="N216" s="501" t="s">
        <v>1649</v>
      </c>
      <c r="O216" s="501"/>
      <c r="P216" s="1181">
        <v>57000</v>
      </c>
      <c r="Q216" s="1053" t="s">
        <v>1650</v>
      </c>
      <c r="R216" s="492">
        <v>40</v>
      </c>
      <c r="S216" s="492">
        <v>411</v>
      </c>
      <c r="U216" s="18" t="s">
        <v>1651</v>
      </c>
    </row>
    <row r="217" spans="3:21">
      <c r="L217" s="492" t="s">
        <v>806</v>
      </c>
      <c r="M217" s="539" t="s">
        <v>775</v>
      </c>
      <c r="N217" s="501" t="s">
        <v>1652</v>
      </c>
      <c r="O217" s="501"/>
      <c r="P217" s="1181">
        <v>47000</v>
      </c>
      <c r="Q217" s="1053" t="s">
        <v>1653</v>
      </c>
      <c r="R217" s="492">
        <v>40</v>
      </c>
      <c r="S217" s="492">
        <v>404</v>
      </c>
      <c r="U217" s="18" t="s">
        <v>1654</v>
      </c>
    </row>
    <row r="218" spans="3:21">
      <c r="L218" s="492" t="s">
        <v>806</v>
      </c>
      <c r="M218" s="539" t="s">
        <v>775</v>
      </c>
      <c r="N218" s="501" t="s">
        <v>1655</v>
      </c>
      <c r="O218" s="501"/>
      <c r="P218" s="1181">
        <v>47000</v>
      </c>
      <c r="Q218" s="1053" t="s">
        <v>1656</v>
      </c>
      <c r="R218" s="492">
        <v>40</v>
      </c>
      <c r="S218" s="492">
        <v>402</v>
      </c>
      <c r="U218" s="18" t="s">
        <v>1657</v>
      </c>
    </row>
    <row r="219" spans="3:21">
      <c r="L219" s="492" t="s">
        <v>806</v>
      </c>
      <c r="M219" s="539" t="s">
        <v>775</v>
      </c>
      <c r="N219" s="501" t="s">
        <v>1658</v>
      </c>
      <c r="O219" s="501"/>
      <c r="P219" s="1181">
        <v>57000</v>
      </c>
      <c r="Q219" s="1053" t="s">
        <v>1659</v>
      </c>
      <c r="R219" s="492">
        <v>44</v>
      </c>
      <c r="S219" s="492">
        <v>3268</v>
      </c>
      <c r="U219" s="18" t="s">
        <v>1660</v>
      </c>
    </row>
    <row r="220" spans="3:21">
      <c r="L220" s="492" t="s">
        <v>806</v>
      </c>
      <c r="M220" s="539" t="s">
        <v>775</v>
      </c>
      <c r="N220" s="501" t="s">
        <v>1661</v>
      </c>
      <c r="O220" s="501"/>
      <c r="P220" s="1181">
        <v>57000</v>
      </c>
      <c r="Q220" s="1053" t="s">
        <v>1662</v>
      </c>
      <c r="R220" s="492">
        <v>44</v>
      </c>
      <c r="S220" s="492">
        <v>3269</v>
      </c>
      <c r="U220" s="18" t="s">
        <v>1663</v>
      </c>
    </row>
    <row r="222" spans="3:21">
      <c r="C222" t="s">
        <v>1291</v>
      </c>
      <c r="D222" s="1166" t="s">
        <v>6</v>
      </c>
      <c r="E222" s="1166" t="s">
        <v>775</v>
      </c>
      <c r="F222" s="1166"/>
    </row>
    <row r="223" spans="3:21">
      <c r="C223" t="s">
        <v>329</v>
      </c>
      <c r="D223">
        <f>COUNTIF(Recria[Unidade],C223)</f>
        <v>38</v>
      </c>
      <c r="E223">
        <f>COUNTIF(Producao[Unidade],C223)</f>
        <v>82</v>
      </c>
    </row>
    <row r="224" spans="3:21">
      <c r="C224" t="s">
        <v>1251</v>
      </c>
      <c r="D224">
        <f>COUNTIF(Recria[Unidade],C224)</f>
        <v>6</v>
      </c>
      <c r="E224">
        <f>COUNTIF(Producao[Unidade],C224)</f>
        <v>19</v>
      </c>
    </row>
    <row r="225" spans="3:5">
      <c r="C225" t="s">
        <v>1281</v>
      </c>
      <c r="D225">
        <f>COUNTIF(Recria[Unidade],C225)</f>
        <v>21</v>
      </c>
      <c r="E225">
        <f>COUNTIF(Producao[Unidade],C225)</f>
        <v>21</v>
      </c>
    </row>
    <row r="226" spans="3:5">
      <c r="C226" t="s">
        <v>220</v>
      </c>
      <c r="D226">
        <f>COUNTIF(Recria[Unidade],C226)</f>
        <v>4</v>
      </c>
      <c r="E226">
        <f>COUNTIF(Producao[Unidade],C226)</f>
        <v>9</v>
      </c>
    </row>
    <row r="227" spans="3:5">
      <c r="C227" t="s">
        <v>1421</v>
      </c>
      <c r="D227">
        <f>COUNTIF(Recria[Unidade],C227)</f>
        <v>2</v>
      </c>
      <c r="E227">
        <f>COUNTIF(Producao[Unidade],C227)</f>
        <v>8</v>
      </c>
    </row>
    <row r="228" spans="3:5">
      <c r="C228" t="s">
        <v>1426</v>
      </c>
      <c r="D228">
        <f>COUNTIF(Recria[Unidade],C228)</f>
        <v>4</v>
      </c>
      <c r="E228">
        <f>COUNTIF(Producao[Unidade],C228)</f>
        <v>8</v>
      </c>
    </row>
    <row r="229" spans="3:5">
      <c r="C229" t="s">
        <v>330</v>
      </c>
      <c r="D229">
        <f>COUNTIF(Recria[Unidade],C229)</f>
        <v>9</v>
      </c>
      <c r="E229">
        <f>COUNTIF(Producao[Unidade],C229)</f>
        <v>33</v>
      </c>
    </row>
    <row r="230" spans="3:5">
      <c r="C230" t="s">
        <v>806</v>
      </c>
      <c r="D230">
        <f>COUNTIF(Recria[Unidade],C230)</f>
        <v>3</v>
      </c>
      <c r="E230">
        <v>6</v>
      </c>
    </row>
    <row r="231" spans="3:5">
      <c r="C231" t="s">
        <v>1290</v>
      </c>
      <c r="D231">
        <f>COUNTIF(Recria[Unidade],C231)</f>
        <v>0</v>
      </c>
      <c r="E231">
        <v>6</v>
      </c>
    </row>
  </sheetData>
  <dataConsolidate/>
  <phoneticPr fontId="75" type="noConversion"/>
  <conditionalFormatting sqref="D20:G106 N108:Q181">
    <cfRule type="cellIs" dxfId="157" priority="24" stopIfTrue="1" operator="equal">
      <formula>0</formula>
    </cfRule>
  </conditionalFormatting>
  <conditionalFormatting sqref="N20:N107 P27">
    <cfRule type="cellIs" dxfId="156" priority="19" stopIfTrue="1" operator="equal">
      <formula>0</formula>
    </cfRule>
  </conditionalFormatting>
  <conditionalFormatting sqref="O20:O107">
    <cfRule type="cellIs" dxfId="155" priority="10" stopIfTrue="1" operator="equal">
      <formula>0</formula>
    </cfRule>
  </conditionalFormatting>
  <conditionalFormatting sqref="P113:P116">
    <cfRule type="cellIs" dxfId="154" priority="17" stopIfTrue="1" operator="equal">
      <formula>0</formula>
    </cfRule>
  </conditionalFormatting>
  <conditionalFormatting sqref="P20:Q107">
    <cfRule type="cellIs" dxfId="153" priority="1" stopIfTrue="1" operator="equal">
      <formula>0</formula>
    </cfRule>
  </conditionalFormatting>
  <pageMargins left="0.511811024" right="0.511811024" top="0.78740157499999996" bottom="0.78740157499999996" header="0.31496062000000002" footer="0.31496062000000002"/>
  <drawing r:id="rId3"/>
  <tableParts count="2">
    <tablePart r:id="rId4"/>
    <tablePart r:id="rId5"/>
  </tableParts>
  <extLst>
    <ext xmlns:x14="http://schemas.microsoft.com/office/spreadsheetml/2009/9/main" uri="{A8765BA9-456A-4dab-B4F3-ACF838C121DE}">
      <x14:slicerList>
        <x14:slicer r:id="rId6"/>
      </x14:slicerList>
    </ext>
    <ext xmlns:x15="http://schemas.microsoft.com/office/spreadsheetml/2010/11/main" uri="{3A4CF648-6AED-40f4-86FF-DC5316D8AED3}">
      <x14:slicerList xmlns:x14="http://schemas.microsoft.com/office/spreadsheetml/2009/9/main">
        <x14:slicer r:id="rId7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BF2E-DFE1-4879-810B-2265234CFA32}">
  <sheetPr codeName="Planilha6"/>
  <dimension ref="A1:W79"/>
  <sheetViews>
    <sheetView showGridLines="0" topLeftCell="A31" workbookViewId="0">
      <selection activeCell="D58" sqref="D58"/>
    </sheetView>
  </sheetViews>
  <sheetFormatPr defaultRowHeight="15"/>
  <cols>
    <col min="1" max="1" width="12.296875" bestFit="1" customWidth="1"/>
    <col min="2" max="2" width="20.3984375" bestFit="1" customWidth="1"/>
    <col min="3" max="3" width="15.5" bestFit="1" customWidth="1"/>
    <col min="4" max="4" width="15.09765625" bestFit="1" customWidth="1"/>
    <col min="5" max="6" width="8.59765625" bestFit="1" customWidth="1"/>
    <col min="7" max="7" width="23" bestFit="1" customWidth="1"/>
    <col min="8" max="8" width="8.59765625" bestFit="1" customWidth="1"/>
    <col min="9" max="9" width="8.59765625" customWidth="1"/>
    <col min="10" max="10" width="22.296875" customWidth="1"/>
    <col min="11" max="11" width="22.296875" bestFit="1" customWidth="1"/>
    <col min="12" max="12" width="12.69921875" customWidth="1"/>
    <col min="13" max="13" width="10.69921875" bestFit="1" customWidth="1"/>
    <col min="14" max="15" width="14.296875" bestFit="1" customWidth="1"/>
  </cols>
  <sheetData>
    <row r="1" spans="2:19">
      <c r="B1" s="246" t="s">
        <v>1664</v>
      </c>
      <c r="C1" s="301" t="s">
        <v>1293</v>
      </c>
      <c r="D1" s="302" t="s">
        <v>1665</v>
      </c>
      <c r="E1" s="302" t="s">
        <v>1666</v>
      </c>
      <c r="F1" s="302" t="s">
        <v>1667</v>
      </c>
      <c r="G1" s="302" t="s">
        <v>1668</v>
      </c>
      <c r="H1" s="302" t="s">
        <v>1669</v>
      </c>
      <c r="I1" s="302" t="s">
        <v>1670</v>
      </c>
      <c r="J1" s="302" t="s">
        <v>1671</v>
      </c>
      <c r="K1" s="302" t="s">
        <v>1672</v>
      </c>
      <c r="L1" s="246" t="s">
        <v>1673</v>
      </c>
      <c r="M1" s="246" t="s">
        <v>1674</v>
      </c>
      <c r="N1" s="246" t="s">
        <v>1675</v>
      </c>
      <c r="O1" s="246" t="s">
        <v>1676</v>
      </c>
    </row>
    <row r="2" spans="2:19">
      <c r="B2" s="161" t="s">
        <v>1677</v>
      </c>
      <c r="C2" s="306">
        <v>60000</v>
      </c>
      <c r="D2" s="307">
        <v>45741</v>
      </c>
      <c r="E2" s="307">
        <v>45841</v>
      </c>
      <c r="F2" s="307"/>
      <c r="G2" s="307" t="s">
        <v>1678</v>
      </c>
      <c r="H2" s="307"/>
      <c r="I2" s="307"/>
      <c r="J2" s="307">
        <v>45931</v>
      </c>
      <c r="K2" s="872">
        <f>Tabela1[[#This Row],[Data Real]]-Tabela1[[#This Row],[Data Base]]</f>
        <v>190</v>
      </c>
      <c r="L2" s="308">
        <v>46082</v>
      </c>
      <c r="M2" s="308"/>
      <c r="N2" s="308">
        <f>Tabela1[[#This Row],[Data Base]]+154</f>
        <v>45895</v>
      </c>
      <c r="O2" s="308">
        <f>Tabela1[[#This Row],[1ª Lote Previsto]]+30</f>
        <v>45925</v>
      </c>
      <c r="P2" s="1088"/>
      <c r="Q2" s="1088"/>
      <c r="R2" s="1088"/>
    </row>
    <row r="3" spans="2:19">
      <c r="B3" s="161" t="s">
        <v>83</v>
      </c>
      <c r="C3" s="306">
        <v>84000</v>
      </c>
      <c r="D3" s="307">
        <v>45771</v>
      </c>
      <c r="E3" s="307" t="s">
        <v>1678</v>
      </c>
      <c r="F3" s="307" t="s">
        <v>1678</v>
      </c>
      <c r="G3" s="307" t="s">
        <v>1678</v>
      </c>
      <c r="H3" s="307"/>
      <c r="I3" s="307"/>
      <c r="J3" s="307">
        <v>45771</v>
      </c>
      <c r="K3" s="872">
        <f>Tabela1[[#This Row],[Data Real]]-Tabela1[[#This Row],[Data Base]]</f>
        <v>0</v>
      </c>
      <c r="L3" s="308"/>
      <c r="M3" s="308"/>
      <c r="N3" s="308">
        <f>Tabela1[[#This Row],[Data Base]]+154</f>
        <v>45925</v>
      </c>
      <c r="O3" s="308">
        <f>Tabela1[[#This Row],[1ª Lote Previsto]]+30</f>
        <v>45955</v>
      </c>
      <c r="P3" s="1088"/>
      <c r="Q3" s="1088"/>
      <c r="R3" s="1088"/>
    </row>
    <row r="4" spans="2:19">
      <c r="B4" s="161" t="s">
        <v>1679</v>
      </c>
      <c r="C4" s="306">
        <v>84000</v>
      </c>
      <c r="D4" s="307">
        <v>45797</v>
      </c>
      <c r="E4" s="307">
        <v>45976</v>
      </c>
      <c r="F4" s="307">
        <v>46162</v>
      </c>
      <c r="G4" s="307">
        <v>46239</v>
      </c>
      <c r="H4" s="307">
        <v>46356</v>
      </c>
      <c r="I4" s="307"/>
      <c r="J4" s="307">
        <v>46356</v>
      </c>
      <c r="K4" s="872">
        <f>Tabela1[[#This Row],[Data Real]]-Tabela1[[#This Row],[Data Base]]</f>
        <v>559</v>
      </c>
      <c r="L4" s="308"/>
      <c r="M4" s="308"/>
      <c r="N4" s="308">
        <f>Tabela1[[#This Row],[Data Base]]+154</f>
        <v>45951</v>
      </c>
      <c r="O4" s="308">
        <f>Tabela1[[#This Row],[1ª Lote Previsto]]+30</f>
        <v>45981</v>
      </c>
      <c r="P4" s="1088"/>
      <c r="Q4" s="1088"/>
      <c r="R4" s="1088"/>
    </row>
    <row r="5" spans="2:19">
      <c r="B5" s="161" t="s">
        <v>216</v>
      </c>
      <c r="C5" s="306">
        <v>60000</v>
      </c>
      <c r="D5" s="307">
        <v>45955</v>
      </c>
      <c r="E5" s="307" t="s">
        <v>1678</v>
      </c>
      <c r="F5" s="307" t="s">
        <v>1678</v>
      </c>
      <c r="G5" s="307" t="s">
        <v>1678</v>
      </c>
      <c r="H5" s="307"/>
      <c r="I5" s="307"/>
      <c r="J5" s="307">
        <v>45955</v>
      </c>
      <c r="K5" s="872">
        <f>Tabela1[[#This Row],[Data Real]]-Tabela1[[#This Row],[Data Base]]</f>
        <v>0</v>
      </c>
      <c r="L5" s="308"/>
      <c r="M5" s="308"/>
      <c r="N5" s="308">
        <f>Tabela1[[#This Row],[Data Base]]+154</f>
        <v>46109</v>
      </c>
      <c r="O5" s="308">
        <f>Tabela1[[#This Row],[1ª Lote Previsto]]+30</f>
        <v>46139</v>
      </c>
      <c r="P5" s="1088"/>
      <c r="Q5" s="1088"/>
      <c r="R5" s="1088"/>
      <c r="S5" s="161"/>
    </row>
    <row r="6" spans="2:19">
      <c r="B6" s="161" t="s">
        <v>241</v>
      </c>
      <c r="C6" s="306">
        <v>84000</v>
      </c>
      <c r="D6" s="307">
        <v>45989</v>
      </c>
      <c r="E6" s="307">
        <v>46043</v>
      </c>
      <c r="F6" s="307">
        <v>46091</v>
      </c>
      <c r="G6" s="307">
        <v>46122</v>
      </c>
      <c r="H6" s="307">
        <v>46181</v>
      </c>
      <c r="I6" s="307">
        <v>46205</v>
      </c>
      <c r="J6" s="307">
        <v>46205</v>
      </c>
      <c r="K6" s="872">
        <f>Tabela1[[#This Row],[Data Real]]-Tabela1[[#This Row],[Data Base]]</f>
        <v>216</v>
      </c>
      <c r="L6" s="308"/>
      <c r="M6" s="308"/>
      <c r="N6" s="308">
        <f>Tabela1[[#This Row],[Data Base]]+154</f>
        <v>46143</v>
      </c>
      <c r="O6" s="308">
        <f>Tabela1[[#This Row],[1ª Lote Previsto]]+30</f>
        <v>46173</v>
      </c>
      <c r="P6" s="1088"/>
      <c r="Q6" s="1088"/>
      <c r="R6" s="1088"/>
    </row>
    <row r="7" spans="2:19">
      <c r="B7" s="161" t="s">
        <v>521</v>
      </c>
      <c r="C7" s="306">
        <v>60000</v>
      </c>
      <c r="D7" s="307">
        <v>45996</v>
      </c>
      <c r="E7" s="307">
        <v>46140</v>
      </c>
      <c r="F7" s="307">
        <v>46148</v>
      </c>
      <c r="G7" s="307">
        <v>46213</v>
      </c>
      <c r="H7" s="307"/>
      <c r="I7" s="307"/>
      <c r="J7" s="307">
        <v>46198</v>
      </c>
      <c r="K7" s="872">
        <f>Tabela1[[#This Row],[Data Real]]-Tabela1[[#This Row],[Data Base]]</f>
        <v>202</v>
      </c>
      <c r="L7" s="308"/>
      <c r="M7" s="308"/>
      <c r="N7" s="308">
        <f>Tabela1[[#This Row],[Data Base]]+154</f>
        <v>46150</v>
      </c>
      <c r="O7" s="308">
        <f>Tabela1[[#This Row],[1ª Lote Previsto]]+30</f>
        <v>46180</v>
      </c>
      <c r="P7" s="1088"/>
      <c r="Q7" s="1088"/>
      <c r="R7" s="1088"/>
    </row>
    <row r="8" spans="2:19">
      <c r="B8" s="161" t="s">
        <v>1680</v>
      </c>
      <c r="C8" s="306">
        <v>60000</v>
      </c>
      <c r="D8" s="307">
        <v>46173</v>
      </c>
      <c r="E8" s="307" t="s">
        <v>1681</v>
      </c>
      <c r="F8" s="307">
        <v>46244</v>
      </c>
      <c r="G8" s="307">
        <v>46283</v>
      </c>
      <c r="H8" s="307"/>
      <c r="I8" s="307"/>
      <c r="J8" s="307">
        <v>46283</v>
      </c>
      <c r="K8" s="872">
        <f>Tabela1[[#This Row],[Data Real]]-Tabela1[[#This Row],[Data Base]]</f>
        <v>110</v>
      </c>
      <c r="L8" s="308"/>
      <c r="M8" s="308"/>
      <c r="N8" s="308">
        <f>Tabela1[[#This Row],[Data Base]]+154</f>
        <v>46327</v>
      </c>
      <c r="O8" s="308">
        <f>Tabela1[[#This Row],[1ª Lote Previsto]]+30</f>
        <v>46357</v>
      </c>
      <c r="P8" s="1088"/>
      <c r="Q8" s="1088"/>
      <c r="R8" s="1088"/>
    </row>
    <row r="9" spans="2:19">
      <c r="B9" s="161" t="s">
        <v>1682</v>
      </c>
      <c r="C9" s="306">
        <v>60000</v>
      </c>
      <c r="D9" s="307">
        <v>46259</v>
      </c>
      <c r="E9" s="307">
        <v>46326</v>
      </c>
      <c r="F9" s="307">
        <v>46376</v>
      </c>
      <c r="G9" s="307"/>
      <c r="H9" s="307"/>
      <c r="I9" s="307"/>
      <c r="J9" s="307">
        <v>46376</v>
      </c>
      <c r="K9" s="872">
        <f>Tabela1[[#This Row],[Data Real]]-Tabela1[[#This Row],[Data Base]]</f>
        <v>117</v>
      </c>
      <c r="L9" s="308"/>
      <c r="M9" s="308"/>
      <c r="N9" s="308">
        <f>Tabela1[[#This Row],[Data Base]]+154</f>
        <v>46413</v>
      </c>
      <c r="O9" s="308">
        <f>Tabela1[[#This Row],[1ª Lote Previsto]]+30</f>
        <v>46443</v>
      </c>
      <c r="P9" s="1088"/>
      <c r="Q9" s="1088"/>
      <c r="R9" s="1088"/>
    </row>
    <row r="10" spans="2:19">
      <c r="B10" s="161" t="s">
        <v>1683</v>
      </c>
      <c r="C10" s="306">
        <v>48000</v>
      </c>
      <c r="D10" s="307">
        <v>45884</v>
      </c>
      <c r="E10" s="307">
        <v>45961</v>
      </c>
      <c r="F10" s="307"/>
      <c r="G10" s="307"/>
      <c r="H10" s="307"/>
      <c r="I10" s="307"/>
      <c r="J10" s="307">
        <v>45982</v>
      </c>
      <c r="K10" s="872">
        <f>Tabela1[[#This Row],[Data Real]]-Tabela1[[#This Row],[Data Base]]</f>
        <v>98</v>
      </c>
      <c r="L10" s="308" t="s">
        <v>1684</v>
      </c>
      <c r="M10" s="308"/>
      <c r="N10" s="308">
        <f>Tabela1[[#This Row],[Data Base]]+154</f>
        <v>46038</v>
      </c>
      <c r="O10" s="308">
        <f>Tabela1[[#This Row],[1ª Lote Previsto]]+30</f>
        <v>46068</v>
      </c>
      <c r="P10" s="1088"/>
      <c r="Q10" s="1088"/>
      <c r="R10" s="1088"/>
    </row>
    <row r="11" spans="2:19">
      <c r="B11" s="161" t="s">
        <v>1685</v>
      </c>
      <c r="C11" s="306">
        <v>48000</v>
      </c>
      <c r="D11" s="307">
        <v>45976</v>
      </c>
      <c r="E11" s="307">
        <v>45674</v>
      </c>
      <c r="F11" s="307">
        <v>46068</v>
      </c>
      <c r="G11" s="307"/>
      <c r="H11" s="307"/>
      <c r="I11" s="307"/>
      <c r="J11" s="307">
        <v>46068</v>
      </c>
      <c r="K11" s="872">
        <f>Tabela1[[#This Row],[Data Real]]-Tabela1[[#This Row],[Data Base]]</f>
        <v>92</v>
      </c>
      <c r="L11" s="308" t="s">
        <v>1686</v>
      </c>
      <c r="M11" s="308"/>
      <c r="N11" s="308">
        <f>Tabela1[[#This Row],[Data Base]]+154</f>
        <v>46130</v>
      </c>
      <c r="O11" s="308">
        <f>Tabela1[[#This Row],[1ª Lote Previsto]]+30</f>
        <v>46160</v>
      </c>
      <c r="P11" s="1088"/>
      <c r="Q11" s="1088"/>
      <c r="R11" s="1088"/>
    </row>
    <row r="12" spans="2:19">
      <c r="B12" s="161" t="s">
        <v>1687</v>
      </c>
      <c r="C12" s="306">
        <v>35000</v>
      </c>
      <c r="D12" s="307">
        <v>45989</v>
      </c>
      <c r="E12" s="307">
        <v>45982</v>
      </c>
      <c r="F12" s="307">
        <v>46028</v>
      </c>
      <c r="G12" s="307"/>
      <c r="H12" s="307"/>
      <c r="I12" s="307"/>
      <c r="J12" s="307">
        <v>46051</v>
      </c>
      <c r="K12" s="872">
        <f>Tabela1[[#This Row],[Data Real]]-Tabela1[[#This Row],[Data Base]]</f>
        <v>62</v>
      </c>
      <c r="L12" s="308" t="s">
        <v>1688</v>
      </c>
      <c r="M12" s="308"/>
      <c r="N12" s="308">
        <f>Tabela1[[#This Row],[Data Base]]+154</f>
        <v>46143</v>
      </c>
      <c r="O12" s="308">
        <f>Tabela1[[#This Row],[1ª Lote Previsto]]+30</f>
        <v>46173</v>
      </c>
      <c r="P12" s="1088"/>
      <c r="Q12" s="1088"/>
      <c r="R12" s="1088"/>
    </row>
    <row r="13" spans="2:19">
      <c r="B13" s="161" t="s">
        <v>1689</v>
      </c>
      <c r="C13" s="306">
        <v>35000</v>
      </c>
      <c r="D13" s="307">
        <v>46039</v>
      </c>
      <c r="E13" s="307">
        <v>46081</v>
      </c>
      <c r="F13" s="307"/>
      <c r="G13" s="307"/>
      <c r="H13" s="307"/>
      <c r="I13" s="307"/>
      <c r="J13" s="307">
        <v>46081</v>
      </c>
      <c r="K13" s="872">
        <f>Tabela1[[#This Row],[Data Real]]-Tabela1[[#This Row],[Data Base]]</f>
        <v>42</v>
      </c>
      <c r="L13" s="308" t="s">
        <v>1690</v>
      </c>
      <c r="M13" s="308"/>
      <c r="N13" s="308">
        <f>Tabela1[[#This Row],[Data Base]]+154</f>
        <v>46193</v>
      </c>
      <c r="O13" s="308">
        <f>Tabela1[[#This Row],[1ª Lote Previsto]]+30</f>
        <v>46223</v>
      </c>
    </row>
    <row r="14" spans="2:19">
      <c r="B14" s="161" t="s">
        <v>1691</v>
      </c>
      <c r="C14" s="306">
        <v>35000</v>
      </c>
      <c r="D14" s="307">
        <f>D13+45</f>
        <v>46084</v>
      </c>
      <c r="E14" s="307"/>
      <c r="F14" s="307"/>
      <c r="G14" s="307"/>
      <c r="H14" s="307"/>
      <c r="I14" s="307"/>
      <c r="J14" s="307">
        <f>J13+45</f>
        <v>46126</v>
      </c>
      <c r="K14" s="872">
        <f>Tabela1[[#This Row],[Data Real]]-Tabela1[[#This Row],[Data Base]]</f>
        <v>42</v>
      </c>
      <c r="L14" s="308"/>
      <c r="M14" s="308"/>
      <c r="N14" s="308">
        <f>Tabela1[[#This Row],[Data Base]]+154</f>
        <v>46238</v>
      </c>
      <c r="O14" s="308">
        <f>Tabela1[[#This Row],[1ª Lote Previsto]]+30</f>
        <v>46268</v>
      </c>
    </row>
    <row r="15" spans="2:19">
      <c r="B15" s="161" t="s">
        <v>1692</v>
      </c>
      <c r="C15" s="306">
        <v>35000</v>
      </c>
      <c r="D15" s="308">
        <f>D14+45</f>
        <v>46129</v>
      </c>
      <c r="E15" s="308"/>
      <c r="F15" s="308"/>
      <c r="G15" s="308"/>
      <c r="H15" s="308"/>
      <c r="I15" s="308"/>
      <c r="J15" s="308">
        <f>J14+45</f>
        <v>46171</v>
      </c>
      <c r="K15" s="872">
        <f>Tabela1[[#This Row],[Data Real]]-Tabela1[[#This Row],[Data Base]]</f>
        <v>42</v>
      </c>
      <c r="L15" s="308"/>
      <c r="M15" s="308"/>
      <c r="N15" s="308">
        <f>Tabela1[[#This Row],[Data Base]]+154</f>
        <v>46283</v>
      </c>
      <c r="O15" s="308">
        <f>Tabela1[[#This Row],[1ª Lote Previsto]]+30</f>
        <v>46313</v>
      </c>
    </row>
    <row r="16" spans="2:19">
      <c r="B16" s="873" t="s">
        <v>1693</v>
      </c>
      <c r="C16" s="874">
        <v>84000</v>
      </c>
      <c r="D16" s="875">
        <v>46122</v>
      </c>
      <c r="E16" s="875" t="s">
        <v>1678</v>
      </c>
      <c r="F16" s="875" t="s">
        <v>1678</v>
      </c>
      <c r="G16" s="875"/>
      <c r="H16" s="875"/>
      <c r="I16" s="875"/>
      <c r="J16" s="875" t="s">
        <v>1694</v>
      </c>
      <c r="K16" s="876" t="e">
        <f>Tabela1[[#This Row],[Data Real]]-Tabela1[[#This Row],[Data Base]]</f>
        <v>#VALUE!</v>
      </c>
      <c r="L16" s="877"/>
      <c r="M16" s="877"/>
      <c r="N16" s="308">
        <f>Tabela1[[#This Row],[Data Base]]+154</f>
        <v>46276</v>
      </c>
      <c r="O16" s="308">
        <f>Tabela1[[#This Row],[1ª Lote Previsto]]+30</f>
        <v>46306</v>
      </c>
    </row>
    <row r="17" spans="1:15">
      <c r="B17" s="873" t="s">
        <v>1695</v>
      </c>
      <c r="C17" s="874">
        <v>60000</v>
      </c>
      <c r="D17" s="875">
        <v>45883</v>
      </c>
      <c r="E17" s="875" t="s">
        <v>1678</v>
      </c>
      <c r="F17" s="875" t="s">
        <v>1678</v>
      </c>
      <c r="G17" s="875" t="s">
        <v>1678</v>
      </c>
      <c r="H17" s="875"/>
      <c r="I17" s="875"/>
      <c r="J17" s="875" t="s">
        <v>1694</v>
      </c>
      <c r="K17" s="876" t="e">
        <f>Tabela1[[#This Row],[Data Real]]-Tabela1[[#This Row],[Data Base]]</f>
        <v>#VALUE!</v>
      </c>
      <c r="L17" s="877"/>
      <c r="M17" s="877"/>
      <c r="N17" s="308">
        <f>Tabela1[[#This Row],[Data Base]]+154</f>
        <v>46037</v>
      </c>
      <c r="O17" s="308">
        <f>Tabela1[[#This Row],[1ª Lote Previsto]]+30</f>
        <v>46067</v>
      </c>
    </row>
    <row r="18" spans="1:15">
      <c r="B18" s="873" t="s">
        <v>1696</v>
      </c>
      <c r="C18" s="874">
        <v>100000</v>
      </c>
      <c r="D18" s="875">
        <v>45884</v>
      </c>
      <c r="E18" s="875"/>
      <c r="F18" s="875"/>
      <c r="G18" s="875"/>
      <c r="H18" s="875"/>
      <c r="I18" s="875"/>
      <c r="J18" s="875" t="s">
        <v>1694</v>
      </c>
      <c r="K18" s="876" t="e">
        <f>Tabela1[[#This Row],[Data Real]]-Tabela1[[#This Row],[Data Base]]</f>
        <v>#VALUE!</v>
      </c>
      <c r="L18" s="878" t="s">
        <v>1697</v>
      </c>
      <c r="M18" s="877"/>
      <c r="N18" s="308">
        <f>Tabela1[[#This Row],[Data Base]]+154</f>
        <v>46038</v>
      </c>
      <c r="O18" s="308">
        <f>Tabela1[[#This Row],[1ª Lote Previsto]]+30</f>
        <v>46068</v>
      </c>
    </row>
    <row r="19" spans="1:15">
      <c r="B19" s="873" t="s">
        <v>1698</v>
      </c>
      <c r="C19" s="874">
        <v>100000</v>
      </c>
      <c r="D19" s="875">
        <v>45976</v>
      </c>
      <c r="E19" s="875"/>
      <c r="F19" s="875"/>
      <c r="G19" s="875"/>
      <c r="H19" s="875"/>
      <c r="I19" s="875"/>
      <c r="J19" s="875" t="s">
        <v>1694</v>
      </c>
      <c r="K19" s="876" t="e">
        <f>Tabela1[[#This Row],[Data Real]]-Tabela1[[#This Row],[Data Base]]</f>
        <v>#VALUE!</v>
      </c>
      <c r="L19" s="878" t="s">
        <v>1697</v>
      </c>
      <c r="M19" s="877"/>
      <c r="N19" s="308">
        <f>Tabela1[[#This Row],[Data Base]]+154</f>
        <v>46130</v>
      </c>
      <c r="O19" s="308">
        <f>Tabela1[[#This Row],[1ª Lote Previsto]]+30</f>
        <v>46160</v>
      </c>
    </row>
    <row r="20" spans="1:15" ht="15.6" thickBot="1"/>
    <row r="21" spans="1:15" ht="16.2" thickBot="1">
      <c r="B21" s="201" t="s">
        <v>1699</v>
      </c>
      <c r="C21" s="202" t="s">
        <v>1700</v>
      </c>
      <c r="D21" s="202" t="s">
        <v>1701</v>
      </c>
      <c r="E21" s="202" t="s">
        <v>1702</v>
      </c>
      <c r="F21" s="202" t="s">
        <v>1703</v>
      </c>
      <c r="G21" s="203" t="s">
        <v>1704</v>
      </c>
    </row>
    <row r="22" spans="1:15">
      <c r="A22" s="185"/>
      <c r="B22" s="204" t="s">
        <v>52</v>
      </c>
      <c r="C22" s="205">
        <v>45743</v>
      </c>
      <c r="D22" s="206">
        <v>15000</v>
      </c>
      <c r="E22" s="206">
        <v>2100</v>
      </c>
      <c r="F22" s="207">
        <v>0.14000000000000001</v>
      </c>
      <c r="G22" s="208" t="s">
        <v>54</v>
      </c>
      <c r="H22" t="s">
        <v>1705</v>
      </c>
    </row>
    <row r="23" spans="1:15" ht="15.6">
      <c r="A23" s="185"/>
      <c r="B23" s="204" t="s">
        <v>59</v>
      </c>
      <c r="C23" s="205">
        <v>45750</v>
      </c>
      <c r="D23" s="209">
        <v>45000</v>
      </c>
      <c r="E23" s="206">
        <v>6300.0000000000009</v>
      </c>
      <c r="F23" s="207">
        <v>0.14000000000000001</v>
      </c>
      <c r="G23" s="208" t="s">
        <v>1706</v>
      </c>
      <c r="H23" t="s">
        <v>1705</v>
      </c>
    </row>
    <row r="24" spans="1:15">
      <c r="A24" s="185"/>
      <c r="B24" s="204" t="s">
        <v>68</v>
      </c>
      <c r="C24" s="205">
        <v>45750</v>
      </c>
      <c r="D24" s="206">
        <v>16000</v>
      </c>
      <c r="E24" s="206">
        <v>2240</v>
      </c>
      <c r="F24" s="207">
        <v>0.14000000000000001</v>
      </c>
      <c r="G24" s="208" t="s">
        <v>54</v>
      </c>
      <c r="H24" t="s">
        <v>1705</v>
      </c>
    </row>
    <row r="25" spans="1:15">
      <c r="A25" s="185"/>
      <c r="B25" s="204" t="s">
        <v>75</v>
      </c>
      <c r="C25" s="205">
        <v>45764</v>
      </c>
      <c r="D25" s="206">
        <v>28000</v>
      </c>
      <c r="E25" s="206">
        <v>3920.0000000000005</v>
      </c>
      <c r="F25" s="207">
        <v>0.14000000000000001</v>
      </c>
      <c r="G25" s="208" t="s">
        <v>77</v>
      </c>
      <c r="H25" t="s">
        <v>1705</v>
      </c>
    </row>
    <row r="26" spans="1:15">
      <c r="A26" s="185"/>
      <c r="B26" s="204" t="s">
        <v>89</v>
      </c>
      <c r="C26" s="205">
        <v>45778</v>
      </c>
      <c r="D26" s="206">
        <v>28000</v>
      </c>
      <c r="E26" s="206">
        <v>3920.0000000000005</v>
      </c>
      <c r="F26" s="207">
        <v>0.14000000000000001</v>
      </c>
      <c r="G26" s="208" t="s">
        <v>77</v>
      </c>
      <c r="H26" t="s">
        <v>1705</v>
      </c>
    </row>
    <row r="27" spans="1:15">
      <c r="A27" s="185"/>
      <c r="B27" s="204" t="s">
        <v>375</v>
      </c>
      <c r="C27" s="205">
        <v>45785</v>
      </c>
      <c r="D27" s="206">
        <v>16000</v>
      </c>
      <c r="E27" s="206">
        <v>2240</v>
      </c>
      <c r="F27" s="207">
        <v>0.14000000000000001</v>
      </c>
      <c r="G27" s="208" t="s">
        <v>97</v>
      </c>
      <c r="H27" t="s">
        <v>1705</v>
      </c>
    </row>
    <row r="28" spans="1:15">
      <c r="B28" s="204" t="s">
        <v>123</v>
      </c>
      <c r="C28" s="205">
        <v>45827</v>
      </c>
      <c r="D28" s="206">
        <v>42000</v>
      </c>
      <c r="E28" s="206">
        <v>5880.0000000000009</v>
      </c>
      <c r="F28" s="207">
        <v>0.14000000000000001</v>
      </c>
      <c r="G28" s="208" t="s">
        <v>508</v>
      </c>
      <c r="H28" t="s">
        <v>1705</v>
      </c>
    </row>
    <row r="29" spans="1:15">
      <c r="B29" s="204" t="s">
        <v>135</v>
      </c>
      <c r="C29" s="205">
        <v>45841</v>
      </c>
      <c r="D29" s="206">
        <v>34000</v>
      </c>
      <c r="E29" s="206">
        <v>4760</v>
      </c>
      <c r="F29" s="207">
        <v>0.14000000000000001</v>
      </c>
      <c r="G29" s="208" t="s">
        <v>136</v>
      </c>
      <c r="H29" t="s">
        <v>1705</v>
      </c>
    </row>
    <row r="30" spans="1:15">
      <c r="B30" s="204" t="s">
        <v>139</v>
      </c>
      <c r="C30" s="205">
        <v>45841</v>
      </c>
      <c r="D30" s="206">
        <v>28000</v>
      </c>
      <c r="E30" s="206">
        <v>3920.0000000000005</v>
      </c>
      <c r="F30" s="207">
        <v>0.14000000000000001</v>
      </c>
      <c r="G30" s="208" t="s">
        <v>142</v>
      </c>
      <c r="H30" t="s">
        <v>1705</v>
      </c>
    </row>
    <row r="31" spans="1:15">
      <c r="B31" s="204" t="s">
        <v>89</v>
      </c>
      <c r="C31" s="205">
        <v>45939</v>
      </c>
      <c r="D31" s="206">
        <v>35000</v>
      </c>
      <c r="E31" s="206">
        <v>4900.0000000000009</v>
      </c>
      <c r="F31" s="207">
        <v>0.14000000000000001</v>
      </c>
      <c r="G31" s="208" t="s">
        <v>194</v>
      </c>
      <c r="H31" t="s">
        <v>1705</v>
      </c>
    </row>
    <row r="32" spans="1:15" ht="15.6" thickBot="1">
      <c r="B32" s="204" t="s">
        <v>75</v>
      </c>
      <c r="C32" s="205">
        <v>45946</v>
      </c>
      <c r="D32" s="206">
        <v>25000</v>
      </c>
      <c r="E32" s="206">
        <v>3500.0000000000005</v>
      </c>
      <c r="F32" s="207">
        <v>0.14000000000000001</v>
      </c>
      <c r="G32" s="208" t="s">
        <v>198</v>
      </c>
      <c r="H32" t="s">
        <v>1705</v>
      </c>
    </row>
    <row r="33" spans="2:7" ht="16.2" thickBot="1">
      <c r="B33" s="201"/>
      <c r="C33" s="202"/>
      <c r="D33" s="210">
        <f>SUM(D22:D32)</f>
        <v>312000</v>
      </c>
      <c r="E33" s="210">
        <f>SUM(E22:E32)</f>
        <v>43680</v>
      </c>
      <c r="F33" s="211">
        <f>E33/D33</f>
        <v>0.14000000000000001</v>
      </c>
      <c r="G33" s="203"/>
    </row>
    <row r="55" spans="1:23" ht="30">
      <c r="A55" s="1367" t="s">
        <v>0</v>
      </c>
      <c r="B55" s="1367" t="s">
        <v>1</v>
      </c>
      <c r="C55" s="1367" t="s">
        <v>2</v>
      </c>
      <c r="D55" s="1367" t="s">
        <v>3</v>
      </c>
      <c r="E55" s="1367" t="s">
        <v>4</v>
      </c>
      <c r="F55" s="1367" t="s">
        <v>5</v>
      </c>
      <c r="G55" s="1367" t="s">
        <v>6</v>
      </c>
      <c r="H55" s="1367" t="s">
        <v>7</v>
      </c>
      <c r="I55" s="1367" t="s">
        <v>8</v>
      </c>
      <c r="J55" s="1367" t="s">
        <v>9</v>
      </c>
      <c r="K55" s="1367" t="s">
        <v>10</v>
      </c>
      <c r="L55" s="1367" t="s">
        <v>11</v>
      </c>
      <c r="M55" s="1367" t="s">
        <v>12</v>
      </c>
      <c r="N55" s="1368" t="s">
        <v>13</v>
      </c>
      <c r="O55" s="1367" t="s">
        <v>3</v>
      </c>
      <c r="P55" s="1367" t="s">
        <v>5</v>
      </c>
      <c r="Q55" s="1367" t="s">
        <v>775</v>
      </c>
      <c r="R55" s="1367" t="s">
        <v>7</v>
      </c>
      <c r="S55" s="1369" t="s">
        <v>8</v>
      </c>
      <c r="T55" s="1367" t="s">
        <v>14</v>
      </c>
      <c r="U55" s="1367" t="s">
        <v>15</v>
      </c>
      <c r="V55" s="1370" t="s">
        <v>10</v>
      </c>
      <c r="W55" s="1371" t="s">
        <v>16</v>
      </c>
    </row>
    <row r="56" spans="1:23">
      <c r="A56" s="1372" t="s">
        <v>17</v>
      </c>
      <c r="B56" s="1373">
        <v>46214</v>
      </c>
      <c r="C56" s="1374">
        <v>46212</v>
      </c>
      <c r="D56" s="1375">
        <v>103826</v>
      </c>
      <c r="E56" s="1376">
        <v>10.571428571428571</v>
      </c>
      <c r="F56" s="1376" t="s">
        <v>1077</v>
      </c>
      <c r="G56" s="1377" t="s">
        <v>160</v>
      </c>
      <c r="H56" s="1378" t="s">
        <v>1078</v>
      </c>
      <c r="I56" s="1379">
        <v>84000</v>
      </c>
      <c r="J56" s="1372" t="s">
        <v>45</v>
      </c>
      <c r="K56" s="1372">
        <v>55</v>
      </c>
      <c r="L56" s="1380" t="s">
        <v>285</v>
      </c>
      <c r="M56" s="1380" t="s">
        <v>26</v>
      </c>
      <c r="N56" s="1381">
        <v>46359</v>
      </c>
      <c r="O56" s="1382">
        <v>137626</v>
      </c>
      <c r="P56" s="1383" t="s">
        <v>1457</v>
      </c>
      <c r="Q56" s="1384" t="s">
        <v>133</v>
      </c>
      <c r="R56" s="1383" t="s">
        <v>333</v>
      </c>
      <c r="S56" s="1385">
        <v>80000</v>
      </c>
      <c r="T56" s="1386">
        <v>46673</v>
      </c>
      <c r="U56" s="1387">
        <v>66</v>
      </c>
      <c r="V56" s="1388">
        <f>N57-T56</f>
        <v>60</v>
      </c>
      <c r="W56" s="1389">
        <v>46770</v>
      </c>
    </row>
    <row r="57" spans="1:23" ht="15.6">
      <c r="A57" s="1372" t="s">
        <v>17</v>
      </c>
      <c r="B57" s="1373">
        <v>46586</v>
      </c>
      <c r="C57" s="1374">
        <v>46586</v>
      </c>
      <c r="D57" s="1375">
        <v>104027</v>
      </c>
      <c r="E57" s="1376"/>
      <c r="F57" s="1376" t="s">
        <v>1077</v>
      </c>
      <c r="G57" s="1377" t="s">
        <v>160</v>
      </c>
      <c r="H57" s="1378" t="s">
        <v>1078</v>
      </c>
      <c r="I57" s="1379">
        <v>84000</v>
      </c>
      <c r="J57" s="1372" t="s">
        <v>45</v>
      </c>
      <c r="K57" s="1372">
        <v>49</v>
      </c>
      <c r="L57" s="1380" t="s">
        <v>285</v>
      </c>
      <c r="M57" s="1380" t="s">
        <v>26</v>
      </c>
      <c r="N57" s="1381">
        <v>46733</v>
      </c>
      <c r="O57" s="1382"/>
      <c r="P57" s="1383" t="s">
        <v>1457</v>
      </c>
      <c r="Q57" s="1384" t="s">
        <v>133</v>
      </c>
      <c r="R57" s="1383" t="s">
        <v>1046</v>
      </c>
      <c r="S57" s="1385">
        <v>80000</v>
      </c>
      <c r="T57" s="1386">
        <v>47047</v>
      </c>
      <c r="U57" s="1387">
        <v>66</v>
      </c>
      <c r="V57" s="1388">
        <f>N58-T57</f>
        <v>57</v>
      </c>
      <c r="W57" s="671">
        <f t="shared" ref="W57:W58" si="0">IFERROR(T57+V57," ")</f>
        <v>47104</v>
      </c>
    </row>
    <row r="58" spans="1:23">
      <c r="A58" s="1372" t="s">
        <v>17</v>
      </c>
      <c r="B58" s="1373">
        <f>T57-90</f>
        <v>46957</v>
      </c>
      <c r="C58" s="1374">
        <f>T57-90</f>
        <v>46957</v>
      </c>
      <c r="D58" s="1375"/>
      <c r="E58" s="1376"/>
      <c r="F58" s="1376" t="s">
        <v>1077</v>
      </c>
      <c r="G58" s="1377" t="s">
        <v>160</v>
      </c>
      <c r="H58" s="1378" t="s">
        <v>333</v>
      </c>
      <c r="I58" s="1379">
        <v>60000</v>
      </c>
      <c r="J58" s="1372" t="s">
        <v>45</v>
      </c>
      <c r="K58" s="1372">
        <v>49</v>
      </c>
      <c r="L58" s="1380" t="s">
        <v>283</v>
      </c>
      <c r="M58" s="1380" t="s">
        <v>21</v>
      </c>
      <c r="N58" s="1381">
        <f t="shared" ref="N58" si="1">C58+(22*7)-7</f>
        <v>47104</v>
      </c>
      <c r="O58" s="1382"/>
      <c r="P58" s="1383" t="s">
        <v>1457</v>
      </c>
      <c r="Q58" s="1384" t="s">
        <v>133</v>
      </c>
      <c r="R58" s="1383" t="s">
        <v>1048</v>
      </c>
      <c r="S58" s="1385">
        <v>57000</v>
      </c>
      <c r="T58" s="1386">
        <f t="shared" ref="T58" si="2">C58+(U58*7)-1</f>
        <v>47418</v>
      </c>
      <c r="U58" s="1387">
        <v>66</v>
      </c>
      <c r="V58" s="1388"/>
      <c r="W58" s="1389">
        <f t="shared" si="0"/>
        <v>47418</v>
      </c>
    </row>
    <row r="59" spans="1:23" ht="16.2">
      <c r="A59" s="1390"/>
      <c r="B59" s="1390"/>
      <c r="C59" s="1390"/>
      <c r="D59" s="1390"/>
      <c r="E59" s="1390"/>
      <c r="F59" s="1390"/>
      <c r="G59" s="1391"/>
      <c r="H59" s="1390"/>
      <c r="I59" s="1390"/>
      <c r="J59" s="1390"/>
      <c r="K59" s="1390"/>
      <c r="L59" s="1390"/>
      <c r="M59" s="1390"/>
      <c r="N59" s="1390"/>
      <c r="O59" s="1390"/>
      <c r="P59" s="1390"/>
      <c r="Q59" s="1390"/>
      <c r="R59" s="1390"/>
      <c r="S59" s="1390"/>
      <c r="T59" s="1390"/>
      <c r="U59" s="1390"/>
      <c r="V59" s="1390"/>
      <c r="W59" s="1390"/>
    </row>
    <row r="60" spans="1:23">
      <c r="A60" s="1372" t="s">
        <v>17</v>
      </c>
      <c r="B60" s="1373">
        <v>46137</v>
      </c>
      <c r="C60" s="1374">
        <v>46135</v>
      </c>
      <c r="D60" s="1375">
        <v>101826</v>
      </c>
      <c r="E60" s="1376">
        <v>21.571428571428573</v>
      </c>
      <c r="F60" s="1376" t="s">
        <v>1321</v>
      </c>
      <c r="G60" s="1377" t="s">
        <v>83</v>
      </c>
      <c r="H60" s="1378" t="s">
        <v>1088</v>
      </c>
      <c r="I60" s="1379">
        <v>84000</v>
      </c>
      <c r="J60" s="1372" t="s">
        <v>45</v>
      </c>
      <c r="K60" s="1372">
        <v>50</v>
      </c>
      <c r="L60" s="1380" t="s">
        <v>285</v>
      </c>
      <c r="M60" s="1380" t="s">
        <v>26</v>
      </c>
      <c r="N60" s="1381">
        <v>46282</v>
      </c>
      <c r="O60" s="1382">
        <v>134926</v>
      </c>
      <c r="P60" s="1383" t="s">
        <v>1461</v>
      </c>
      <c r="Q60" s="1384" t="s">
        <v>238</v>
      </c>
      <c r="R60" s="1383" t="s">
        <v>1048</v>
      </c>
      <c r="S60" s="1385">
        <v>80000</v>
      </c>
      <c r="T60" s="1386">
        <v>46603</v>
      </c>
      <c r="U60" s="1387">
        <v>67</v>
      </c>
      <c r="V60" s="1388">
        <f>N61-T60</f>
        <v>48</v>
      </c>
      <c r="W60" s="1389">
        <v>46648</v>
      </c>
    </row>
    <row r="61" spans="1:23">
      <c r="A61" s="1372" t="s">
        <v>17</v>
      </c>
      <c r="B61" s="1373">
        <v>46504</v>
      </c>
      <c r="C61" s="1374">
        <v>46504</v>
      </c>
      <c r="D61" s="1375">
        <v>102227</v>
      </c>
      <c r="E61" s="1376"/>
      <c r="F61" s="1376" t="s">
        <v>1321</v>
      </c>
      <c r="G61" s="1377" t="s">
        <v>83</v>
      </c>
      <c r="H61" s="1378" t="s">
        <v>1088</v>
      </c>
      <c r="I61" s="1379">
        <v>84000</v>
      </c>
      <c r="J61" s="1372" t="s">
        <v>20</v>
      </c>
      <c r="K61" s="1372">
        <v>25</v>
      </c>
      <c r="L61" s="1380" t="s">
        <v>283</v>
      </c>
      <c r="M61" s="1380" t="s">
        <v>21</v>
      </c>
      <c r="N61" s="1381">
        <v>46651</v>
      </c>
      <c r="O61" s="1382"/>
      <c r="P61" s="1383" t="s">
        <v>1461</v>
      </c>
      <c r="Q61" s="1384" t="s">
        <v>238</v>
      </c>
      <c r="R61" s="1383" t="s">
        <v>1048</v>
      </c>
      <c r="S61" s="1385">
        <v>80000</v>
      </c>
      <c r="T61" s="1386">
        <v>46965</v>
      </c>
      <c r="U61" s="1387">
        <v>66</v>
      </c>
      <c r="V61" s="1388">
        <f>N62-T61</f>
        <v>57</v>
      </c>
      <c r="W61" s="1389">
        <v>46965</v>
      </c>
    </row>
    <row r="62" spans="1:23">
      <c r="A62" s="1372" t="s">
        <v>17</v>
      </c>
      <c r="B62" s="1373">
        <f>T61-90</f>
        <v>46875</v>
      </c>
      <c r="C62" s="1374">
        <f>T61-90</f>
        <v>46875</v>
      </c>
      <c r="D62" s="1375"/>
      <c r="E62" s="1376"/>
      <c r="F62" s="1376" t="s">
        <v>1321</v>
      </c>
      <c r="G62" s="1377" t="s">
        <v>83</v>
      </c>
      <c r="H62" s="1378" t="s">
        <v>333</v>
      </c>
      <c r="I62" s="1379">
        <v>60000</v>
      </c>
      <c r="J62" s="1372" t="s">
        <v>45</v>
      </c>
      <c r="K62" s="1372">
        <v>49</v>
      </c>
      <c r="L62" s="1380" t="s">
        <v>283</v>
      </c>
      <c r="M62" s="1380" t="s">
        <v>21</v>
      </c>
      <c r="N62" s="1381">
        <f t="shared" ref="N62" si="3">C62+(22*7)-7</f>
        <v>47022</v>
      </c>
      <c r="O62" s="1382"/>
      <c r="P62" s="1383" t="s">
        <v>1461</v>
      </c>
      <c r="Q62" s="1384" t="s">
        <v>238</v>
      </c>
      <c r="R62" s="1383" t="s">
        <v>1048</v>
      </c>
      <c r="S62" s="1385">
        <v>57000</v>
      </c>
      <c r="T62" s="1386">
        <f t="shared" ref="T62" si="4">C62+(U62*7)-1</f>
        <v>47336</v>
      </c>
      <c r="U62" s="1387">
        <v>66</v>
      </c>
      <c r="V62" s="1388"/>
      <c r="W62" s="1389">
        <f t="shared" ref="W62" si="5">IFERROR(T62+V62," ")</f>
        <v>47336</v>
      </c>
    </row>
    <row r="63" spans="1:23" ht="16.2">
      <c r="A63" s="1390"/>
      <c r="B63" s="1390"/>
      <c r="C63" s="1390"/>
      <c r="D63" s="1390"/>
      <c r="E63" s="1390"/>
      <c r="F63" s="1390"/>
      <c r="G63" s="1391"/>
      <c r="H63" s="1390"/>
      <c r="I63" s="1390"/>
      <c r="J63" s="1390"/>
      <c r="K63" s="1390"/>
      <c r="L63" s="1390"/>
      <c r="M63" s="1390"/>
      <c r="N63" s="1390"/>
      <c r="O63" s="1390"/>
      <c r="P63" s="1390"/>
      <c r="Q63" s="1390"/>
      <c r="R63" s="1390"/>
      <c r="S63" s="1390"/>
      <c r="T63" s="1390"/>
      <c r="U63" s="1390"/>
      <c r="V63" s="1390"/>
      <c r="W63" s="1390"/>
    </row>
    <row r="64" spans="1:23">
      <c r="A64" s="1372" t="s">
        <v>17</v>
      </c>
      <c r="B64" s="1373">
        <v>46057</v>
      </c>
      <c r="C64" s="1374">
        <v>46058</v>
      </c>
      <c r="D64" s="1375">
        <v>100626</v>
      </c>
      <c r="E64" s="1376">
        <v>32.571428571428569</v>
      </c>
      <c r="F64" s="1376" t="s">
        <v>338</v>
      </c>
      <c r="G64" s="1377" t="s">
        <v>144</v>
      </c>
      <c r="H64" s="1378" t="s">
        <v>333</v>
      </c>
      <c r="I64" s="1379">
        <v>60000</v>
      </c>
      <c r="J64" s="1372" t="s">
        <v>60</v>
      </c>
      <c r="K64" s="1372">
        <v>20</v>
      </c>
      <c r="L64" s="1380" t="s">
        <v>285</v>
      </c>
      <c r="M64" s="1380" t="s">
        <v>229</v>
      </c>
      <c r="N64" s="1381">
        <v>46205</v>
      </c>
      <c r="O64" s="1382">
        <v>134626</v>
      </c>
      <c r="P64" s="1383" t="s">
        <v>1217</v>
      </c>
      <c r="Q64" s="1384" t="s">
        <v>230</v>
      </c>
      <c r="R64" s="1383" t="s">
        <v>333</v>
      </c>
      <c r="S64" s="1385">
        <v>57000</v>
      </c>
      <c r="T64" s="1386">
        <v>46519</v>
      </c>
      <c r="U64" s="1387">
        <v>66</v>
      </c>
      <c r="V64" s="1388">
        <f>N65-T64</f>
        <v>54</v>
      </c>
      <c r="W64" s="1389">
        <v>46584</v>
      </c>
    </row>
    <row r="65" spans="1:23">
      <c r="A65" s="1372" t="s">
        <v>17</v>
      </c>
      <c r="B65" s="1373">
        <v>46426</v>
      </c>
      <c r="C65" s="1374">
        <v>46426</v>
      </c>
      <c r="D65" s="1375">
        <v>100627</v>
      </c>
      <c r="E65" s="1376"/>
      <c r="F65" s="1376" t="s">
        <v>338</v>
      </c>
      <c r="G65" s="1377" t="s">
        <v>144</v>
      </c>
      <c r="H65" s="1378" t="s">
        <v>333</v>
      </c>
      <c r="I65" s="1379">
        <v>60000</v>
      </c>
      <c r="J65" s="1372" t="s">
        <v>60</v>
      </c>
      <c r="K65" s="1372">
        <v>28</v>
      </c>
      <c r="L65" s="1380" t="s">
        <v>283</v>
      </c>
      <c r="M65" s="1380" t="s">
        <v>21</v>
      </c>
      <c r="N65" s="1381">
        <v>46573</v>
      </c>
      <c r="O65" s="1382"/>
      <c r="P65" s="1383" t="s">
        <v>1217</v>
      </c>
      <c r="Q65" s="1384" t="s">
        <v>230</v>
      </c>
      <c r="R65" s="1383" t="s">
        <v>333</v>
      </c>
      <c r="S65" s="1385">
        <v>57000</v>
      </c>
      <c r="T65" s="1386">
        <v>46887</v>
      </c>
      <c r="U65" s="1387">
        <v>66</v>
      </c>
      <c r="V65" s="1388">
        <f>N66-T65</f>
        <v>57</v>
      </c>
      <c r="W65" s="1389">
        <v>46887</v>
      </c>
    </row>
    <row r="66" spans="1:23">
      <c r="A66" s="1372" t="s">
        <v>17</v>
      </c>
      <c r="B66" s="1373">
        <f>T65-90</f>
        <v>46797</v>
      </c>
      <c r="C66" s="1374">
        <f>T65-90</f>
        <v>46797</v>
      </c>
      <c r="D66" s="1375"/>
      <c r="E66" s="1376"/>
      <c r="F66" s="1376" t="s">
        <v>338</v>
      </c>
      <c r="G66" s="1377" t="s">
        <v>144</v>
      </c>
      <c r="H66" s="1378" t="s">
        <v>333</v>
      </c>
      <c r="I66" s="1379">
        <v>60000</v>
      </c>
      <c r="J66" s="1372" t="s">
        <v>45</v>
      </c>
      <c r="K66" s="1372">
        <v>49</v>
      </c>
      <c r="L66" s="1380" t="s">
        <v>283</v>
      </c>
      <c r="M66" s="1380" t="s">
        <v>21</v>
      </c>
      <c r="N66" s="1381">
        <f t="shared" ref="N66" si="6">C66+(22*7)-7</f>
        <v>46944</v>
      </c>
      <c r="O66" s="1382"/>
      <c r="P66" s="1383" t="s">
        <v>1217</v>
      </c>
      <c r="Q66" s="1384" t="s">
        <v>230</v>
      </c>
      <c r="R66" s="1383" t="s">
        <v>1048</v>
      </c>
      <c r="S66" s="1385">
        <v>57000</v>
      </c>
      <c r="T66" s="1386">
        <f t="shared" ref="T66" si="7">C66+(U66*7)-1</f>
        <v>47258</v>
      </c>
      <c r="U66" s="1387">
        <v>66</v>
      </c>
      <c r="V66" s="1388"/>
      <c r="W66" s="1389">
        <f t="shared" ref="W66" si="8">IFERROR(T66+V66," ")</f>
        <v>47258</v>
      </c>
    </row>
    <row r="67" spans="1:23" ht="16.2">
      <c r="A67" s="1390"/>
      <c r="B67" s="1390"/>
      <c r="C67" s="1390"/>
      <c r="D67" s="1390"/>
      <c r="E67" s="1390"/>
      <c r="F67" s="1390"/>
      <c r="G67" s="1391"/>
      <c r="H67" s="1390"/>
      <c r="I67" s="1390"/>
      <c r="J67" s="1390"/>
      <c r="K67" s="1390"/>
      <c r="L67" s="1390"/>
      <c r="M67" s="1390"/>
      <c r="N67" s="1390"/>
      <c r="O67" s="1390"/>
      <c r="P67" s="1390"/>
      <c r="Q67" s="1390"/>
      <c r="R67" s="1390"/>
      <c r="S67" s="1390"/>
      <c r="T67" s="1390"/>
      <c r="U67" s="1390"/>
      <c r="V67" s="1390"/>
      <c r="W67" s="1390"/>
    </row>
    <row r="68" spans="1:23">
      <c r="A68" s="1372" t="s">
        <v>17</v>
      </c>
      <c r="B68" s="1373">
        <v>45839</v>
      </c>
      <c r="C68" s="1374">
        <v>45841</v>
      </c>
      <c r="D68" s="1375" t="s">
        <v>138</v>
      </c>
      <c r="E68" s="1376">
        <v>63.571428571428569</v>
      </c>
      <c r="F68" s="1376" t="s">
        <v>1304</v>
      </c>
      <c r="G68" s="1377" t="s">
        <v>139</v>
      </c>
      <c r="H68" s="1378" t="s">
        <v>1048</v>
      </c>
      <c r="I68" s="1379">
        <v>60000</v>
      </c>
      <c r="J68" s="1372" t="s">
        <v>48</v>
      </c>
      <c r="K68" s="1372">
        <v>14</v>
      </c>
      <c r="L68" s="1380" t="s">
        <v>283</v>
      </c>
      <c r="M68" s="1380" t="s">
        <v>21</v>
      </c>
      <c r="N68" s="1381">
        <v>45988</v>
      </c>
      <c r="O68" s="1382">
        <v>131825</v>
      </c>
      <c r="P68" s="1383" t="s">
        <v>1070</v>
      </c>
      <c r="Q68" s="1384" t="s">
        <v>140</v>
      </c>
      <c r="R68" s="1383" t="s">
        <v>1048</v>
      </c>
      <c r="S68" s="1385">
        <v>57000</v>
      </c>
      <c r="T68" s="1386">
        <v>46309</v>
      </c>
      <c r="U68" s="1387">
        <v>67</v>
      </c>
      <c r="V68" s="1388">
        <f>N69-T68</f>
        <v>64</v>
      </c>
      <c r="W68" s="1389">
        <v>46373</v>
      </c>
    </row>
    <row r="69" spans="1:23">
      <c r="A69" s="1372" t="s">
        <v>17</v>
      </c>
      <c r="B69" s="1373">
        <v>46225</v>
      </c>
      <c r="C69" s="1374">
        <v>46226</v>
      </c>
      <c r="D69" s="1375">
        <v>103926</v>
      </c>
      <c r="E69" s="1376">
        <v>8.5714285714285712</v>
      </c>
      <c r="F69" s="1376" t="s">
        <v>338</v>
      </c>
      <c r="G69" s="1377" t="s">
        <v>144</v>
      </c>
      <c r="H69" s="1378" t="s">
        <v>333</v>
      </c>
      <c r="I69" s="1379">
        <v>61200</v>
      </c>
      <c r="J69" s="1372" t="s">
        <v>45</v>
      </c>
      <c r="K69" s="1372">
        <v>53</v>
      </c>
      <c r="L69" s="1380" t="s">
        <v>283</v>
      </c>
      <c r="M69" s="1380" t="s">
        <v>37</v>
      </c>
      <c r="N69" s="1381">
        <v>46373</v>
      </c>
      <c r="O69" s="1382"/>
      <c r="P69" s="1383" t="s">
        <v>1070</v>
      </c>
      <c r="Q69" s="1384" t="s">
        <v>140</v>
      </c>
      <c r="R69" s="1383" t="s">
        <v>1048</v>
      </c>
      <c r="S69" s="1385">
        <v>57000</v>
      </c>
      <c r="T69" s="1386">
        <v>46694</v>
      </c>
      <c r="U69" s="1387">
        <v>67</v>
      </c>
      <c r="V69" s="1388">
        <f>N70-T69</f>
        <v>54</v>
      </c>
      <c r="W69" s="1389">
        <v>46748</v>
      </c>
    </row>
    <row r="70" spans="1:23">
      <c r="A70" s="1372" t="s">
        <v>17</v>
      </c>
      <c r="B70" s="1373">
        <v>46601</v>
      </c>
      <c r="C70" s="1374">
        <v>46601</v>
      </c>
      <c r="D70" s="1375">
        <v>104327</v>
      </c>
      <c r="E70" s="1376"/>
      <c r="F70" s="1376" t="s">
        <v>338</v>
      </c>
      <c r="G70" s="1377" t="s">
        <v>144</v>
      </c>
      <c r="H70" s="1378" t="s">
        <v>333</v>
      </c>
      <c r="I70" s="1379">
        <v>60000</v>
      </c>
      <c r="J70" s="1372" t="s">
        <v>45</v>
      </c>
      <c r="K70" s="1372">
        <v>49</v>
      </c>
      <c r="L70" s="1380" t="s">
        <v>283</v>
      </c>
      <c r="M70" s="1380" t="s">
        <v>21</v>
      </c>
      <c r="N70" s="1381">
        <v>46748</v>
      </c>
      <c r="O70" s="1382"/>
      <c r="P70" s="1383" t="s">
        <v>1070</v>
      </c>
      <c r="Q70" s="1384" t="s">
        <v>140</v>
      </c>
      <c r="R70" s="1383" t="s">
        <v>1048</v>
      </c>
      <c r="S70" s="1385">
        <v>57000</v>
      </c>
      <c r="T70" s="1386">
        <v>47062</v>
      </c>
      <c r="U70" s="1387">
        <v>66</v>
      </c>
      <c r="V70" s="1388">
        <f>N71-T70</f>
        <v>57</v>
      </c>
      <c r="W70" s="1389">
        <v>47062</v>
      </c>
    </row>
    <row r="71" spans="1:23">
      <c r="A71" s="1372" t="s">
        <v>17</v>
      </c>
      <c r="B71" s="1373">
        <f>T70-90</f>
        <v>46972</v>
      </c>
      <c r="C71" s="1374">
        <f>T70-90</f>
        <v>46972</v>
      </c>
      <c r="D71" s="1375"/>
      <c r="E71" s="1376"/>
      <c r="F71" s="1376" t="s">
        <v>338</v>
      </c>
      <c r="G71" s="1377" t="s">
        <v>144</v>
      </c>
      <c r="H71" s="1378" t="s">
        <v>333</v>
      </c>
      <c r="I71" s="1379">
        <v>60000</v>
      </c>
      <c r="J71" s="1372" t="s">
        <v>45</v>
      </c>
      <c r="K71" s="1372">
        <v>49</v>
      </c>
      <c r="L71" s="1380" t="s">
        <v>283</v>
      </c>
      <c r="M71" s="1380" t="s">
        <v>21</v>
      </c>
      <c r="N71" s="1381">
        <f t="shared" ref="N71" si="9">C71+(22*7)-7</f>
        <v>47119</v>
      </c>
      <c r="O71" s="1382"/>
      <c r="P71" s="1383" t="s">
        <v>1070</v>
      </c>
      <c r="Q71" s="1384" t="s">
        <v>140</v>
      </c>
      <c r="R71" s="1383" t="s">
        <v>1048</v>
      </c>
      <c r="S71" s="1385">
        <v>57000</v>
      </c>
      <c r="T71" s="1386">
        <f t="shared" ref="T71" si="10">C71+(U71*7)-1</f>
        <v>47433</v>
      </c>
      <c r="U71" s="1387">
        <v>66</v>
      </c>
      <c r="V71" s="1388"/>
      <c r="W71" s="1389">
        <f t="shared" ref="W71" si="11">IFERROR(T71+V71," ")</f>
        <v>47433</v>
      </c>
    </row>
    <row r="72" spans="1:23" ht="16.2">
      <c r="A72" s="1390"/>
      <c r="B72" s="1390"/>
      <c r="C72" s="1390"/>
      <c r="D72" s="1390"/>
      <c r="E72" s="1390"/>
      <c r="F72" s="1390"/>
      <c r="G72" s="1391"/>
      <c r="H72" s="1390"/>
      <c r="I72" s="1390"/>
      <c r="J72" s="1390"/>
      <c r="K72" s="1390"/>
      <c r="L72" s="1390"/>
      <c r="M72" s="1390"/>
      <c r="N72" s="1390"/>
      <c r="O72" s="1390"/>
      <c r="P72" s="1390"/>
      <c r="Q72" s="1390"/>
      <c r="R72" s="1390"/>
      <c r="S72" s="1390"/>
      <c r="T72" s="1390"/>
      <c r="U72" s="1390"/>
      <c r="V72" s="1390"/>
      <c r="W72" s="1390"/>
    </row>
    <row r="73" spans="1:23">
      <c r="A73" s="1372" t="s">
        <v>17</v>
      </c>
      <c r="B73" s="1373">
        <v>45898</v>
      </c>
      <c r="C73" s="1374">
        <v>45897</v>
      </c>
      <c r="D73" s="1375" t="s">
        <v>171</v>
      </c>
      <c r="E73" s="1376">
        <v>55.571428571428569</v>
      </c>
      <c r="F73" s="1376" t="s">
        <v>1103</v>
      </c>
      <c r="G73" s="1377" t="s">
        <v>36</v>
      </c>
      <c r="H73" s="1378" t="s">
        <v>333</v>
      </c>
      <c r="I73" s="1379">
        <v>62500</v>
      </c>
      <c r="J73" s="1372" t="s">
        <v>45</v>
      </c>
      <c r="K73" s="1372">
        <v>55</v>
      </c>
      <c r="L73" s="1380" t="s">
        <v>283</v>
      </c>
      <c r="M73" s="1380" t="s">
        <v>149</v>
      </c>
      <c r="N73" s="1381">
        <v>46044</v>
      </c>
      <c r="O73" s="1382">
        <v>130726</v>
      </c>
      <c r="P73" s="1383" t="s">
        <v>1104</v>
      </c>
      <c r="Q73" s="1384" t="s">
        <v>172</v>
      </c>
      <c r="R73" s="1383" t="s">
        <v>1046</v>
      </c>
      <c r="S73" s="1385">
        <v>60000</v>
      </c>
      <c r="T73" s="1386">
        <v>46365</v>
      </c>
      <c r="U73" s="1387">
        <v>67</v>
      </c>
      <c r="V73" s="1388">
        <f>N74-T73</f>
        <v>64</v>
      </c>
      <c r="W73" s="1389">
        <v>46429</v>
      </c>
    </row>
    <row r="74" spans="1:23">
      <c r="A74" s="1372" t="s">
        <v>17</v>
      </c>
      <c r="B74" s="1373">
        <v>46283</v>
      </c>
      <c r="C74" s="1374">
        <v>46282</v>
      </c>
      <c r="D74" s="1375">
        <v>104826</v>
      </c>
      <c r="E74" s="1376">
        <v>0.5714285714285714</v>
      </c>
      <c r="F74" s="1376" t="s">
        <v>1103</v>
      </c>
      <c r="G74" s="1377" t="s">
        <v>36</v>
      </c>
      <c r="H74" s="1378" t="s">
        <v>333</v>
      </c>
      <c r="I74" s="1379">
        <v>60000</v>
      </c>
      <c r="J74" s="1372" t="s">
        <v>45</v>
      </c>
      <c r="K74" s="1372">
        <v>50</v>
      </c>
      <c r="L74" s="1380" t="s">
        <v>283</v>
      </c>
      <c r="M74" s="1380" t="s">
        <v>112</v>
      </c>
      <c r="N74" s="1381">
        <v>46429</v>
      </c>
      <c r="O74" s="1382"/>
      <c r="P74" s="1383" t="s">
        <v>1104</v>
      </c>
      <c r="Q74" s="1384" t="s">
        <v>172</v>
      </c>
      <c r="R74" s="1383" t="s">
        <v>1046</v>
      </c>
      <c r="S74" s="1385">
        <v>57000</v>
      </c>
      <c r="T74" s="1386">
        <v>46743</v>
      </c>
      <c r="U74" s="1387">
        <v>66</v>
      </c>
      <c r="V74" s="1388">
        <f>N75-T74</f>
        <v>57</v>
      </c>
      <c r="W74" s="1389">
        <v>46743</v>
      </c>
    </row>
    <row r="75" spans="1:23">
      <c r="A75" s="1372" t="s">
        <v>17</v>
      </c>
      <c r="B75" s="1373">
        <f>T74-90</f>
        <v>46653</v>
      </c>
      <c r="C75" s="1374">
        <f>T74-90</f>
        <v>46653</v>
      </c>
      <c r="D75" s="1375"/>
      <c r="E75" s="1376">
        <f t="shared" ref="E75" ca="1" si="12">IF((TODAY()-C75)/7&gt;U75,U75,(TODAY()-C75)/7)</f>
        <v>-51.285714285714285</v>
      </c>
      <c r="F75" s="1376" t="s">
        <v>1103</v>
      </c>
      <c r="G75" s="1377" t="s">
        <v>36</v>
      </c>
      <c r="H75" s="1378" t="str">
        <f>IFERROR(VLOOKUP(G75,Recria[[Granja Recria]:[Núcleo]],2,0),"")</f>
        <v>(N1)</v>
      </c>
      <c r="I75" s="1379">
        <v>60000</v>
      </c>
      <c r="J75" s="1372" t="s">
        <v>20</v>
      </c>
      <c r="K75" s="1372">
        <v>23</v>
      </c>
      <c r="L75" s="1380" t="str">
        <f>VLOOKUP(M75,Raca_Linhagem[],2,0)</f>
        <v>ROSS</v>
      </c>
      <c r="M75" s="1380" t="s">
        <v>26</v>
      </c>
      <c r="N75" s="1381">
        <f t="shared" ref="N75" si="13">C75+(22*7)-7</f>
        <v>46800</v>
      </c>
      <c r="O75" s="1382"/>
      <c r="P75" s="1383" t="str">
        <f>IFERROR(VLOOKUP(Q75,Producao[[Granja Produção]:[Emp+CC]],4,0),"")</f>
        <v>123_1539</v>
      </c>
      <c r="Q75" s="1384" t="s">
        <v>176</v>
      </c>
      <c r="R75" s="1383" t="str">
        <f>IFERROR(VLOOKUP(Q75,Producao[[Granja Produção]:[Núcleo]],2,0),"")</f>
        <v>(N4)</v>
      </c>
      <c r="S75" s="1385">
        <f t="shared" ref="S75" si="14">I75*0.96</f>
        <v>57600</v>
      </c>
      <c r="T75" s="1386">
        <f t="shared" ref="T75" si="15">C75+(U75*7)-1</f>
        <v>47114</v>
      </c>
      <c r="U75" s="1387">
        <v>66</v>
      </c>
      <c r="V75" s="1388"/>
      <c r="W75" s="1389">
        <f t="shared" ref="W75" si="16">IFERROR(T75+V75," ")</f>
        <v>47114</v>
      </c>
    </row>
    <row r="76" spans="1:23" ht="16.2">
      <c r="A76" s="1390"/>
      <c r="B76" s="1390"/>
      <c r="C76" s="1390"/>
      <c r="D76" s="1390"/>
      <c r="E76" s="1390"/>
      <c r="F76" s="1390"/>
      <c r="G76" s="1391"/>
      <c r="H76" s="1390"/>
      <c r="I76" s="1390"/>
      <c r="J76" s="1390"/>
      <c r="K76" s="1390"/>
      <c r="L76" s="1390"/>
      <c r="M76" s="1390"/>
      <c r="N76" s="1390"/>
      <c r="O76" s="1390"/>
      <c r="P76" s="1390"/>
      <c r="Q76" s="1390"/>
      <c r="R76" s="1390"/>
      <c r="S76" s="1390"/>
      <c r="T76" s="1390"/>
      <c r="U76" s="1390"/>
      <c r="V76" s="1390"/>
      <c r="W76" s="1390"/>
    </row>
    <row r="77" spans="1:23">
      <c r="A77" s="1372" t="s">
        <v>17</v>
      </c>
      <c r="B77" s="1373">
        <v>45904</v>
      </c>
      <c r="C77" s="1374">
        <v>45904</v>
      </c>
      <c r="D77" s="1375" t="s">
        <v>175</v>
      </c>
      <c r="E77" s="1376">
        <v>54.571428571428569</v>
      </c>
      <c r="F77" s="1376" t="s">
        <v>1168</v>
      </c>
      <c r="G77" s="1377" t="s">
        <v>47</v>
      </c>
      <c r="H77" s="1378" t="s">
        <v>1048</v>
      </c>
      <c r="I77" s="1379">
        <v>60000</v>
      </c>
      <c r="J77" s="1372" t="s">
        <v>45</v>
      </c>
      <c r="K77" s="1372">
        <v>64</v>
      </c>
      <c r="L77" s="1380" t="s">
        <v>285</v>
      </c>
      <c r="M77" s="1380" t="s">
        <v>26</v>
      </c>
      <c r="N77" s="1381">
        <v>46051</v>
      </c>
      <c r="O77" s="1382">
        <v>130826</v>
      </c>
      <c r="P77" s="1383" t="s">
        <v>1102</v>
      </c>
      <c r="Q77" s="1384" t="s">
        <v>176</v>
      </c>
      <c r="R77" s="1383" t="s">
        <v>1088</v>
      </c>
      <c r="S77" s="1385">
        <v>60000</v>
      </c>
      <c r="T77" s="1386">
        <v>46379</v>
      </c>
      <c r="U77" s="1387">
        <v>68</v>
      </c>
      <c r="V77" s="1388">
        <f>N78-T77</f>
        <v>57</v>
      </c>
      <c r="W77" s="1389">
        <v>46436</v>
      </c>
    </row>
    <row r="78" spans="1:23">
      <c r="A78" s="1372" t="s">
        <v>17</v>
      </c>
      <c r="B78" s="1373">
        <v>46290</v>
      </c>
      <c r="C78" s="1374">
        <v>46289</v>
      </c>
      <c r="D78" s="1375">
        <v>105126</v>
      </c>
      <c r="E78" s="1376">
        <v>-0.42857142857142855</v>
      </c>
      <c r="F78" s="1376" t="s">
        <v>1168</v>
      </c>
      <c r="G78" s="1377" t="s">
        <v>47</v>
      </c>
      <c r="H78" s="1378" t="s">
        <v>1048</v>
      </c>
      <c r="I78" s="1379">
        <v>60000</v>
      </c>
      <c r="J78" s="1372" t="s">
        <v>20</v>
      </c>
      <c r="K78" s="1372">
        <v>23</v>
      </c>
      <c r="L78" s="1380" t="s">
        <v>285</v>
      </c>
      <c r="M78" s="1380" t="s">
        <v>26</v>
      </c>
      <c r="N78" s="1381">
        <v>46436</v>
      </c>
      <c r="O78" s="1382"/>
      <c r="P78" s="1383" t="s">
        <v>1102</v>
      </c>
      <c r="Q78" s="1384" t="s">
        <v>176</v>
      </c>
      <c r="R78" s="1383" t="s">
        <v>1088</v>
      </c>
      <c r="S78" s="1385">
        <v>57600</v>
      </c>
      <c r="T78" s="1386">
        <v>46750</v>
      </c>
      <c r="U78" s="1387">
        <v>66</v>
      </c>
      <c r="V78" s="1388">
        <f>N79-T78</f>
        <v>57</v>
      </c>
      <c r="W78" s="1389">
        <v>46750</v>
      </c>
    </row>
    <row r="79" spans="1:23">
      <c r="A79" s="1372" t="s">
        <v>17</v>
      </c>
      <c r="B79" s="1373">
        <f>T78-90</f>
        <v>46660</v>
      </c>
      <c r="C79" s="1374">
        <f>T78-90</f>
        <v>46660</v>
      </c>
      <c r="D79" s="1375"/>
      <c r="E79" s="1376">
        <f t="shared" ref="E79" ca="1" si="17">IF((TODAY()-C79)/7&gt;U79,U79,(TODAY()-C79)/7)</f>
        <v>-52.285714285714285</v>
      </c>
      <c r="F79" s="1376" t="str">
        <f>IFERROR(VLOOKUP(G79,Recria[[Granja Recria]:[Emp+CC]],4,0),"")</f>
        <v>10_857</v>
      </c>
      <c r="G79" s="1377" t="s">
        <v>47</v>
      </c>
      <c r="H79" s="1378" t="str">
        <f>IFERROR(VLOOKUP(G79,Recria[[Granja Recria]:[Núcleo]],2,0),"")</f>
        <v>(N2)</v>
      </c>
      <c r="I79" s="1379">
        <v>60000</v>
      </c>
      <c r="J79" s="1372" t="s">
        <v>20</v>
      </c>
      <c r="K79" s="1372">
        <v>23</v>
      </c>
      <c r="L79" s="1380" t="str">
        <f>VLOOKUP(M79,Raca_Linhagem[],2,0)</f>
        <v>ROSS</v>
      </c>
      <c r="M79" s="1380" t="s">
        <v>26</v>
      </c>
      <c r="N79" s="1381">
        <f t="shared" ref="N79" si="18">C79+(22*7)-7</f>
        <v>46807</v>
      </c>
      <c r="O79" s="1382"/>
      <c r="P79" s="1383" t="str">
        <f>IFERROR(VLOOKUP(Q79,Producao[[Granja Produção]:[Emp+CC]],4,0),"")</f>
        <v>123_1539</v>
      </c>
      <c r="Q79" s="1384" t="s">
        <v>176</v>
      </c>
      <c r="R79" s="1383" t="str">
        <f>IFERROR(VLOOKUP(Q79,Producao[[Granja Produção]:[Núcleo]],2,0),"")</f>
        <v>(N4)</v>
      </c>
      <c r="S79" s="1385">
        <f t="shared" ref="S79" si="19">I79*0.96</f>
        <v>57600</v>
      </c>
      <c r="T79" s="1386">
        <f t="shared" ref="T79" si="20">C79+(U79*7)-1</f>
        <v>47121</v>
      </c>
      <c r="U79" s="1387">
        <v>66</v>
      </c>
      <c r="V79" s="1388"/>
      <c r="W79" s="1389">
        <f t="shared" ref="W79" si="21">IFERROR(T79+V79," ")</f>
        <v>47121</v>
      </c>
    </row>
  </sheetData>
  <phoneticPr fontId="89" type="noConversion"/>
  <conditionalFormatting sqref="L55:L58">
    <cfRule type="cellIs" dxfId="152" priority="71" operator="equal">
      <formula>"HUBB"</formula>
    </cfRule>
    <cfRule type="cellIs" dxfId="151" priority="75" operator="equal">
      <formula>"ROSS"</formula>
    </cfRule>
    <cfRule type="cellIs" dxfId="150" priority="77" operator="equal">
      <formula>"COBB"</formula>
    </cfRule>
  </conditionalFormatting>
  <conditionalFormatting sqref="L60:L62">
    <cfRule type="cellIs" dxfId="149" priority="183" operator="equal">
      <formula>"HUBB"</formula>
    </cfRule>
    <cfRule type="cellIs" dxfId="148" priority="187" operator="equal">
      <formula>"ROSS"</formula>
    </cfRule>
    <cfRule type="cellIs" dxfId="147" priority="189" operator="equal">
      <formula>"COBB"</formula>
    </cfRule>
  </conditionalFormatting>
  <conditionalFormatting sqref="L64:L66">
    <cfRule type="cellIs" dxfId="146" priority="39" operator="equal">
      <formula>"HUBB"</formula>
    </cfRule>
    <cfRule type="cellIs" dxfId="145" priority="43" operator="equal">
      <formula>"ROSS"</formula>
    </cfRule>
    <cfRule type="cellIs" dxfId="144" priority="45" operator="equal">
      <formula>"COBB"</formula>
    </cfRule>
  </conditionalFormatting>
  <conditionalFormatting sqref="L68:L71">
    <cfRule type="cellIs" dxfId="143" priority="55" operator="equal">
      <formula>"HUBB"</formula>
    </cfRule>
    <cfRule type="cellIs" dxfId="142" priority="59" operator="equal">
      <formula>"ROSS"</formula>
    </cfRule>
    <cfRule type="cellIs" dxfId="141" priority="61" operator="equal">
      <formula>"COBB"</formula>
    </cfRule>
  </conditionalFormatting>
  <conditionalFormatting sqref="L73:L75">
    <cfRule type="cellIs" dxfId="140" priority="23" operator="equal">
      <formula>"HUBB"</formula>
    </cfRule>
    <cfRule type="cellIs" dxfId="139" priority="27" operator="equal">
      <formula>"ROSS"</formula>
    </cfRule>
    <cfRule type="cellIs" dxfId="138" priority="29" operator="equal">
      <formula>"COBB"</formula>
    </cfRule>
  </conditionalFormatting>
  <conditionalFormatting sqref="L77:L79">
    <cfRule type="cellIs" dxfId="137" priority="7" operator="equal">
      <formula>"HUBB"</formula>
    </cfRule>
    <cfRule type="cellIs" dxfId="136" priority="11" operator="equal">
      <formula>"ROSS"</formula>
    </cfRule>
    <cfRule type="cellIs" dxfId="135" priority="13" operator="equal">
      <formula>"COBB"</formula>
    </cfRule>
  </conditionalFormatting>
  <conditionalFormatting sqref="M55:M58">
    <cfRule type="cellIs" dxfId="134" priority="65" operator="equal">
      <formula>"CDP4 SF - MALE"</formula>
    </cfRule>
    <cfRule type="cellIs" dxfId="133" priority="66" operator="equal">
      <formula>"CDP4 SF - MX"</formula>
    </cfRule>
    <cfRule type="cellIs" dxfId="132" priority="67" operator="equal">
      <formula>"800 SLOW - MX"</formula>
    </cfRule>
    <cfRule type="cellIs" dxfId="131" priority="68" operator="equal">
      <formula>"500 SLOW - MV"</formula>
    </cfRule>
    <cfRule type="cellIs" dxfId="130" priority="69" operator="equal">
      <formula>"500 FAST - MALE"</formula>
    </cfRule>
    <cfRule type="cellIs" dxfId="129" priority="70" operator="equal">
      <formula>"500 SLOW - MX"</formula>
    </cfRule>
    <cfRule type="cellIs" dxfId="128" priority="72" operator="equal">
      <formula>"EFFICIENCY PLUS_M77"</formula>
    </cfRule>
    <cfRule type="cellIs" dxfId="127" priority="73" operator="equal">
      <formula>"AP95 - 344  JBS"</formula>
    </cfRule>
    <cfRule type="cellIs" dxfId="126" priority="74" operator="equal">
      <formula>"500 SLOW - MALE JBS"</formula>
    </cfRule>
    <cfRule type="cellIs" dxfId="125" priority="76" operator="equal">
      <formula>"AP95 - 344"</formula>
    </cfRule>
    <cfRule type="cellIs" dxfId="124" priority="78" operator="equal">
      <formula>"800 SLOW CDP4 - MALE"</formula>
    </cfRule>
    <cfRule type="cellIs" dxfId="123" priority="79" operator="equal">
      <formula>"800 SLOW CDP4 - MX"</formula>
    </cfRule>
    <cfRule type="cellIs" dxfId="122" priority="80" operator="equal">
      <formula>"500 SLOW - MALE"</formula>
    </cfRule>
  </conditionalFormatting>
  <conditionalFormatting sqref="M60:M62">
    <cfRule type="cellIs" dxfId="121" priority="177" operator="equal">
      <formula>"CDP4 SF - MALE"</formula>
    </cfRule>
    <cfRule type="cellIs" dxfId="120" priority="178" operator="equal">
      <formula>"CDP4 SF - MX"</formula>
    </cfRule>
    <cfRule type="cellIs" dxfId="119" priority="179" operator="equal">
      <formula>"800 SLOW - MX"</formula>
    </cfRule>
    <cfRule type="cellIs" dxfId="118" priority="180" operator="equal">
      <formula>"500 SLOW - MV"</formula>
    </cfRule>
    <cfRule type="cellIs" dxfId="117" priority="181" operator="equal">
      <formula>"500 FAST - MALE"</formula>
    </cfRule>
    <cfRule type="cellIs" dxfId="116" priority="182" operator="equal">
      <formula>"500 SLOW - MX"</formula>
    </cfRule>
    <cfRule type="cellIs" dxfId="115" priority="184" operator="equal">
      <formula>"EFFICIENCY PLUS_M77"</formula>
    </cfRule>
    <cfRule type="cellIs" dxfId="114" priority="185" operator="equal">
      <formula>"AP95 - 344  JBS"</formula>
    </cfRule>
    <cfRule type="cellIs" dxfId="113" priority="186" operator="equal">
      <formula>"500 SLOW - MALE JBS"</formula>
    </cfRule>
    <cfRule type="cellIs" dxfId="112" priority="188" operator="equal">
      <formula>"AP95 - 344"</formula>
    </cfRule>
    <cfRule type="cellIs" dxfId="111" priority="190" operator="equal">
      <formula>"800 SLOW CDP4 - MALE"</formula>
    </cfRule>
    <cfRule type="cellIs" dxfId="110" priority="191" operator="equal">
      <formula>"800 SLOW CDP4 - MX"</formula>
    </cfRule>
    <cfRule type="cellIs" dxfId="109" priority="192" operator="equal">
      <formula>"500 SLOW - MALE"</formula>
    </cfRule>
  </conditionalFormatting>
  <conditionalFormatting sqref="M64:M66">
    <cfRule type="cellIs" dxfId="108" priority="33" operator="equal">
      <formula>"CDP4 SF - MALE"</formula>
    </cfRule>
    <cfRule type="cellIs" dxfId="107" priority="34" operator="equal">
      <formula>"CDP4 SF - MX"</formula>
    </cfRule>
    <cfRule type="cellIs" dxfId="106" priority="35" operator="equal">
      <formula>"800 SLOW - MX"</formula>
    </cfRule>
    <cfRule type="cellIs" dxfId="105" priority="36" operator="equal">
      <formula>"500 SLOW - MV"</formula>
    </cfRule>
    <cfRule type="cellIs" dxfId="104" priority="37" operator="equal">
      <formula>"500 FAST - MALE"</formula>
    </cfRule>
    <cfRule type="cellIs" dxfId="103" priority="38" operator="equal">
      <formula>"500 SLOW - MX"</formula>
    </cfRule>
    <cfRule type="cellIs" dxfId="102" priority="40" operator="equal">
      <formula>"EFFICIENCY PLUS_M77"</formula>
    </cfRule>
    <cfRule type="cellIs" dxfId="101" priority="41" operator="equal">
      <formula>"AP95 - 344  JBS"</formula>
    </cfRule>
    <cfRule type="cellIs" dxfId="100" priority="42" operator="equal">
      <formula>"500 SLOW - MALE JBS"</formula>
    </cfRule>
    <cfRule type="cellIs" dxfId="99" priority="44" operator="equal">
      <formula>"AP95 - 344"</formula>
    </cfRule>
    <cfRule type="cellIs" dxfId="98" priority="46" operator="equal">
      <formula>"800 SLOW CDP4 - MALE"</formula>
    </cfRule>
    <cfRule type="cellIs" dxfId="97" priority="47" operator="equal">
      <formula>"800 SLOW CDP4 - MX"</formula>
    </cfRule>
    <cfRule type="cellIs" dxfId="96" priority="48" operator="equal">
      <formula>"500 SLOW - MALE"</formula>
    </cfRule>
  </conditionalFormatting>
  <conditionalFormatting sqref="M68:M71">
    <cfRule type="cellIs" dxfId="95" priority="49" operator="equal">
      <formula>"CDP4 SF - MALE"</formula>
    </cfRule>
    <cfRule type="cellIs" dxfId="94" priority="50" operator="equal">
      <formula>"CDP4 SF - MX"</formula>
    </cfRule>
    <cfRule type="cellIs" dxfId="93" priority="51" operator="equal">
      <formula>"800 SLOW - MX"</formula>
    </cfRule>
    <cfRule type="cellIs" dxfId="92" priority="52" operator="equal">
      <formula>"500 SLOW - MV"</formula>
    </cfRule>
    <cfRule type="cellIs" dxfId="91" priority="53" operator="equal">
      <formula>"500 FAST - MALE"</formula>
    </cfRule>
    <cfRule type="cellIs" dxfId="90" priority="54" operator="equal">
      <formula>"500 SLOW - MX"</formula>
    </cfRule>
    <cfRule type="cellIs" dxfId="89" priority="56" operator="equal">
      <formula>"EFFICIENCY PLUS_M77"</formula>
    </cfRule>
    <cfRule type="cellIs" dxfId="88" priority="57" operator="equal">
      <formula>"AP95 - 344  JBS"</formula>
    </cfRule>
    <cfRule type="cellIs" dxfId="87" priority="58" operator="equal">
      <formula>"500 SLOW - MALE JBS"</formula>
    </cfRule>
    <cfRule type="cellIs" dxfId="86" priority="60" operator="equal">
      <formula>"AP95 - 344"</formula>
    </cfRule>
    <cfRule type="cellIs" dxfId="85" priority="62" operator="equal">
      <formula>"800 SLOW CDP4 - MALE"</formula>
    </cfRule>
    <cfRule type="cellIs" dxfId="84" priority="63" operator="equal">
      <formula>"800 SLOW CDP4 - MX"</formula>
    </cfRule>
    <cfRule type="cellIs" dxfId="83" priority="64" operator="equal">
      <formula>"500 SLOW - MALE"</formula>
    </cfRule>
  </conditionalFormatting>
  <conditionalFormatting sqref="M73:M75">
    <cfRule type="cellIs" dxfId="82" priority="17" operator="equal">
      <formula>"CDP4 SF - MALE"</formula>
    </cfRule>
    <cfRule type="cellIs" dxfId="81" priority="18" operator="equal">
      <formula>"CDP4 SF - MX"</formula>
    </cfRule>
    <cfRule type="cellIs" dxfId="80" priority="19" operator="equal">
      <formula>"800 SLOW - MX"</formula>
    </cfRule>
    <cfRule type="cellIs" dxfId="79" priority="20" operator="equal">
      <formula>"500 SLOW - MV"</formula>
    </cfRule>
    <cfRule type="cellIs" dxfId="78" priority="21" operator="equal">
      <formula>"500 FAST - MALE"</formula>
    </cfRule>
    <cfRule type="cellIs" dxfId="77" priority="22" operator="equal">
      <formula>"500 SLOW - MX"</formula>
    </cfRule>
    <cfRule type="cellIs" dxfId="76" priority="24" operator="equal">
      <formula>"EFFICIENCY PLUS_M77"</formula>
    </cfRule>
    <cfRule type="cellIs" dxfId="75" priority="25" operator="equal">
      <formula>"AP95 - 344  JBS"</formula>
    </cfRule>
    <cfRule type="cellIs" dxfId="74" priority="26" operator="equal">
      <formula>"500 SLOW - MALE JBS"</formula>
    </cfRule>
    <cfRule type="cellIs" dxfId="73" priority="28" operator="equal">
      <formula>"AP95 - 344"</formula>
    </cfRule>
    <cfRule type="cellIs" dxfId="72" priority="30" operator="equal">
      <formula>"800 SLOW CDP4 - MALE"</formula>
    </cfRule>
    <cfRule type="cellIs" dxfId="71" priority="31" operator="equal">
      <formula>"800 SLOW CDP4 - MX"</formula>
    </cfRule>
    <cfRule type="cellIs" dxfId="70" priority="32" operator="equal">
      <formula>"500 SLOW - MALE"</formula>
    </cfRule>
  </conditionalFormatting>
  <conditionalFormatting sqref="M77:M79">
    <cfRule type="cellIs" dxfId="69" priority="1" operator="equal">
      <formula>"CDP4 SF - MALE"</formula>
    </cfRule>
    <cfRule type="cellIs" dxfId="68" priority="2" operator="equal">
      <formula>"CDP4 SF - MX"</formula>
    </cfRule>
    <cfRule type="cellIs" dxfId="67" priority="3" operator="equal">
      <formula>"800 SLOW - MX"</formula>
    </cfRule>
    <cfRule type="cellIs" dxfId="66" priority="4" operator="equal">
      <formula>"500 SLOW - MV"</formula>
    </cfRule>
    <cfRule type="cellIs" dxfId="65" priority="5" operator="equal">
      <formula>"500 FAST - MALE"</formula>
    </cfRule>
    <cfRule type="cellIs" dxfId="64" priority="6" operator="equal">
      <formula>"500 SLOW - MX"</formula>
    </cfRule>
    <cfRule type="cellIs" dxfId="63" priority="8" operator="equal">
      <formula>"EFFICIENCY PLUS_M77"</formula>
    </cfRule>
    <cfRule type="cellIs" dxfId="62" priority="9" operator="equal">
      <formula>"AP95 - 344  JBS"</formula>
    </cfRule>
    <cfRule type="cellIs" dxfId="61" priority="10" operator="equal">
      <formula>"500 SLOW - MALE JBS"</formula>
    </cfRule>
    <cfRule type="cellIs" dxfId="60" priority="12" operator="equal">
      <formula>"AP95 - 344"</formula>
    </cfRule>
    <cfRule type="cellIs" dxfId="59" priority="14" operator="equal">
      <formula>"800 SLOW CDP4 - MALE"</formula>
    </cfRule>
    <cfRule type="cellIs" dxfId="58" priority="15" operator="equal">
      <formula>"800 SLOW CDP4 - MX"</formula>
    </cfRule>
    <cfRule type="cellIs" dxfId="57" priority="16" operator="equal">
      <formula>"500 SLOW - MALE"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463316B511634FBD40B74D0E3888FC" ma:contentTypeVersion="16" ma:contentTypeDescription="Crie um novo documento." ma:contentTypeScope="" ma:versionID="6baaf416ed3ebfcdfcae83be8704bad8">
  <xsd:schema xmlns:xsd="http://www.w3.org/2001/XMLSchema" xmlns:xs="http://www.w3.org/2001/XMLSchema" xmlns:p="http://schemas.microsoft.com/office/2006/metadata/properties" xmlns:ns2="a38c08dc-82b0-4d74-88af-349f15321194" xmlns:ns3="9dba693a-79dc-4011-811a-4674ee0db48e" targetNamespace="http://schemas.microsoft.com/office/2006/metadata/properties" ma:root="true" ma:fieldsID="e8ba573c2cfb4f12e8511c6d214d0be3" ns2:_="" ns3:_="">
    <xsd:import namespace="a38c08dc-82b0-4d74-88af-349f15321194"/>
    <xsd:import namespace="9dba693a-79dc-4011-811a-4674ee0db4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8c08dc-82b0-4d74-88af-349f153211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9068c06f-0be7-4f55-9ae8-82b5fc66fd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a693a-79dc-4011-811a-4674ee0db48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6edc388-d2f5-4b7a-846b-954bb464d13a}" ma:internalName="TaxCatchAll" ma:showField="CatchAllData" ma:web="9dba693a-79dc-4011-811a-4674ee0db4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8c08dc-82b0-4d74-88af-349f15321194">
      <Terms xmlns="http://schemas.microsoft.com/office/infopath/2007/PartnerControls"/>
    </lcf76f155ced4ddcb4097134ff3c332f>
    <TaxCatchAll xmlns="9dba693a-79dc-4011-811a-4674ee0db48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151DA6-0DFA-4D87-A3C4-BB34032A64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8c08dc-82b0-4d74-88af-349f15321194"/>
    <ds:schemaRef ds:uri="9dba693a-79dc-4011-811a-4674ee0db4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739501-ECBC-449D-8386-93E3C1A97AD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A3CA415-1125-453E-A5DF-621576FF02F3}">
  <ds:schemaRefs>
    <ds:schemaRef ds:uri="http://schemas.microsoft.com/office/2006/metadata/properties"/>
    <ds:schemaRef ds:uri="http://schemas.microsoft.com/office/infopath/2007/PartnerControls"/>
    <ds:schemaRef ds:uri="a38c08dc-82b0-4d74-88af-349f15321194"/>
    <ds:schemaRef ds:uri="9dba693a-79dc-4011-811a-4674ee0db48e"/>
  </ds:schemaRefs>
</ds:datastoreItem>
</file>

<file path=customXml/itemProps4.xml><?xml version="1.0" encoding="utf-8"?>
<ds:datastoreItem xmlns:ds="http://schemas.openxmlformats.org/officeDocument/2006/customXml" ds:itemID="{B2C2EC37-E2E7-4BFB-839F-B931F5B6AA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15</vt:i4>
      </vt:variant>
    </vt:vector>
  </HeadingPairs>
  <TitlesOfParts>
    <vt:vector size="30" baseType="lpstr">
      <vt:lpstr>Pluma PR+SC</vt:lpstr>
      <vt:lpstr>Pluma SP</vt:lpstr>
      <vt:lpstr>Pluma CV</vt:lpstr>
      <vt:lpstr>Pluma PR+SC 29-12</vt:lpstr>
      <vt:lpstr>Pluma MI</vt:lpstr>
      <vt:lpstr>Pluma DF</vt:lpstr>
      <vt:lpstr>PLuma G3</vt:lpstr>
      <vt:lpstr>Argentina</vt:lpstr>
      <vt:lpstr>Plusval</vt:lpstr>
      <vt:lpstr>Cassilândia</vt:lpstr>
      <vt:lpstr>PlumaGen</vt:lpstr>
      <vt:lpstr>Encerrados</vt:lpstr>
      <vt:lpstr>Sequencial</vt:lpstr>
      <vt:lpstr>De x Para</vt:lpstr>
      <vt:lpstr>Gjs Novas</vt:lpstr>
      <vt:lpstr>Argentina!Area_de_impressao</vt:lpstr>
      <vt:lpstr>Cassilândia!Area_de_impressao</vt:lpstr>
      <vt:lpstr>'Pluma CV'!Area_de_impressao</vt:lpstr>
      <vt:lpstr>'Pluma DF'!Area_de_impressao</vt:lpstr>
      <vt:lpstr>'PLuma G3'!Area_de_impressao</vt:lpstr>
      <vt:lpstr>'Pluma MI'!Area_de_impressao</vt:lpstr>
      <vt:lpstr>'Pluma PR+SC'!Area_de_impressao</vt:lpstr>
      <vt:lpstr>'Pluma PR+SC 29-12'!Area_de_impressao</vt:lpstr>
      <vt:lpstr>Plusval!Area_de_impressao</vt:lpstr>
      <vt:lpstr>Sequencial!Area_de_impressao</vt:lpstr>
      <vt:lpstr>'Pluma DF'!Titulos_de_impressao</vt:lpstr>
      <vt:lpstr>'Pluma PR+SC'!Titulos_de_impressao</vt:lpstr>
      <vt:lpstr>'Pluma PR+SC 29-12'!Titulos_de_impressao</vt:lpstr>
      <vt:lpstr>'Pluma PR+SC'!Z_EE22E6B1_B273_4913_BA5A_0BA1AC76FDA6_.wvu.PrintArea</vt:lpstr>
      <vt:lpstr>'Pluma PR+SC 29-12'!Z_EE22E6B1_B273_4913_BA5A_0BA1AC76FDA6_.wvu.PrintArea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Volnei - PCP - Pluma Agroavicola</dc:creator>
  <cp:keywords/>
  <dc:description/>
  <cp:lastModifiedBy>Volnei Pereira</cp:lastModifiedBy>
  <cp:revision/>
  <dcterms:created xsi:type="dcterms:W3CDTF">2000-07-05T17:33:08Z</dcterms:created>
  <dcterms:modified xsi:type="dcterms:W3CDTF">2026-09-29T18:01:51Z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0x01010029463316B511634FBD40B74D0E3888FC</vt:lpwstr>
  </property>
  <property fmtid="{D5CDD505-2E9C-101B-9397-08002B2CF9AE}" pid="3" name="MediaServiceImageTags">
    <vt:lpwstr/>
  </property>
</Properties>
</file>