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meiru/Desktop/brandeis/CFM/hw/final/"/>
    </mc:Choice>
  </mc:AlternateContent>
  <xr:revisionPtr revIDLastSave="0" documentId="13_ncr:1_{CA0B3635-D70D-4547-9C6F-7B873CBCBAA4}" xr6:coauthVersionLast="47" xr6:coauthVersionMax="47" xr10:uidLastSave="{00000000-0000-0000-0000-000000000000}"/>
  <bookViews>
    <workbookView xWindow="1580" yWindow="940" windowWidth="22100" windowHeight="16140" activeTab="4" xr2:uid="{9FCFE7B9-A04B-7F49-9C8B-16E8ECB0D342}"/>
  </bookViews>
  <sheets>
    <sheet name="Cover Page" sheetId="1" r:id="rId1"/>
    <sheet name="Data Source" sheetId="2" r:id="rId2"/>
    <sheet name="Assumptions" sheetId="3" r:id="rId3"/>
    <sheet name="Model" sheetId="4" r:id="rId4"/>
    <sheet name="DCF Valuatio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5" l="1"/>
  <c r="D29" i="5" l="1"/>
  <c r="J59" i="2"/>
  <c r="D27" i="5"/>
  <c r="F21" i="5"/>
  <c r="G21" i="5"/>
  <c r="H21" i="5"/>
  <c r="I21" i="5"/>
  <c r="E21" i="5"/>
  <c r="F14" i="5"/>
  <c r="G14" i="5"/>
  <c r="H14" i="5"/>
  <c r="I14" i="5"/>
  <c r="F6" i="5"/>
  <c r="G6" i="5"/>
  <c r="H6" i="5"/>
  <c r="I6" i="5"/>
  <c r="E14" i="5"/>
  <c r="F13" i="5"/>
  <c r="G13" i="5"/>
  <c r="H13" i="5"/>
  <c r="I13" i="5"/>
  <c r="E13" i="5"/>
  <c r="G81" i="4"/>
  <c r="F12" i="5"/>
  <c r="G12" i="5"/>
  <c r="H12" i="5"/>
  <c r="I12" i="5"/>
  <c r="E12" i="5"/>
  <c r="H109" i="4"/>
  <c r="I109" i="4"/>
  <c r="J109" i="4"/>
  <c r="K109" i="4"/>
  <c r="G109" i="4"/>
  <c r="E6" i="5"/>
  <c r="B4" i="5"/>
  <c r="B3" i="5"/>
  <c r="F250" i="4"/>
  <c r="G249" i="4" s="1"/>
  <c r="D219" i="4"/>
  <c r="E219" i="4"/>
  <c r="F219" i="4"/>
  <c r="G219" i="4" s="1"/>
  <c r="H219" i="4" s="1"/>
  <c r="I219" i="4" s="1"/>
  <c r="J219" i="4" s="1"/>
  <c r="K219" i="4" s="1"/>
  <c r="E225" i="4"/>
  <c r="F225" i="4"/>
  <c r="D225" i="4"/>
  <c r="E224" i="4"/>
  <c r="F224" i="4"/>
  <c r="D224" i="4"/>
  <c r="E223" i="4"/>
  <c r="F223" i="4"/>
  <c r="D223" i="4"/>
  <c r="E218" i="4"/>
  <c r="F218" i="4"/>
  <c r="D218" i="4"/>
  <c r="E215" i="4"/>
  <c r="F215" i="4"/>
  <c r="D215" i="4"/>
  <c r="D210" i="4"/>
  <c r="E210" i="4"/>
  <c r="F210" i="4"/>
  <c r="D211" i="4"/>
  <c r="E211" i="4"/>
  <c r="F211" i="4"/>
  <c r="E209" i="4"/>
  <c r="F209" i="4"/>
  <c r="D209" i="4"/>
  <c r="E292" i="4"/>
  <c r="F292" i="4"/>
  <c r="G292" i="4" s="1"/>
  <c r="H292" i="4" s="1"/>
  <c r="I292" i="4" s="1"/>
  <c r="J292" i="4" s="1"/>
  <c r="K292" i="4" s="1"/>
  <c r="F291" i="4"/>
  <c r="G291" i="4" s="1"/>
  <c r="H291" i="4" s="1"/>
  <c r="I291" i="4" s="1"/>
  <c r="J291" i="4" s="1"/>
  <c r="K291" i="4" s="1"/>
  <c r="E291" i="4"/>
  <c r="F290" i="4"/>
  <c r="E290" i="4"/>
  <c r="E283" i="4"/>
  <c r="F283" i="4"/>
  <c r="E284" i="4"/>
  <c r="F284" i="4"/>
  <c r="E285" i="4"/>
  <c r="F285" i="4"/>
  <c r="E286" i="4"/>
  <c r="F286" i="4"/>
  <c r="E287" i="4"/>
  <c r="F287" i="4"/>
  <c r="F282" i="4"/>
  <c r="E282" i="4"/>
  <c r="E276" i="4"/>
  <c r="F276" i="4"/>
  <c r="E274" i="4"/>
  <c r="F274" i="4"/>
  <c r="E275" i="4"/>
  <c r="F275" i="4"/>
  <c r="E273" i="4"/>
  <c r="F273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F266" i="4"/>
  <c r="E266" i="4"/>
  <c r="E258" i="4"/>
  <c r="F258" i="4"/>
  <c r="G258" i="4" s="1"/>
  <c r="H258" i="4" s="1"/>
  <c r="E259" i="4"/>
  <c r="F259" i="4"/>
  <c r="E260" i="4"/>
  <c r="F260" i="4"/>
  <c r="E261" i="4"/>
  <c r="F261" i="4"/>
  <c r="E262" i="4"/>
  <c r="F262" i="4"/>
  <c r="F257" i="4"/>
  <c r="E257" i="4"/>
  <c r="F298" i="4"/>
  <c r="E298" i="4"/>
  <c r="F297" i="4"/>
  <c r="E297" i="4"/>
  <c r="G262" i="4"/>
  <c r="H262" i="4"/>
  <c r="I262" i="4"/>
  <c r="J262" i="4"/>
  <c r="K262" i="4"/>
  <c r="F81" i="4"/>
  <c r="E81" i="4"/>
  <c r="E277" i="4" l="1"/>
  <c r="F293" i="4"/>
  <c r="F227" i="4"/>
  <c r="D227" i="4"/>
  <c r="F277" i="4"/>
  <c r="D220" i="4"/>
  <c r="E227" i="4"/>
  <c r="E220" i="4"/>
  <c r="E263" i="4"/>
  <c r="E278" i="4" s="1"/>
  <c r="D212" i="4"/>
  <c r="F288" i="4"/>
  <c r="F294" i="4" s="1"/>
  <c r="F299" i="4" s="1"/>
  <c r="F263" i="4"/>
  <c r="F220" i="4"/>
  <c r="E293" i="4"/>
  <c r="E212" i="4"/>
  <c r="E288" i="4"/>
  <c r="F212" i="4"/>
  <c r="G276" i="4"/>
  <c r="H276" i="4" s="1"/>
  <c r="I276" i="4" s="1"/>
  <c r="J276" i="4" s="1"/>
  <c r="K276" i="4" s="1"/>
  <c r="I258" i="4"/>
  <c r="F82" i="4"/>
  <c r="E294" i="4" l="1"/>
  <c r="E299" i="4" s="1"/>
  <c r="E221" i="4"/>
  <c r="F278" i="4"/>
  <c r="D221" i="4"/>
  <c r="F221" i="4"/>
  <c r="J258" i="4"/>
  <c r="K258" i="4" l="1"/>
  <c r="E254" i="4" l="1"/>
  <c r="F254" i="4" s="1"/>
  <c r="G254" i="4" s="1"/>
  <c r="H254" i="4" s="1"/>
  <c r="I254" i="4" s="1"/>
  <c r="J254" i="4" s="1"/>
  <c r="K254" i="4" s="1"/>
  <c r="E231" i="4"/>
  <c r="F231" i="4" s="1"/>
  <c r="G231" i="4" s="1"/>
  <c r="H231" i="4" s="1"/>
  <c r="I231" i="4" s="1"/>
  <c r="J231" i="4" s="1"/>
  <c r="K231" i="4" s="1"/>
  <c r="E207" i="4"/>
  <c r="F207" i="4" s="1"/>
  <c r="G207" i="4" s="1"/>
  <c r="H207" i="4" s="1"/>
  <c r="I207" i="4" s="1"/>
  <c r="J207" i="4" s="1"/>
  <c r="K207" i="4" s="1"/>
  <c r="C189" i="4" l="1"/>
  <c r="E190" i="4"/>
  <c r="F190" i="4" s="1"/>
  <c r="G190" i="4" s="1"/>
  <c r="H190" i="4" s="1"/>
  <c r="I190" i="4" s="1"/>
  <c r="J190" i="4" s="1"/>
  <c r="K190" i="4" s="1"/>
  <c r="C174" i="4"/>
  <c r="E175" i="4"/>
  <c r="F175" i="4" s="1"/>
  <c r="G175" i="4" s="1"/>
  <c r="H175" i="4" s="1"/>
  <c r="I175" i="4" s="1"/>
  <c r="J175" i="4" s="1"/>
  <c r="K175" i="4" s="1"/>
  <c r="C159" i="4"/>
  <c r="E160" i="4"/>
  <c r="F160" i="4" s="1"/>
  <c r="G160" i="4" s="1"/>
  <c r="H160" i="4" s="1"/>
  <c r="I160" i="4" s="1"/>
  <c r="J160" i="4" s="1"/>
  <c r="K160" i="4" s="1"/>
  <c r="C144" i="4"/>
  <c r="E145" i="4"/>
  <c r="F145" i="4" s="1"/>
  <c r="G145" i="4" s="1"/>
  <c r="H145" i="4" s="1"/>
  <c r="I145" i="4" s="1"/>
  <c r="J145" i="4" s="1"/>
  <c r="K145" i="4" s="1"/>
  <c r="C129" i="4"/>
  <c r="E130" i="4"/>
  <c r="F130" i="4" s="1"/>
  <c r="G130" i="4" s="1"/>
  <c r="H130" i="4" s="1"/>
  <c r="I130" i="4" s="1"/>
  <c r="J130" i="4" s="1"/>
  <c r="K130" i="4" s="1"/>
  <c r="C114" i="4"/>
  <c r="E115" i="4"/>
  <c r="F115" i="4" s="1"/>
  <c r="G115" i="4" s="1"/>
  <c r="H115" i="4" s="1"/>
  <c r="I115" i="4" s="1"/>
  <c r="J115" i="4" s="1"/>
  <c r="K115" i="4" s="1"/>
  <c r="F102" i="4"/>
  <c r="G192" i="4" s="1"/>
  <c r="E102" i="4"/>
  <c r="F99" i="4"/>
  <c r="G177" i="4" s="1"/>
  <c r="E99" i="4"/>
  <c r="F96" i="4"/>
  <c r="G162" i="4" s="1"/>
  <c r="E96" i="4"/>
  <c r="F93" i="4"/>
  <c r="G147" i="4" s="1"/>
  <c r="E93" i="4"/>
  <c r="E90" i="4"/>
  <c r="F90" i="4"/>
  <c r="G132" i="4" s="1"/>
  <c r="E105" i="4"/>
  <c r="F105" i="4"/>
  <c r="G105" i="4" s="1"/>
  <c r="F87" i="4"/>
  <c r="G117" i="4" s="1"/>
  <c r="E87" i="4"/>
  <c r="E86" i="4"/>
  <c r="F86" i="4" s="1"/>
  <c r="G86" i="4" s="1"/>
  <c r="H86" i="4" s="1"/>
  <c r="I86" i="4" s="1"/>
  <c r="J86" i="4" s="1"/>
  <c r="K86" i="4" s="1"/>
  <c r="G77" i="4"/>
  <c r="G76" i="4"/>
  <c r="G75" i="4"/>
  <c r="F79" i="4"/>
  <c r="E79" i="4"/>
  <c r="F70" i="4"/>
  <c r="E70" i="4"/>
  <c r="G65" i="4"/>
  <c r="H65" i="4" s="1"/>
  <c r="I65" i="4" s="1"/>
  <c r="J65" i="4" s="1"/>
  <c r="K65" i="4" s="1"/>
  <c r="E62" i="4"/>
  <c r="F62" i="4" s="1"/>
  <c r="G62" i="4" s="1"/>
  <c r="H62" i="4" s="1"/>
  <c r="I62" i="4" s="1"/>
  <c r="J62" i="4" s="1"/>
  <c r="K62" i="4" s="1"/>
  <c r="F54" i="4"/>
  <c r="E54" i="4"/>
  <c r="E58" i="4"/>
  <c r="F58" i="4"/>
  <c r="D58" i="4"/>
  <c r="E52" i="4"/>
  <c r="F52" i="4" s="1"/>
  <c r="G52" i="4" s="1"/>
  <c r="H52" i="4" s="1"/>
  <c r="I52" i="4" s="1"/>
  <c r="J52" i="4" s="1"/>
  <c r="K52" i="4" s="1"/>
  <c r="K45" i="4"/>
  <c r="K216" i="4" s="1"/>
  <c r="J45" i="4"/>
  <c r="J216" i="4" s="1"/>
  <c r="I45" i="4"/>
  <c r="I216" i="4" s="1"/>
  <c r="H45" i="4"/>
  <c r="H216" i="4" s="1"/>
  <c r="G45" i="4"/>
  <c r="G216" i="4" s="1"/>
  <c r="E47" i="4"/>
  <c r="F47" i="4"/>
  <c r="D47" i="4"/>
  <c r="E44" i="4"/>
  <c r="F44" i="4"/>
  <c r="D44" i="4"/>
  <c r="E42" i="4"/>
  <c r="F42" i="4" s="1"/>
  <c r="G42" i="4" s="1"/>
  <c r="H42" i="4" s="1"/>
  <c r="I42" i="4" s="1"/>
  <c r="J42" i="4" s="1"/>
  <c r="K42" i="4" s="1"/>
  <c r="E37" i="4"/>
  <c r="F37" i="4"/>
  <c r="D37" i="4"/>
  <c r="F35" i="4"/>
  <c r="D34" i="4"/>
  <c r="E34" i="4"/>
  <c r="F34" i="4"/>
  <c r="E33" i="4"/>
  <c r="F33" i="4"/>
  <c r="D33" i="4"/>
  <c r="D29" i="4"/>
  <c r="E29" i="4"/>
  <c r="F29" i="4"/>
  <c r="D30" i="4"/>
  <c r="E30" i="4"/>
  <c r="F30" i="4"/>
  <c r="E28" i="4"/>
  <c r="F28" i="4"/>
  <c r="D28" i="4"/>
  <c r="D35" i="4"/>
  <c r="E35" i="4"/>
  <c r="H24" i="4"/>
  <c r="I24" i="4"/>
  <c r="J24" i="4"/>
  <c r="K24" i="4"/>
  <c r="G24" i="4"/>
  <c r="G268" i="4" l="1"/>
  <c r="G106" i="4"/>
  <c r="G108" i="4" s="1"/>
  <c r="H75" i="4"/>
  <c r="G284" i="4"/>
  <c r="H76" i="4"/>
  <c r="G285" i="4"/>
  <c r="H77" i="4"/>
  <c r="G286" i="4"/>
  <c r="H105" i="4"/>
  <c r="G240" i="4"/>
  <c r="E80" i="4"/>
  <c r="G102" i="4"/>
  <c r="G181" i="4"/>
  <c r="H181" i="4" s="1"/>
  <c r="G166" i="4"/>
  <c r="G136" i="4"/>
  <c r="G141" i="4" s="1"/>
  <c r="G151" i="4"/>
  <c r="G96" i="4"/>
  <c r="G269" i="4" s="1"/>
  <c r="G99" i="4"/>
  <c r="G270" i="4" s="1"/>
  <c r="G196" i="4"/>
  <c r="G121" i="4"/>
  <c r="F80" i="4"/>
  <c r="D31" i="4"/>
  <c r="F31" i="4"/>
  <c r="E36" i="4"/>
  <c r="D36" i="4"/>
  <c r="E31" i="4"/>
  <c r="F36" i="4"/>
  <c r="E4" i="4"/>
  <c r="F4" i="4" s="1"/>
  <c r="F78" i="2"/>
  <c r="F73" i="2"/>
  <c r="G73" i="2"/>
  <c r="G74" i="2"/>
  <c r="F75" i="2"/>
  <c r="G75" i="2"/>
  <c r="F76" i="2"/>
  <c r="G76" i="2"/>
  <c r="H76" i="2" s="1"/>
  <c r="E38" i="3" s="1"/>
  <c r="F77" i="2"/>
  <c r="G77" i="2"/>
  <c r="F79" i="2"/>
  <c r="G79" i="2"/>
  <c r="G70" i="2"/>
  <c r="F70" i="2"/>
  <c r="F92" i="2"/>
  <c r="G92" i="2"/>
  <c r="F95" i="2"/>
  <c r="G95" i="2"/>
  <c r="F96" i="2"/>
  <c r="G96" i="2"/>
  <c r="F97" i="2"/>
  <c r="G97" i="2"/>
  <c r="F99" i="2"/>
  <c r="G99" i="2"/>
  <c r="F100" i="2"/>
  <c r="G100" i="2"/>
  <c r="F102" i="2"/>
  <c r="I38" i="3" s="1"/>
  <c r="G54" i="4" s="1"/>
  <c r="G57" i="4" s="1"/>
  <c r="G244" i="4" s="1"/>
  <c r="F88" i="2"/>
  <c r="G88" i="2"/>
  <c r="F83" i="2"/>
  <c r="G83" i="2"/>
  <c r="F84" i="2"/>
  <c r="G84" i="2"/>
  <c r="F85" i="2"/>
  <c r="G85" i="2"/>
  <c r="F86" i="2"/>
  <c r="G86" i="2"/>
  <c r="F87" i="2"/>
  <c r="G87" i="2"/>
  <c r="H87" i="2" s="1"/>
  <c r="F82" i="2"/>
  <c r="G82" i="2"/>
  <c r="G81" i="2"/>
  <c r="F81" i="2"/>
  <c r="H81" i="2" s="1"/>
  <c r="I19" i="3" s="1"/>
  <c r="L39" i="2"/>
  <c r="M39" i="2"/>
  <c r="N39" i="2"/>
  <c r="O39" i="2"/>
  <c r="L40" i="2"/>
  <c r="M40" i="2"/>
  <c r="N40" i="2"/>
  <c r="O40" i="2"/>
  <c r="E14" i="3"/>
  <c r="E23" i="3"/>
  <c r="C6" i="3"/>
  <c r="O37" i="2"/>
  <c r="L48" i="2"/>
  <c r="M48" i="2"/>
  <c r="N48" i="2"/>
  <c r="O48" i="2"/>
  <c r="L54" i="2"/>
  <c r="M54" i="2"/>
  <c r="N54" i="2"/>
  <c r="O54" i="2"/>
  <c r="L56" i="2"/>
  <c r="M56" i="2"/>
  <c r="N56" i="2"/>
  <c r="O56" i="2"/>
  <c r="M42" i="2"/>
  <c r="N42" i="2"/>
  <c r="O42" i="2"/>
  <c r="L42" i="2"/>
  <c r="M37" i="2"/>
  <c r="N37" i="2"/>
  <c r="L37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K138" i="2"/>
  <c r="L138" i="2"/>
  <c r="J138" i="2"/>
  <c r="H152" i="2"/>
  <c r="H153" i="2"/>
  <c r="H154" i="2"/>
  <c r="H155" i="2"/>
  <c r="H157" i="2"/>
  <c r="H158" i="2"/>
  <c r="H159" i="2"/>
  <c r="H160" i="2"/>
  <c r="H163" i="2"/>
  <c r="H164" i="2"/>
  <c r="H165" i="2"/>
  <c r="H166" i="2"/>
  <c r="H168" i="2"/>
  <c r="H169" i="2"/>
  <c r="H170" i="2"/>
  <c r="H171" i="2"/>
  <c r="H172" i="2"/>
  <c r="H173" i="2"/>
  <c r="H174" i="2"/>
  <c r="H175" i="2"/>
  <c r="H141" i="2"/>
  <c r="H142" i="2"/>
  <c r="H143" i="2"/>
  <c r="H144" i="2"/>
  <c r="H146" i="2"/>
  <c r="H147" i="2"/>
  <c r="H148" i="2"/>
  <c r="H149" i="2"/>
  <c r="H138" i="2"/>
  <c r="H77" i="2" l="1"/>
  <c r="E39" i="3" s="1"/>
  <c r="H73" i="2"/>
  <c r="H92" i="2"/>
  <c r="M148" i="2"/>
  <c r="H79" i="2"/>
  <c r="H75" i="2"/>
  <c r="E37" i="3" s="1"/>
  <c r="H100" i="2"/>
  <c r="E42" i="3" s="1"/>
  <c r="H95" i="2"/>
  <c r="E40" i="3" s="1"/>
  <c r="H268" i="4"/>
  <c r="H106" i="4"/>
  <c r="H108" i="4" s="1"/>
  <c r="H240" i="4" s="1"/>
  <c r="I77" i="4"/>
  <c r="H286" i="4"/>
  <c r="I76" i="4"/>
  <c r="H285" i="4"/>
  <c r="H102" i="4"/>
  <c r="H272" i="4" s="1"/>
  <c r="G272" i="4"/>
  <c r="I75" i="4"/>
  <c r="H284" i="4"/>
  <c r="H54" i="4"/>
  <c r="H55" i="4" s="1"/>
  <c r="G55" i="4"/>
  <c r="G245" i="4" s="1"/>
  <c r="G246" i="4" s="1"/>
  <c r="I105" i="4"/>
  <c r="G163" i="4"/>
  <c r="H167" i="4" s="1"/>
  <c r="I167" i="4" s="1"/>
  <c r="J167" i="4" s="1"/>
  <c r="K167" i="4" s="1"/>
  <c r="G97" i="4"/>
  <c r="H99" i="4"/>
  <c r="G100" i="4"/>
  <c r="G193" i="4"/>
  <c r="H197" i="4" s="1"/>
  <c r="I197" i="4" s="1"/>
  <c r="J197" i="4" s="1"/>
  <c r="K197" i="4" s="1"/>
  <c r="G103" i="4"/>
  <c r="H97" i="2"/>
  <c r="G56" i="4"/>
  <c r="P54" i="2"/>
  <c r="H86" i="2"/>
  <c r="I21" i="3" s="1"/>
  <c r="G186" i="4"/>
  <c r="H196" i="4"/>
  <c r="G201" i="4"/>
  <c r="I181" i="4"/>
  <c r="G171" i="4"/>
  <c r="H166" i="4"/>
  <c r="H151" i="4"/>
  <c r="G156" i="4"/>
  <c r="H136" i="4"/>
  <c r="H121" i="4"/>
  <c r="G126" i="4"/>
  <c r="G178" i="4"/>
  <c r="H182" i="4" s="1"/>
  <c r="H186" i="4" s="1"/>
  <c r="H96" i="4"/>
  <c r="H269" i="4" s="1"/>
  <c r="D38" i="4"/>
  <c r="E38" i="4"/>
  <c r="F38" i="4"/>
  <c r="G4" i="4"/>
  <c r="H4" i="4" s="1"/>
  <c r="I4" i="4" s="1"/>
  <c r="J4" i="4" s="1"/>
  <c r="K4" i="4" s="1"/>
  <c r="M138" i="2"/>
  <c r="M168" i="2"/>
  <c r="M157" i="2"/>
  <c r="E24" i="3" s="1"/>
  <c r="G21" i="4" s="1"/>
  <c r="H21" i="4" s="1"/>
  <c r="I21" i="4" s="1"/>
  <c r="J21" i="4" s="1"/>
  <c r="K21" i="4" s="1"/>
  <c r="M146" i="2"/>
  <c r="E15" i="3" s="1"/>
  <c r="G12" i="4" s="1"/>
  <c r="H99" i="2"/>
  <c r="H85" i="2"/>
  <c r="M158" i="2"/>
  <c r="E25" i="3" s="1"/>
  <c r="G22" i="4" s="1"/>
  <c r="H22" i="4" s="1"/>
  <c r="I22" i="4" s="1"/>
  <c r="J22" i="4" s="1"/>
  <c r="K22" i="4" s="1"/>
  <c r="P48" i="2"/>
  <c r="P56" i="2"/>
  <c r="P40" i="2"/>
  <c r="E33" i="3" s="1"/>
  <c r="G47" i="4" s="1"/>
  <c r="H82" i="2"/>
  <c r="I20" i="3" s="1"/>
  <c r="H84" i="2"/>
  <c r="H88" i="2"/>
  <c r="M170" i="2"/>
  <c r="E28" i="3" s="1"/>
  <c r="G35" i="4" s="1"/>
  <c r="H35" i="4" s="1"/>
  <c r="I35" i="4" s="1"/>
  <c r="J35" i="4" s="1"/>
  <c r="K35" i="4" s="1"/>
  <c r="M159" i="2"/>
  <c r="M175" i="2"/>
  <c r="M166" i="2"/>
  <c r="M155" i="2"/>
  <c r="M144" i="2"/>
  <c r="H83" i="2"/>
  <c r="H96" i="2"/>
  <c r="E41" i="3" s="1"/>
  <c r="M172" i="2"/>
  <c r="E29" i="3" s="1"/>
  <c r="G37" i="4" s="1"/>
  <c r="M152" i="2"/>
  <c r="E20" i="3" s="1"/>
  <c r="G17" i="4" s="1"/>
  <c r="H17" i="4" s="1"/>
  <c r="I17" i="4" s="1"/>
  <c r="J17" i="4" s="1"/>
  <c r="K17" i="4" s="1"/>
  <c r="M147" i="2"/>
  <c r="E16" i="3" s="1"/>
  <c r="G13" i="4" s="1"/>
  <c r="M163" i="2"/>
  <c r="M143" i="2"/>
  <c r="E13" i="3" s="1"/>
  <c r="G10" i="4" s="1"/>
  <c r="M174" i="2"/>
  <c r="M154" i="2"/>
  <c r="E22" i="3" s="1"/>
  <c r="G19" i="4" s="1"/>
  <c r="H19" i="4" s="1"/>
  <c r="I19" i="4" s="1"/>
  <c r="J19" i="4" s="1"/>
  <c r="K19" i="4" s="1"/>
  <c r="M160" i="2"/>
  <c r="M164" i="2"/>
  <c r="M142" i="2"/>
  <c r="E12" i="3" s="1"/>
  <c r="G9" i="4" s="1"/>
  <c r="P42" i="2"/>
  <c r="P39" i="2"/>
  <c r="E32" i="3" s="1"/>
  <c r="G44" i="4" s="1"/>
  <c r="M169" i="2"/>
  <c r="M141" i="2"/>
  <c r="E11" i="3" s="1"/>
  <c r="G8" i="4" s="1"/>
  <c r="H8" i="4" s="1"/>
  <c r="M165" i="2"/>
  <c r="M171" i="2"/>
  <c r="M149" i="2"/>
  <c r="P37" i="2"/>
  <c r="M173" i="2"/>
  <c r="M153" i="2"/>
  <c r="E21" i="3" s="1"/>
  <c r="G18" i="4" s="1"/>
  <c r="H18" i="4" s="1"/>
  <c r="I18" i="4" s="1"/>
  <c r="J18" i="4" s="1"/>
  <c r="K18" i="4" s="1"/>
  <c r="I268" i="4" l="1"/>
  <c r="I106" i="4"/>
  <c r="I108" i="4" s="1"/>
  <c r="H193" i="4"/>
  <c r="I198" i="4" s="1"/>
  <c r="J198" i="4" s="1"/>
  <c r="K198" i="4" s="1"/>
  <c r="J75" i="4"/>
  <c r="I284" i="4"/>
  <c r="H178" i="4"/>
  <c r="I183" i="4" s="1"/>
  <c r="J183" i="4" s="1"/>
  <c r="K183" i="4" s="1"/>
  <c r="H270" i="4"/>
  <c r="J76" i="4"/>
  <c r="I285" i="4"/>
  <c r="G58" i="4"/>
  <c r="G223" i="4" s="1"/>
  <c r="G290" i="4"/>
  <c r="G293" i="4" s="1"/>
  <c r="H103" i="4"/>
  <c r="I102" i="4"/>
  <c r="I272" i="4" s="1"/>
  <c r="J77" i="4"/>
  <c r="I286" i="4"/>
  <c r="H56" i="4"/>
  <c r="H245" i="4"/>
  <c r="I54" i="4"/>
  <c r="H57" i="4"/>
  <c r="H244" i="4" s="1"/>
  <c r="J105" i="4"/>
  <c r="I240" i="4"/>
  <c r="I99" i="4"/>
  <c r="I270" i="4" s="1"/>
  <c r="H100" i="4"/>
  <c r="I96" i="4"/>
  <c r="H97" i="4"/>
  <c r="H37" i="4"/>
  <c r="G211" i="4"/>
  <c r="G215" i="4"/>
  <c r="H44" i="4"/>
  <c r="G218" i="4"/>
  <c r="H47" i="4"/>
  <c r="G203" i="4"/>
  <c r="I196" i="4"/>
  <c r="H201" i="4"/>
  <c r="J181" i="4"/>
  <c r="H171" i="4"/>
  <c r="I166" i="4"/>
  <c r="H163" i="4"/>
  <c r="I168" i="4" s="1"/>
  <c r="J168" i="4" s="1"/>
  <c r="K168" i="4" s="1"/>
  <c r="I151" i="4"/>
  <c r="I136" i="4"/>
  <c r="I121" i="4"/>
  <c r="G33" i="4"/>
  <c r="G34" i="4"/>
  <c r="G30" i="4"/>
  <c r="H28" i="4"/>
  <c r="H10" i="4"/>
  <c r="H30" i="4" s="1"/>
  <c r="G29" i="4"/>
  <c r="H13" i="4"/>
  <c r="H34" i="4" s="1"/>
  <c r="H9" i="4"/>
  <c r="H29" i="4" s="1"/>
  <c r="G28" i="4"/>
  <c r="H12" i="4"/>
  <c r="H33" i="4" s="1"/>
  <c r="I8" i="4"/>
  <c r="I28" i="4" s="1"/>
  <c r="G274" i="4" l="1"/>
  <c r="E11" i="5"/>
  <c r="J102" i="4"/>
  <c r="J272" i="4" s="1"/>
  <c r="I103" i="4"/>
  <c r="J268" i="4"/>
  <c r="J106" i="4"/>
  <c r="J108" i="4" s="1"/>
  <c r="J240" i="4" s="1"/>
  <c r="I182" i="4"/>
  <c r="J182" i="4" s="1"/>
  <c r="K182" i="4" s="1"/>
  <c r="H246" i="4"/>
  <c r="H58" i="4"/>
  <c r="H223" i="4" s="1"/>
  <c r="H290" i="4"/>
  <c r="H293" i="4" s="1"/>
  <c r="K76" i="4"/>
  <c r="K285" i="4" s="1"/>
  <c r="J285" i="4"/>
  <c r="K77" i="4"/>
  <c r="K286" i="4" s="1"/>
  <c r="J286" i="4"/>
  <c r="I97" i="4"/>
  <c r="I269" i="4"/>
  <c r="I193" i="4"/>
  <c r="J199" i="4" s="1"/>
  <c r="K199" i="4" s="1"/>
  <c r="K75" i="4"/>
  <c r="K284" i="4" s="1"/>
  <c r="J284" i="4"/>
  <c r="J54" i="4"/>
  <c r="I57" i="4"/>
  <c r="I244" i="4" s="1"/>
  <c r="I55" i="4"/>
  <c r="K105" i="4"/>
  <c r="K106" i="4" s="1"/>
  <c r="K108" i="4" s="1"/>
  <c r="I163" i="4"/>
  <c r="J169" i="4" s="1"/>
  <c r="K169" i="4" s="1"/>
  <c r="J96" i="4"/>
  <c r="I100" i="4"/>
  <c r="J99" i="4"/>
  <c r="J270" i="4" s="1"/>
  <c r="I178" i="4"/>
  <c r="J184" i="4" s="1"/>
  <c r="K184" i="4" s="1"/>
  <c r="G46" i="4"/>
  <c r="G217" i="4" s="1"/>
  <c r="G220" i="4" s="1"/>
  <c r="G234" i="4"/>
  <c r="I44" i="4"/>
  <c r="H215" i="4"/>
  <c r="H218" i="4"/>
  <c r="I47" i="4"/>
  <c r="I37" i="4"/>
  <c r="H211" i="4"/>
  <c r="J196" i="4"/>
  <c r="I201" i="4"/>
  <c r="K181" i="4"/>
  <c r="J166" i="4"/>
  <c r="I171" i="4"/>
  <c r="J151" i="4"/>
  <c r="J136" i="4"/>
  <c r="J121" i="4"/>
  <c r="G36" i="4"/>
  <c r="G210" i="4" s="1"/>
  <c r="I10" i="4"/>
  <c r="I30" i="4" s="1"/>
  <c r="H31" i="4"/>
  <c r="H209" i="4" s="1"/>
  <c r="G31" i="4"/>
  <c r="G209" i="4" s="1"/>
  <c r="H36" i="4"/>
  <c r="H210" i="4" s="1"/>
  <c r="I13" i="4"/>
  <c r="I34" i="4" s="1"/>
  <c r="I9" i="4"/>
  <c r="I29" i="4" s="1"/>
  <c r="I12" i="4"/>
  <c r="I33" i="4" s="1"/>
  <c r="J8" i="4"/>
  <c r="J28" i="4" s="1"/>
  <c r="J193" i="4" l="1"/>
  <c r="K200" i="4" s="1"/>
  <c r="K102" i="4"/>
  <c r="K272" i="4" s="1"/>
  <c r="J103" i="4"/>
  <c r="I186" i="4"/>
  <c r="G48" i="4"/>
  <c r="J97" i="4"/>
  <c r="J269" i="4"/>
  <c r="K240" i="4"/>
  <c r="K268" i="4"/>
  <c r="I56" i="4"/>
  <c r="I245" i="4"/>
  <c r="I246" i="4" s="1"/>
  <c r="K54" i="4"/>
  <c r="J57" i="4"/>
  <c r="J244" i="4" s="1"/>
  <c r="J55" i="4"/>
  <c r="J163" i="4"/>
  <c r="K170" i="4" s="1"/>
  <c r="K96" i="4"/>
  <c r="J186" i="4"/>
  <c r="K103" i="4"/>
  <c r="J178" i="4"/>
  <c r="K185" i="4" s="1"/>
  <c r="K186" i="4" s="1"/>
  <c r="J100" i="4"/>
  <c r="K99" i="4"/>
  <c r="K270" i="4" s="1"/>
  <c r="J37" i="4"/>
  <c r="I211" i="4"/>
  <c r="I218" i="4"/>
  <c r="J47" i="4"/>
  <c r="J44" i="4"/>
  <c r="I215" i="4"/>
  <c r="H212" i="4"/>
  <c r="G212" i="4"/>
  <c r="G221" i="4" s="1"/>
  <c r="G224" i="4" s="1"/>
  <c r="G225" i="4" s="1"/>
  <c r="K196" i="4"/>
  <c r="K201" i="4" s="1"/>
  <c r="J201" i="4"/>
  <c r="K166" i="4"/>
  <c r="J171" i="4"/>
  <c r="K151" i="4"/>
  <c r="K136" i="4"/>
  <c r="K121" i="4"/>
  <c r="H38" i="4"/>
  <c r="I31" i="4"/>
  <c r="I209" i="4" s="1"/>
  <c r="G38" i="4"/>
  <c r="J13" i="4"/>
  <c r="J34" i="4" s="1"/>
  <c r="J10" i="4"/>
  <c r="J30" i="4" s="1"/>
  <c r="I36" i="4"/>
  <c r="I210" i="4" s="1"/>
  <c r="J9" i="4"/>
  <c r="J29" i="4" s="1"/>
  <c r="J12" i="4"/>
  <c r="J33" i="4" s="1"/>
  <c r="K8" i="4"/>
  <c r="K28" i="4" s="1"/>
  <c r="K193" i="4" l="1"/>
  <c r="K163" i="4"/>
  <c r="K269" i="4"/>
  <c r="I58" i="4"/>
  <c r="I223" i="4" s="1"/>
  <c r="I290" i="4"/>
  <c r="I293" i="4" s="1"/>
  <c r="K171" i="4"/>
  <c r="K55" i="4"/>
  <c r="K245" i="4" s="1"/>
  <c r="K57" i="4"/>
  <c r="K244" i="4" s="1"/>
  <c r="J56" i="4"/>
  <c r="J245" i="4"/>
  <c r="J246" i="4" s="1"/>
  <c r="K97" i="4"/>
  <c r="K178" i="4"/>
  <c r="K100" i="4"/>
  <c r="J215" i="4"/>
  <c r="K44" i="4"/>
  <c r="K215" i="4" s="1"/>
  <c r="K47" i="4"/>
  <c r="K218" i="4" s="1"/>
  <c r="J218" i="4"/>
  <c r="J211" i="4"/>
  <c r="K37" i="4"/>
  <c r="K211" i="4" s="1"/>
  <c r="G227" i="4"/>
  <c r="E10" i="5" s="1"/>
  <c r="E15" i="5" s="1"/>
  <c r="E23" i="5" s="1"/>
  <c r="I212" i="4"/>
  <c r="H74" i="4"/>
  <c r="H283" i="4" s="1"/>
  <c r="J31" i="4"/>
  <c r="J209" i="4" s="1"/>
  <c r="H78" i="4"/>
  <c r="H287" i="4" s="1"/>
  <c r="H68" i="4"/>
  <c r="H261" i="4" s="1"/>
  <c r="H73" i="4"/>
  <c r="H282" i="4" s="1"/>
  <c r="H67" i="4"/>
  <c r="H260" i="4" s="1"/>
  <c r="H66" i="4"/>
  <c r="H259" i="4" s="1"/>
  <c r="G90" i="4"/>
  <c r="G87" i="4"/>
  <c r="G266" i="4" s="1"/>
  <c r="G93" i="4"/>
  <c r="H90" i="4"/>
  <c r="H267" i="4" s="1"/>
  <c r="H87" i="4"/>
  <c r="H93" i="4"/>
  <c r="H271" i="4" s="1"/>
  <c r="G73" i="4"/>
  <c r="G282" i="4" s="1"/>
  <c r="G68" i="4"/>
  <c r="G261" i="4" s="1"/>
  <c r="G78" i="4"/>
  <c r="G287" i="4" s="1"/>
  <c r="G66" i="4"/>
  <c r="G259" i="4" s="1"/>
  <c r="G67" i="4"/>
  <c r="G260" i="4" s="1"/>
  <c r="G74" i="4"/>
  <c r="G283" i="4" s="1"/>
  <c r="I38" i="4"/>
  <c r="J36" i="4"/>
  <c r="J210" i="4" s="1"/>
  <c r="K13" i="4"/>
  <c r="K34" i="4" s="1"/>
  <c r="K10" i="4"/>
  <c r="K30" i="4" s="1"/>
  <c r="K9" i="4"/>
  <c r="K29" i="4" s="1"/>
  <c r="K12" i="4"/>
  <c r="K33" i="4" s="1"/>
  <c r="E25" i="5" l="1"/>
  <c r="E17" i="5"/>
  <c r="G233" i="4"/>
  <c r="G297" i="4"/>
  <c r="G298" i="4" s="1"/>
  <c r="K246" i="4"/>
  <c r="K56" i="4"/>
  <c r="G288" i="4"/>
  <c r="G294" i="4" s="1"/>
  <c r="G94" i="4"/>
  <c r="G271" i="4"/>
  <c r="G91" i="4"/>
  <c r="G267" i="4"/>
  <c r="H288" i="4"/>
  <c r="H294" i="4" s="1"/>
  <c r="H88" i="4"/>
  <c r="H266" i="4"/>
  <c r="H273" i="4" s="1"/>
  <c r="J58" i="4"/>
  <c r="J223" i="4" s="1"/>
  <c r="J290" i="4"/>
  <c r="J293" i="4" s="1"/>
  <c r="H91" i="4"/>
  <c r="H94" i="4"/>
  <c r="G118" i="4"/>
  <c r="H122" i="4" s="1"/>
  <c r="I122" i="4" s="1"/>
  <c r="G88" i="4"/>
  <c r="H81" i="4"/>
  <c r="G82" i="4"/>
  <c r="G235" i="4" s="1"/>
  <c r="G236" i="4" s="1"/>
  <c r="J212" i="4"/>
  <c r="H79" i="4"/>
  <c r="H118" i="4"/>
  <c r="I123" i="4" s="1"/>
  <c r="J123" i="4" s="1"/>
  <c r="K123" i="4" s="1"/>
  <c r="J38" i="4"/>
  <c r="J90" i="4" s="1"/>
  <c r="J267" i="4" s="1"/>
  <c r="I90" i="4"/>
  <c r="I93" i="4"/>
  <c r="I87" i="4"/>
  <c r="I266" i="4" s="1"/>
  <c r="H133" i="4"/>
  <c r="I138" i="4" s="1"/>
  <c r="J138" i="4" s="1"/>
  <c r="K138" i="4" s="1"/>
  <c r="H148" i="4"/>
  <c r="I153" i="4" s="1"/>
  <c r="J153" i="4" s="1"/>
  <c r="K153" i="4" s="1"/>
  <c r="G148" i="4"/>
  <c r="H152" i="4" s="1"/>
  <c r="G133" i="4"/>
  <c r="I73" i="4"/>
  <c r="I282" i="4" s="1"/>
  <c r="I68" i="4"/>
  <c r="I261" i="4" s="1"/>
  <c r="I66" i="4"/>
  <c r="I259" i="4" s="1"/>
  <c r="I74" i="4"/>
  <c r="I283" i="4" s="1"/>
  <c r="I78" i="4"/>
  <c r="I287" i="4" s="1"/>
  <c r="I67" i="4"/>
  <c r="I260" i="4" s="1"/>
  <c r="G79" i="4"/>
  <c r="K36" i="4"/>
  <c r="K210" i="4" s="1"/>
  <c r="K31" i="4"/>
  <c r="K209" i="4" s="1"/>
  <c r="G299" i="4" l="1"/>
  <c r="G278" i="4"/>
  <c r="G273" i="4"/>
  <c r="G275" i="4" s="1"/>
  <c r="G277" i="4" s="1"/>
  <c r="H126" i="4"/>
  <c r="H107" i="4"/>
  <c r="H239" i="4" s="1"/>
  <c r="H241" i="4" s="1"/>
  <c r="I288" i="4"/>
  <c r="I294" i="4" s="1"/>
  <c r="I91" i="4"/>
  <c r="I267" i="4"/>
  <c r="G107" i="4"/>
  <c r="G239" i="4" s="1"/>
  <c r="G241" i="4" s="1"/>
  <c r="G248" i="4" s="1"/>
  <c r="G250" i="4" s="1"/>
  <c r="H249" i="4" s="1"/>
  <c r="I94" i="4"/>
  <c r="I271" i="4"/>
  <c r="K58" i="4"/>
  <c r="K223" i="4" s="1"/>
  <c r="K290" i="4"/>
  <c r="K293" i="4" s="1"/>
  <c r="I118" i="4"/>
  <c r="J124" i="4" s="1"/>
  <c r="K124" i="4" s="1"/>
  <c r="I88" i="4"/>
  <c r="J91" i="4"/>
  <c r="I81" i="4"/>
  <c r="I82" i="4" s="1"/>
  <c r="I235" i="4" s="1"/>
  <c r="H82" i="4"/>
  <c r="H235" i="4" s="1"/>
  <c r="K212" i="4"/>
  <c r="J93" i="4"/>
  <c r="J271" i="4" s="1"/>
  <c r="J87" i="4"/>
  <c r="J78" i="4"/>
  <c r="J287" i="4" s="1"/>
  <c r="J66" i="4"/>
  <c r="J259" i="4" s="1"/>
  <c r="J74" i="4"/>
  <c r="J283" i="4" s="1"/>
  <c r="J73" i="4"/>
  <c r="J282" i="4" s="1"/>
  <c r="J68" i="4"/>
  <c r="J261" i="4" s="1"/>
  <c r="I152" i="4"/>
  <c r="H156" i="4"/>
  <c r="J67" i="4"/>
  <c r="J260" i="4" s="1"/>
  <c r="H137" i="4"/>
  <c r="H141" i="4" s="1"/>
  <c r="J122" i="4"/>
  <c r="I126" i="4"/>
  <c r="I148" i="4"/>
  <c r="J154" i="4" s="1"/>
  <c r="K154" i="4" s="1"/>
  <c r="J133" i="4"/>
  <c r="K140" i="4" s="1"/>
  <c r="I133" i="4"/>
  <c r="J139" i="4" s="1"/>
  <c r="K139" i="4" s="1"/>
  <c r="I79" i="4"/>
  <c r="K38" i="4"/>
  <c r="I273" i="4" l="1"/>
  <c r="G263" i="4"/>
  <c r="G257" i="4" s="1"/>
  <c r="G64" i="4" s="1"/>
  <c r="G70" i="4" s="1"/>
  <c r="G80" i="4" s="1"/>
  <c r="J88" i="4"/>
  <c r="J266" i="4"/>
  <c r="J273" i="4" s="1"/>
  <c r="J288" i="4"/>
  <c r="J294" i="4" s="1"/>
  <c r="I107" i="4"/>
  <c r="I239" i="4" s="1"/>
  <c r="I241" i="4" s="1"/>
  <c r="J148" i="4"/>
  <c r="K155" i="4" s="1"/>
  <c r="J94" i="4"/>
  <c r="J118" i="4"/>
  <c r="K125" i="4" s="1"/>
  <c r="J81" i="4"/>
  <c r="J82" i="4" s="1"/>
  <c r="J235" i="4" s="1"/>
  <c r="J79" i="4"/>
  <c r="J152" i="4"/>
  <c r="I156" i="4"/>
  <c r="I137" i="4"/>
  <c r="H203" i="4"/>
  <c r="K122" i="4"/>
  <c r="J126" i="4"/>
  <c r="K90" i="4"/>
  <c r="K267" i="4" s="1"/>
  <c r="K87" i="4"/>
  <c r="K266" i="4" s="1"/>
  <c r="K93" i="4"/>
  <c r="K271" i="4" s="1"/>
  <c r="K78" i="4"/>
  <c r="K287" i="4" s="1"/>
  <c r="K67" i="4"/>
  <c r="K260" i="4" s="1"/>
  <c r="K73" i="4"/>
  <c r="K282" i="4" s="1"/>
  <c r="K68" i="4"/>
  <c r="K261" i="4" s="1"/>
  <c r="K74" i="4"/>
  <c r="K283" i="4" s="1"/>
  <c r="K66" i="4"/>
  <c r="K259" i="4" s="1"/>
  <c r="H274" i="4" l="1"/>
  <c r="F11" i="5"/>
  <c r="J107" i="4"/>
  <c r="J239" i="4" s="1"/>
  <c r="J241" i="4" s="1"/>
  <c r="K273" i="4"/>
  <c r="K288" i="4"/>
  <c r="K294" i="4" s="1"/>
  <c r="H275" i="4"/>
  <c r="H277" i="4" s="1"/>
  <c r="K133" i="4"/>
  <c r="K91" i="4"/>
  <c r="K148" i="4"/>
  <c r="K94" i="4"/>
  <c r="K118" i="4"/>
  <c r="K88" i="4"/>
  <c r="K126" i="4"/>
  <c r="H46" i="4"/>
  <c r="H217" i="4" s="1"/>
  <c r="H220" i="4" s="1"/>
  <c r="H221" i="4" s="1"/>
  <c r="H224" i="4" s="1"/>
  <c r="H234" i="4"/>
  <c r="K81" i="4"/>
  <c r="K82" i="4" s="1"/>
  <c r="K235" i="4" s="1"/>
  <c r="K152" i="4"/>
  <c r="K156" i="4" s="1"/>
  <c r="J156" i="4"/>
  <c r="J137" i="4"/>
  <c r="I141" i="4"/>
  <c r="I203" i="4" s="1"/>
  <c r="K79" i="4"/>
  <c r="I274" i="4" l="1"/>
  <c r="G11" i="5"/>
  <c r="K107" i="4"/>
  <c r="K239" i="4" s="1"/>
  <c r="K241" i="4" s="1"/>
  <c r="I275" i="4"/>
  <c r="I277" i="4" s="1"/>
  <c r="H48" i="4"/>
  <c r="I46" i="4"/>
  <c r="I48" i="4" s="1"/>
  <c r="I234" i="4"/>
  <c r="H225" i="4"/>
  <c r="H227" i="4" s="1"/>
  <c r="F10" i="5" s="1"/>
  <c r="F15" i="5" s="1"/>
  <c r="K137" i="4"/>
  <c r="K141" i="4" s="1"/>
  <c r="K203" i="4" s="1"/>
  <c r="I11" i="5" s="1"/>
  <c r="J141" i="4"/>
  <c r="J203" i="4" s="1"/>
  <c r="J274" i="4" l="1"/>
  <c r="H11" i="5"/>
  <c r="F17" i="5"/>
  <c r="F23" i="5"/>
  <c r="F25" i="5" s="1"/>
  <c r="H233" i="4"/>
  <c r="H236" i="4" s="1"/>
  <c r="H248" i="4" s="1"/>
  <c r="H250" i="4" s="1"/>
  <c r="I249" i="4" s="1"/>
  <c r="H297" i="4"/>
  <c r="H298" i="4" s="1"/>
  <c r="K274" i="4"/>
  <c r="K275" i="4" s="1"/>
  <c r="K277" i="4" s="1"/>
  <c r="J275" i="4"/>
  <c r="J277" i="4" s="1"/>
  <c r="I217" i="4"/>
  <c r="I220" i="4" s="1"/>
  <c r="I221" i="4" s="1"/>
  <c r="I224" i="4" s="1"/>
  <c r="I225" i="4" s="1"/>
  <c r="I227" i="4" s="1"/>
  <c r="G10" i="5" s="1"/>
  <c r="G15" i="5" s="1"/>
  <c r="K46" i="4"/>
  <c r="K48" i="4" s="1"/>
  <c r="K234" i="4"/>
  <c r="J46" i="4"/>
  <c r="J217" i="4" s="1"/>
  <c r="J220" i="4" s="1"/>
  <c r="J221" i="4" s="1"/>
  <c r="J224" i="4" s="1"/>
  <c r="J234" i="4"/>
  <c r="G17" i="5" l="1"/>
  <c r="G23" i="5"/>
  <c r="G25" i="5" s="1"/>
  <c r="H299" i="4"/>
  <c r="H278" i="4"/>
  <c r="H263" i="4" s="1"/>
  <c r="H257" i="4" s="1"/>
  <c r="H64" i="4" s="1"/>
  <c r="H70" i="4" s="1"/>
  <c r="H80" i="4" s="1"/>
  <c r="I233" i="4"/>
  <c r="I236" i="4" s="1"/>
  <c r="I248" i="4" s="1"/>
  <c r="I250" i="4" s="1"/>
  <c r="J249" i="4" s="1"/>
  <c r="I297" i="4"/>
  <c r="I298" i="4" s="1"/>
  <c r="J48" i="4"/>
  <c r="K217" i="4"/>
  <c r="K220" i="4" s="1"/>
  <c r="K221" i="4" s="1"/>
  <c r="K224" i="4" s="1"/>
  <c r="K225" i="4" s="1"/>
  <c r="K227" i="4" s="1"/>
  <c r="I10" i="5" s="1"/>
  <c r="I15" i="5" s="1"/>
  <c r="J225" i="4"/>
  <c r="J227" i="4" s="1"/>
  <c r="H10" i="5" s="1"/>
  <c r="H15" i="5" s="1"/>
  <c r="I23" i="5" l="1"/>
  <c r="I24" i="5" s="1"/>
  <c r="I25" i="5" s="1"/>
  <c r="I17" i="5"/>
  <c r="H17" i="5"/>
  <c r="H23" i="5"/>
  <c r="H25" i="5" s="1"/>
  <c r="I299" i="4"/>
  <c r="I278" i="4" s="1"/>
  <c r="I263" i="4" s="1"/>
  <c r="I257" i="4" s="1"/>
  <c r="I64" i="4" s="1"/>
  <c r="I70" i="4" s="1"/>
  <c r="I80" i="4" s="1"/>
  <c r="J233" i="4"/>
  <c r="J236" i="4" s="1"/>
  <c r="J248" i="4" s="1"/>
  <c r="J250" i="4" s="1"/>
  <c r="K249" i="4" s="1"/>
  <c r="J297" i="4"/>
  <c r="J298" i="4" s="1"/>
  <c r="K233" i="4"/>
  <c r="K236" i="4" s="1"/>
  <c r="K248" i="4" s="1"/>
  <c r="K297" i="4"/>
  <c r="D26" i="5" l="1"/>
  <c r="D28" i="5" s="1"/>
  <c r="D30" i="5" s="1"/>
  <c r="D18" i="5"/>
  <c r="D19" i="5" s="1"/>
  <c r="K250" i="4"/>
  <c r="K298" i="4"/>
  <c r="K299" i="4" s="1"/>
  <c r="K278" i="4" s="1"/>
  <c r="K263" i="4" s="1"/>
  <c r="K257" i="4" s="1"/>
  <c r="K64" i="4" s="1"/>
  <c r="K70" i="4" s="1"/>
  <c r="K80" i="4" s="1"/>
  <c r="J299" i="4"/>
  <c r="J278" i="4" s="1"/>
  <c r="J263" i="4" s="1"/>
  <c r="J257" i="4" s="1"/>
  <c r="J64" i="4" s="1"/>
  <c r="J70" i="4" s="1"/>
  <c r="J80" i="4" s="1"/>
</calcChain>
</file>

<file path=xl/sharedStrings.xml><?xml version="1.0" encoding="utf-8"?>
<sst xmlns="http://schemas.openxmlformats.org/spreadsheetml/2006/main" count="967" uniqueCount="653">
  <si>
    <t>Meiru Zhong</t>
  </si>
  <si>
    <r>
      <t xml:space="preserve">Exhibit 4 </t>
    </r>
    <r>
      <rPr>
        <sz val="10"/>
        <rFont val="Arial"/>
        <family val="2"/>
      </rPr>
      <t>Overnight, Deferred, and Ground Market Shares, 1990–1999</t>
    </r>
  </si>
  <si>
    <t>By Revenue</t>
  </si>
  <si>
    <t>By Volume</t>
  </si>
  <si>
    <t>Overnight</t>
  </si>
  <si>
    <t>UPS Next Day Air</t>
  </si>
  <si>
    <t>FDX Overnight</t>
  </si>
  <si>
    <t>ABF Next Day</t>
  </si>
  <si>
    <t>USPS Express Mail</t>
  </si>
  <si>
    <t>Deferred</t>
  </si>
  <si>
    <t>UPS Deferred</t>
  </si>
  <si>
    <t>FDX Deferred (E2, ES)</t>
  </si>
  <si>
    <t>ABF Second Day</t>
  </si>
  <si>
    <t>USPS Priority Mail</t>
  </si>
  <si>
    <t>Ground</t>
  </si>
  <si>
    <t>UPS Ground</t>
  </si>
  <si>
    <r>
      <t xml:space="preserve">FedEx Ground </t>
    </r>
    <r>
      <rPr>
        <i/>
        <sz val="10"/>
        <rFont val="Arial"/>
        <family val="2"/>
      </rPr>
      <t xml:space="preserve">without </t>
    </r>
    <r>
      <rPr>
        <sz val="10"/>
        <rFont val="Arial"/>
        <family val="2"/>
      </rPr>
      <t>RPS</t>
    </r>
  </si>
  <si>
    <t>withRPS*</t>
  </si>
  <si>
    <t>USPS Parcel Post</t>
  </si>
  <si>
    <t>* RPS acquired by FedEx in 10/97</t>
  </si>
  <si>
    <r>
      <t>Exhibit 7</t>
    </r>
    <r>
      <rPr>
        <sz val="10"/>
        <rFont val="Arial"/>
        <family val="2"/>
      </rPr>
      <t xml:space="preserve"> UPS Financial Statements, 1994–1999</t>
    </r>
  </si>
  <si>
    <t>Statement of Income (year-ended December 31)</t>
  </si>
  <si>
    <t>(Financial data in millions, except per share amounts)</t>
  </si>
  <si>
    <t>Nine Months Ended September 30, 1998</t>
  </si>
  <si>
    <t>Nine Months Ended September 30, 1999</t>
  </si>
  <si>
    <t>REVENUE</t>
  </si>
  <si>
    <t>U.S. domestic package</t>
  </si>
  <si>
    <t>International package</t>
  </si>
  <si>
    <t>Non-package</t>
  </si>
  <si>
    <t>TOTAL REVENUES</t>
  </si>
  <si>
    <t>Operating expenses:</t>
  </si>
  <si>
    <t>Compensation and benefits</t>
  </si>
  <si>
    <t>Other</t>
  </si>
  <si>
    <t>Restructuring charge</t>
  </si>
  <si>
    <t>—</t>
  </si>
  <si>
    <t>TOTAL OPERATING EXPENSES</t>
  </si>
  <si>
    <t>OPERATING PROFIT (LOSS)</t>
  </si>
  <si>
    <t>Corporate</t>
  </si>
  <si>
    <t>TOTAL OPERATING PROFIT</t>
  </si>
  <si>
    <t>Other income (expense):</t>
  </si>
  <si>
    <t>Investment income</t>
  </si>
  <si>
    <t>Interest expense</t>
  </si>
  <si>
    <t>Tax assessment</t>
  </si>
  <si>
    <t>Miscellaneous, net</t>
  </si>
  <si>
    <t>(28)·</t>
  </si>
  <si>
    <t>INCOME BEFORE INCOME TAXES</t>
  </si>
  <si>
    <t>Income taxes</t>
  </si>
  <si>
    <t>NET INCOME</t>
  </si>
  <si>
    <t>Per share amounts:</t>
  </si>
  <si>
    <t>Basic earnings per share</t>
  </si>
  <si>
    <t>Diluted earnings per share</t>
  </si>
  <si>
    <t>Dividends declared per share</t>
  </si>
  <si>
    <t>Net income before impact of tax assessment</t>
  </si>
  <si>
    <t>As a percentage of revenue</t>
  </si>
  <si>
    <t>Source: UPS Company Filings.</t>
  </si>
  <si>
    <t>Exhibit 7 (continued)</t>
  </si>
  <si>
    <t>BALANCE SHEET</t>
  </si>
  <si>
    <t>United Parcel Service</t>
  </si>
  <si>
    <t>In millions, except where noted.</t>
  </si>
  <si>
    <t>As of December 31,</t>
  </si>
  <si>
    <t>ASSETS</t>
  </si>
  <si>
    <t>CURRENT ASSETS</t>
  </si>
  <si>
    <t>Cash and cash equivalents</t>
  </si>
  <si>
    <t>Marketable securities and short-term investments</t>
  </si>
  <si>
    <t>Accounts receivable</t>
  </si>
  <si>
    <t>Prepaid employee benefit costs</t>
  </si>
  <si>
    <t>Materials, supplies and other prepaid expenses</t>
  </si>
  <si>
    <t>Common stock held for stock plans</t>
  </si>
  <si>
    <t>Total Current Assets</t>
  </si>
  <si>
    <t>PROPERTY, PLANT, AND EQUIPMENT</t>
  </si>
  <si>
    <t>Vehicles</t>
  </si>
  <si>
    <t>Aircraft (including aircraft under capitalized leases)</t>
  </si>
  <si>
    <t>Land</t>
  </si>
  <si>
    <t>Buildings</t>
  </si>
  <si>
    <t>Leasehold improvements</t>
  </si>
  <si>
    <t>Plant equipment</t>
  </si>
  <si>
    <t>Construction-in-progress</t>
  </si>
  <si>
    <t>Less accumulated depreciation and amortization</t>
  </si>
  <si>
    <t>Net Property, Plant, and Equipment</t>
  </si>
  <si>
    <t>Other Assets</t>
  </si>
  <si>
    <t>TOTAL ASSETS</t>
  </si>
  <si>
    <t>LIABILITIES AND SHAREOWNERS' EQUITY</t>
  </si>
  <si>
    <t>CURRENT LIABILITIES</t>
  </si>
  <si>
    <t>Accounts payable</t>
  </si>
  <si>
    <t>Accrued wages and withholdings</t>
  </si>
  <si>
    <t>Dividends payable</t>
  </si>
  <si>
    <t>Deferred income taxes</t>
  </si>
  <si>
    <t>Current maturities of long-term debt</t>
  </si>
  <si>
    <t>Other current liabilities</t>
  </si>
  <si>
    <t>Total Current Liabilities</t>
  </si>
  <si>
    <t>Long-Term Debt (including capitalized lease obligations)</t>
  </si>
  <si>
    <t>Accumulated Postretirement Benefit Obligation</t>
  </si>
  <si>
    <t>Deferred Taxes, Credits and Other Liabilities</t>
  </si>
  <si>
    <t>SHAREOWNERS' EQUITY</t>
  </si>
  <si>
    <t>Preferred stock, no par value, authorized 200,000,000 shares, none issued</t>
  </si>
  <si>
    <t>Class A common stock, par value $.01 per share, authorized 4,600,000,000 shares, issued 1,101,295,534 and 1,118,000,000 in 1999 and 1998</t>
  </si>
  <si>
    <t>Class B common stock, par value $.01 per share, authorized 5,600,000,000 shares, issued 109,400,000 and -0- in 1999 and 1998</t>
  </si>
  <si>
    <t>Additional paid-in capital</t>
  </si>
  <si>
    <t>Retained earnings</t>
  </si>
  <si>
    <t>Accumulated other comprehensive loss</t>
  </si>
  <si>
    <t>Unrealized loss on marketable securities</t>
  </si>
  <si>
    <t>Treasury stock, at cost (-0- and 23, 211,904 shares in 1997 and 1998)</t>
  </si>
  <si>
    <t>TOTAL LIABILITIES AND SHAREOWNERS' EQUITY</t>
  </si>
  <si>
    <t>Financial Data in Millions:</t>
  </si>
  <si>
    <t>Year Ended December 31</t>
  </si>
  <si>
    <t>6 Months Ended</t>
  </si>
  <si>
    <t>Balance Sheet Data (at end of period):</t>
  </si>
  <si>
    <t>June 30,1999</t>
  </si>
  <si>
    <t>Working Capital</t>
  </si>
  <si>
    <t>Long-term debt</t>
  </si>
  <si>
    <t>Total assets</t>
  </si>
  <si>
    <t>Shareowner's equity</t>
  </si>
  <si>
    <r>
      <t xml:space="preserve">Exhibit 9 </t>
    </r>
    <r>
      <rPr>
        <sz val="10"/>
        <rFont val="Arial"/>
        <family val="2"/>
      </rPr>
      <t>Selected UPS Operating Statistics (financial data in millions)</t>
    </r>
  </si>
  <si>
    <t>Year Ended December 31,</t>
  </si>
  <si>
    <t>Operating Data:</t>
  </si>
  <si>
    <t>Delivery volume (in millions of packages)</t>
  </si>
  <si>
    <t>Average daily package volume (in thousands)</t>
  </si>
  <si>
    <t>U.S. domestic:</t>
  </si>
  <si>
    <t>Next Day Air</t>
  </si>
  <si>
    <t>Total U.S. domestic</t>
  </si>
  <si>
    <t>International</t>
  </si>
  <si>
    <t>Domestic</t>
  </si>
  <si>
    <t>Export</t>
  </si>
  <si>
    <t>Total International</t>
  </si>
  <si>
    <t>Total average daily package volume</t>
  </si>
  <si>
    <t>Average revenue per piece:</t>
  </si>
  <si>
    <t>Total average revenue per piece</t>
  </si>
  <si>
    <t>Revenue:</t>
  </si>
  <si>
    <t>Cargo</t>
  </si>
  <si>
    <t>Total revenue</t>
  </si>
  <si>
    <t>Operating weekdays</t>
  </si>
  <si>
    <t>Capital expenditures (in millions)</t>
  </si>
  <si>
    <t>Source: UPS Prospectus Filing, September 1999.</t>
  </si>
  <si>
    <r>
      <t xml:space="preserve">Exhibit 10 </t>
    </r>
    <r>
      <rPr>
        <sz val="10"/>
        <rFont val="Arial"/>
        <family val="2"/>
      </rPr>
      <t>Summary of FedEx and UPS Operating Statistics</t>
    </r>
  </si>
  <si>
    <t>UPS</t>
  </si>
  <si>
    <t>FedEx</t>
  </si>
  <si>
    <t>Calendar 1998 Average Daily Package Volume</t>
  </si>
  <si>
    <t>(thousands of packages)</t>
  </si>
  <si>
    <t>● U.S. Express</t>
  </si>
  <si>
    <t>● U.S. Deferred</t>
  </si>
  <si>
    <t>● U.S. Ground</t>
  </si>
  <si>
    <t>● Total U.S.</t>
  </si>
  <si>
    <t>● Total International</t>
  </si>
  <si>
    <t>● Total packages</t>
  </si>
  <si>
    <r>
      <t>Calendar 1998 Average U.S. Revenue per package</t>
    </r>
    <r>
      <rPr>
        <b/>
        <sz val="10"/>
        <rFont val="Calibri"/>
        <family val="2"/>
      </rPr>
      <t>ᵃ</t>
    </r>
  </si>
  <si>
    <t>● Express</t>
  </si>
  <si>
    <t>● Deferred</t>
  </si>
  <si>
    <t>● Ground</t>
  </si>
  <si>
    <t>Number of Employees (full-time and contract positions)</t>
  </si>
  <si>
    <t>Total on-balance sheet assets</t>
  </si>
  <si>
    <t>$23.0 billion</t>
  </si>
  <si>
    <t>$10.6 billion</t>
  </si>
  <si>
    <t>Number of jet and small aircraft owned and leased</t>
  </si>
  <si>
    <t>Number of vehicles</t>
  </si>
  <si>
    <t>Source: Derived by casewriters using UPS and FedEx Company Filings.</t>
  </si>
  <si>
    <r>
      <t>a</t>
    </r>
    <r>
      <rPr>
        <sz val="8"/>
        <rFont val="Arial"/>
        <family val="2"/>
      </rPr>
      <t>Revenues per package (yield) is a function of both average package weight and distance.</t>
    </r>
  </si>
  <si>
    <r>
      <t xml:space="preserve">Exhibit 12 </t>
    </r>
    <r>
      <rPr>
        <sz val="10"/>
        <rFont val="Arial"/>
        <family val="2"/>
      </rPr>
      <t>UPS Note on Leases</t>
    </r>
  </si>
  <si>
    <t>1998 ($ millions)</t>
  </si>
  <si>
    <t>Aircraft</t>
  </si>
  <si>
    <t>Accumulated amortization</t>
  </si>
  <si>
    <t>($ millions)</t>
  </si>
  <si>
    <t>Capitalized Leases</t>
  </si>
  <si>
    <t>Operating Leases</t>
  </si>
  <si>
    <t>1999</t>
  </si>
  <si>
    <t>2000</t>
  </si>
  <si>
    <t>2001</t>
  </si>
  <si>
    <t>2002</t>
  </si>
  <si>
    <t>2003</t>
  </si>
  <si>
    <t>After 2003</t>
  </si>
  <si>
    <t>Total minimum lease payments</t>
  </si>
  <si>
    <t>Less inputed interest</t>
  </si>
  <si>
    <t>Present value of minimum capitalized lease payments</t>
  </si>
  <si>
    <t>Less current portion</t>
  </si>
  <si>
    <t>Long-term capitalized lease obligations</t>
  </si>
  <si>
    <t>Source: UPS Prospectus Filing, September 1999, Notes to Financial Statements.</t>
  </si>
  <si>
    <r>
      <t xml:space="preserve">Exhibit 13 </t>
    </r>
    <r>
      <rPr>
        <sz val="10"/>
        <rFont val="Arial"/>
        <family val="2"/>
      </rPr>
      <t>Selected “Best of Breed” Ratios vs. Industrial Comparables</t>
    </r>
  </si>
  <si>
    <r>
      <t>Stock Price</t>
    </r>
    <r>
      <rPr>
        <b/>
        <vertAlign val="superscript"/>
        <sz val="10"/>
        <rFont val="Arial"/>
        <family val="2"/>
      </rPr>
      <t>a</t>
    </r>
  </si>
  <si>
    <t>Market Cap (billions)</t>
  </si>
  <si>
    <r>
      <t>Net Income</t>
    </r>
    <r>
      <rPr>
        <b/>
        <vertAlign val="superscript"/>
        <sz val="10"/>
        <rFont val="Arial"/>
        <family val="2"/>
      </rPr>
      <t xml:space="preserve">b </t>
    </r>
    <r>
      <rPr>
        <b/>
        <sz val="10"/>
        <rFont val="Arial"/>
        <family val="2"/>
      </rPr>
      <t>(millions)</t>
    </r>
  </si>
  <si>
    <t>ROE</t>
  </si>
  <si>
    <t>Price to Earnings</t>
  </si>
  <si>
    <t>Market to Book</t>
  </si>
  <si>
    <t>Home Depot</t>
  </si>
  <si>
    <t>Lowes</t>
  </si>
  <si>
    <t>Coca-Cola</t>
  </si>
  <si>
    <t>PepsiCo</t>
  </si>
  <si>
    <t>Wal-Mart</t>
  </si>
  <si>
    <t>Target</t>
  </si>
  <si>
    <t>Source: Derived by case writers using SEC filings and market data from bigcharts.com. accessed on 06/23/02</t>
  </si>
  <si>
    <r>
      <t>a</t>
    </r>
    <r>
      <rPr>
        <sz val="8"/>
        <rFont val="Arial"/>
        <family val="2"/>
      </rPr>
      <t>As of close of trading October 15, 1999.</t>
    </r>
  </si>
  <si>
    <r>
      <t>Exhibit 8</t>
    </r>
    <r>
      <rPr>
        <sz val="10"/>
        <rFont val="Arial"/>
        <family val="2"/>
      </rPr>
      <t xml:space="preserve"> FedEx Financial Statements, 1996–1999</t>
    </r>
  </si>
  <si>
    <t>CONSOLIDATED STATEMENTS OF INCOME</t>
  </si>
  <si>
    <t>FDX Corporation</t>
  </si>
  <si>
    <t>Years ended May 31</t>
  </si>
  <si>
    <t>In thousands, except Earnings Per Share</t>
  </si>
  <si>
    <t>1996</t>
  </si>
  <si>
    <t>1997*</t>
  </si>
  <si>
    <t>1998</t>
  </si>
  <si>
    <t>REVENUES</t>
  </si>
  <si>
    <t>$  10,273,619</t>
  </si>
  <si>
    <t>$ 14,237,892</t>
  </si>
  <si>
    <t>$ 15,872,810</t>
  </si>
  <si>
    <t>$ 16,773,470</t>
  </si>
  <si>
    <t>OPERATING EXPENSES:</t>
  </si>
  <si>
    <t>Salaries and employee benefits</t>
  </si>
  <si>
    <t>4,619,990</t>
  </si>
  <si>
    <t>6,150,247</t>
  </si>
  <si>
    <t>6,647,140</t>
  </si>
  <si>
    <t>7,087,728</t>
  </si>
  <si>
    <t>Purchased transportation</t>
  </si>
  <si>
    <t>370,650</t>
  </si>
  <si>
    <t>1,252,901</t>
  </si>
  <si>
    <t>1,481,590</t>
  </si>
  <si>
    <t>1,537,785</t>
  </si>
  <si>
    <t>Rentals and landing fees</t>
  </si>
  <si>
    <t>959,055</t>
  </si>
  <si>
    <t>1,138,690</t>
  </si>
  <si>
    <t>1,304,296</t>
  </si>
  <si>
    <t>1,396,694</t>
  </si>
  <si>
    <t>Depreciation and amortization</t>
  </si>
  <si>
    <t>719,609</t>
  </si>
  <si>
    <t>928,833</t>
  </si>
  <si>
    <t>963,732</t>
  </si>
  <si>
    <t>1,035,118</t>
  </si>
  <si>
    <t>Maintenance and repairs</t>
  </si>
  <si>
    <t>617,657</t>
  </si>
  <si>
    <t>773,765</t>
  </si>
  <si>
    <t>874,400</t>
  </si>
  <si>
    <t>958,873</t>
  </si>
  <si>
    <t>Fuel</t>
  </si>
  <si>
    <t>578,614</t>
  </si>
  <si>
    <t>734,722</t>
  </si>
  <si>
    <t>726,776</t>
  </si>
  <si>
    <t>604,929</t>
  </si>
  <si>
    <t>Merger expenses</t>
  </si>
  <si>
    <t>-</t>
  </si>
  <si>
    <t>88,000</t>
  </si>
  <si>
    <t>Restructuring and impairment charges (credits)</t>
  </si>
  <si>
    <t>225,036</t>
  </si>
  <si>
    <t>(16,000)</t>
  </si>
  <si>
    <t>1,784,220</t>
  </si>
  <si>
    <t>2,526,696</t>
  </si>
  <si>
    <t>2,792,216</t>
  </si>
  <si>
    <t>2,989,257</t>
  </si>
  <si>
    <t>9,649,795</t>
  </si>
  <si>
    <t>13,730,890</t>
  </si>
  <si>
    <t>14,862,150</t>
  </si>
  <si>
    <t>15,610,384</t>
  </si>
  <si>
    <t>OPERATING INCOME</t>
  </si>
  <si>
    <t>623,824</t>
  </si>
  <si>
    <t>507,002</t>
  </si>
  <si>
    <t>1,010,660</t>
  </si>
  <si>
    <t>1,163,086</t>
  </si>
  <si>
    <t>OTHER INCOME (EXPENSE):</t>
  </si>
  <si>
    <t>Interest, net</t>
  </si>
  <si>
    <t>(95,599)</t>
  </si>
  <si>
    <t>(104,195)</t>
  </si>
  <si>
    <t>(124,413)</t>
  </si>
  <si>
    <t>(98,191)</t>
  </si>
  <si>
    <t>Other, net</t>
  </si>
  <si>
    <t>11,734</t>
  </si>
  <si>
    <t>23,058</t>
  </si>
  <si>
    <t>13,271</t>
  </si>
  <si>
    <t>(3,831)</t>
  </si>
  <si>
    <t>(83,865)</t>
  </si>
  <si>
    <t>(81,137)</t>
  </si>
  <si>
    <t>(111,142)</t>
  </si>
  <si>
    <t>(102,022)</t>
  </si>
  <si>
    <t>INCOME FROM CONTINUING OPERATIONS</t>
  </si>
  <si>
    <t>BEFORE INCOME TAXES</t>
  </si>
  <si>
    <t>539,959</t>
  </si>
  <si>
    <t>425,865</t>
  </si>
  <si>
    <t>899,518</t>
  </si>
  <si>
    <t>1,061,064</t>
  </si>
  <si>
    <t>PROVISION FOR INCOME TAXES</t>
  </si>
  <si>
    <t>232,182</t>
  </si>
  <si>
    <t>229,761</t>
  </si>
  <si>
    <t>401,363</t>
  </si>
  <si>
    <t>429,731</t>
  </si>
  <si>
    <t>307,777</t>
  </si>
  <si>
    <t>196,104</t>
  </si>
  <si>
    <t>498,155</t>
  </si>
  <si>
    <t>631,333</t>
  </si>
  <si>
    <t>INCOME FROM DISCONTINUED OPERATIONS,</t>
  </si>
  <si>
    <t>NET OF INCOME TAXES</t>
  </si>
  <si>
    <t>4,875</t>
  </si>
  <si>
    <t>$       307,777</t>
  </si>
  <si>
    <t>$       196,104</t>
  </si>
  <si>
    <t>$      503,030</t>
  </si>
  <si>
    <t>$      631,333</t>
  </si>
  <si>
    <t>EARNINGS PER COMMON SHARE</t>
  </si>
  <si>
    <t>Continuing operations</t>
  </si>
  <si>
    <t>$             2.69</t>
  </si>
  <si>
    <t>$              .67</t>
  </si>
  <si>
    <t>$            1.70</t>
  </si>
  <si>
    <t>$            2.13</t>
  </si>
  <si>
    <t>Discontinued operations</t>
  </si>
  <si>
    <t>.02</t>
  </si>
  <si>
    <t>$            1.72</t>
  </si>
  <si>
    <t>EARNINGS PER COMMON SHARE,</t>
  </si>
  <si>
    <t>ASSUMING DILUTION</t>
  </si>
  <si>
    <t>$            2.69</t>
  </si>
  <si>
    <t>$            1.67</t>
  </si>
  <si>
    <t>$            2.10</t>
  </si>
  <si>
    <t>$            1.69</t>
  </si>
  <si>
    <t>Source: FedEx Company Filings.</t>
  </si>
  <si>
    <r>
      <t>*</t>
    </r>
    <r>
      <rPr>
        <sz val="8"/>
        <rFont val="Arial"/>
        <family val="2"/>
      </rPr>
      <t>Financial results for 1997 and subsequent years are consolidated to include the acquisition of Caliber System Inc.</t>
    </r>
  </si>
  <si>
    <r>
      <t>Exhibit 8 (continued)</t>
    </r>
    <r>
      <rPr>
        <sz val="12"/>
        <color theme="1"/>
        <rFont val="TimesNewRomanPSMT"/>
        <family val="2"/>
      </rPr>
      <t xml:space="preserve"> FedEx Corporation</t>
    </r>
  </si>
  <si>
    <t>CONSOLIDATED BALANCE SHEETS</t>
  </si>
  <si>
    <t>May 31</t>
  </si>
  <si>
    <t>In millions</t>
  </si>
  <si>
    <t>1995</t>
  </si>
  <si>
    <t>357.6</t>
  </si>
  <si>
    <t>93.5</t>
  </si>
  <si>
    <t>160.9</t>
  </si>
  <si>
    <t>229.6</t>
  </si>
  <si>
    <t>325.3</t>
  </si>
  <si>
    <t>Receivables, less allowances</t>
  </si>
  <si>
    <t>1,130.3</t>
  </si>
  <si>
    <t>1,271.6</t>
  </si>
  <si>
    <t>1,878.0</t>
  </si>
  <si>
    <t>1,943.4</t>
  </si>
  <si>
    <t>2,153.2</t>
  </si>
  <si>
    <t>Spare parts, supplies and fuel</t>
  </si>
  <si>
    <t>193.3</t>
  </si>
  <si>
    <t>222.1</t>
  </si>
  <si>
    <t>339.4</t>
  </si>
  <si>
    <t>364.7</t>
  </si>
  <si>
    <t>291.9</t>
  </si>
  <si>
    <t>115.8</t>
  </si>
  <si>
    <t>92.6</t>
  </si>
  <si>
    <t>197.0</t>
  </si>
  <si>
    <t>232.8</t>
  </si>
  <si>
    <t>290.7</t>
  </si>
  <si>
    <t>Prepaid expenses and other</t>
  </si>
  <si>
    <t>72.2</t>
  </si>
  <si>
    <t>48.5</t>
  </si>
  <si>
    <t>68.6</t>
  </si>
  <si>
    <t>109.6</t>
  </si>
  <si>
    <t>79.9</t>
  </si>
  <si>
    <t>Total current assets</t>
  </si>
  <si>
    <t>1,869.1</t>
  </si>
  <si>
    <t>1,728.3</t>
  </si>
  <si>
    <t>2,643.7</t>
  </si>
  <si>
    <t>2,880.1</t>
  </si>
  <si>
    <t>3,141.0</t>
  </si>
  <si>
    <t>PROPERTY AND EQUIPMENT, AT COST</t>
  </si>
  <si>
    <t>Flight equipment</t>
  </si>
  <si>
    <t>3,006.7</t>
  </si>
  <si>
    <t>3,372.6</t>
  </si>
  <si>
    <t>3,741.4</t>
  </si>
  <si>
    <t>4,056.5</t>
  </si>
  <si>
    <t>4,556.7</t>
  </si>
  <si>
    <t>Package handling and ground support equipment and vehicles</t>
  </si>
  <si>
    <t>1,841.1</t>
  </si>
  <si>
    <t>2,148.5</t>
  </si>
  <si>
    <t>3,131.1</t>
  </si>
  <si>
    <t>3,425.3</t>
  </si>
  <si>
    <t>3,858.8</t>
  </si>
  <si>
    <t>Computer and electronic equipment</t>
  </si>
  <si>
    <t>1,224.0</t>
  </si>
  <si>
    <t>1,439.9</t>
  </si>
  <si>
    <t>1,957.9</t>
  </si>
  <si>
    <t>2,162.6</t>
  </si>
  <si>
    <t>2,363.6</t>
  </si>
  <si>
    <t>1,625.9</t>
  </si>
  <si>
    <t>1,717.5</t>
  </si>
  <si>
    <t>2,557.6</t>
  </si>
  <si>
    <t>2,819.4</t>
  </si>
  <si>
    <t>2,940.7</t>
  </si>
  <si>
    <t>7,697.7</t>
  </si>
  <si>
    <t>8,678.5</t>
  </si>
  <si>
    <t>11,387.9</t>
  </si>
  <si>
    <t>12,463.9</t>
  </si>
  <si>
    <t>13,719.9</t>
  </si>
  <si>
    <t>3,982.5</t>
  </si>
  <si>
    <t>4,561.9</t>
  </si>
  <si>
    <t>5,917.5</t>
  </si>
  <si>
    <t>6,528.8</t>
  </si>
  <si>
    <t>7,160.7</t>
  </si>
  <si>
    <t>Net property and equipment</t>
  </si>
  <si>
    <t>3,715.2</t>
  </si>
  <si>
    <t>4,116.6</t>
  </si>
  <si>
    <t>5,470.4</t>
  </si>
  <si>
    <t>5,935.1</t>
  </si>
  <si>
    <t>6,559.2</t>
  </si>
  <si>
    <t>OTHER ASSETS</t>
  </si>
  <si>
    <t>Goodwill</t>
  </si>
  <si>
    <t>397.3</t>
  </si>
  <si>
    <t>380.7</t>
  </si>
  <si>
    <t>370.3</t>
  </si>
  <si>
    <t>356.3</t>
  </si>
  <si>
    <t>344.0</t>
  </si>
  <si>
    <t>Equipment deposits and other assets</t>
  </si>
  <si>
    <t>451.8</t>
  </si>
  <si>
    <t>473.4</t>
  </si>
  <si>
    <t>559.8</t>
  </si>
  <si>
    <t>514.6</t>
  </si>
  <si>
    <t>604.0</t>
  </si>
  <si>
    <t>Total other assets</t>
  </si>
  <si>
    <t>849.0</t>
  </si>
  <si>
    <t>854.1</t>
  </si>
  <si>
    <t>930.2</t>
  </si>
  <si>
    <t>870.9</t>
  </si>
  <si>
    <t>948.0</t>
  </si>
  <si>
    <t>6,433.4</t>
  </si>
  <si>
    <t>6,699.0</t>
  </si>
  <si>
    <t>9,044.3</t>
  </si>
  <si>
    <t>9,686.1</t>
  </si>
  <si>
    <t>10,648.2</t>
  </si>
  <si>
    <t>LIABILITIES AND STOCKHOLDERS' INVESTMENT</t>
  </si>
  <si>
    <t>Current portion of long-term debt</t>
  </si>
  <si>
    <t>255.4</t>
  </si>
  <si>
    <t>8.0</t>
  </si>
  <si>
    <t>356.7</t>
  </si>
  <si>
    <t>257.5</t>
  </si>
  <si>
    <t>14.9</t>
  </si>
  <si>
    <t>618.6</t>
  </si>
  <si>
    <t>705.5</t>
  </si>
  <si>
    <t>999.8</t>
  </si>
  <si>
    <t>1,145.4</t>
  </si>
  <si>
    <t>1,134.0</t>
  </si>
  <si>
    <t>Accrued expenses</t>
  </si>
  <si>
    <t>904.5</t>
  </si>
  <si>
    <t>904.9</t>
  </si>
  <si>
    <t>1,223.0</t>
  </si>
  <si>
    <t>1,400.9</t>
  </si>
  <si>
    <t>895.4</t>
  </si>
  <si>
    <t>Other Liabilities</t>
  </si>
  <si>
    <t>740.5</t>
  </si>
  <si>
    <t>Total current liabilities</t>
  </si>
  <si>
    <t>1,778.5</t>
  </si>
  <si>
    <t>1,618.4</t>
  </si>
  <si>
    <t>2,579.5</t>
  </si>
  <si>
    <t>2,803.8</t>
  </si>
  <si>
    <t>2,784.8</t>
  </si>
  <si>
    <t>LONG-TERM DEBT, LESS CURRENT PORTION</t>
  </si>
  <si>
    <t>1,324.7</t>
  </si>
  <si>
    <t>1,325.3</t>
  </si>
  <si>
    <t>1,598.0</t>
  </si>
  <si>
    <t>1,385.2</t>
  </si>
  <si>
    <t>1,359.7</t>
  </si>
  <si>
    <t>DEFERRED INCOME TAXES</t>
  </si>
  <si>
    <t>56.0</t>
  </si>
  <si>
    <t>64.0</t>
  </si>
  <si>
    <t>181.8</t>
  </si>
  <si>
    <t>274.1</t>
  </si>
  <si>
    <t>293.5</t>
  </si>
  <si>
    <t>OTHER LIABILITIES</t>
  </si>
  <si>
    <t>1,028.6</t>
  </si>
  <si>
    <t>1,115.1</t>
  </si>
  <si>
    <t>1,183.9</t>
  </si>
  <si>
    <t>1,261.7</t>
  </si>
  <si>
    <t>1,546.6</t>
  </si>
  <si>
    <t>COMMITMENTS AND CONTINGENCIES (NOTES 5, 13 and 14)</t>
  </si>
  <si>
    <t>COMMON STOCKHOLDERS' INVESTMENT</t>
  </si>
  <si>
    <t>Common Stock, $.10 par value</t>
  </si>
  <si>
    <t>5.6</t>
  </si>
  <si>
    <t>5.7</t>
  </si>
  <si>
    <t>14.8</t>
  </si>
  <si>
    <t>14.7</t>
  </si>
  <si>
    <t>29.8</t>
  </si>
  <si>
    <t>775.3</t>
  </si>
  <si>
    <t>815.1</t>
  </si>
  <si>
    <t>938.0</t>
  </si>
  <si>
    <t>992.8</t>
  </si>
  <si>
    <t>1,061.3</t>
  </si>
  <si>
    <t>1,466.4</t>
  </si>
  <si>
    <t>1,766.6</t>
  </si>
  <si>
    <t>2,621.5</t>
  </si>
  <si>
    <t>2,999.4</t>
  </si>
  <si>
    <t>3,615.8</t>
  </si>
  <si>
    <t>Accumulated other comprehensive income</t>
  </si>
  <si>
    <t>0.0</t>
  </si>
  <si>
    <t>(27.3)</t>
  </si>
  <si>
    <t>(24.7)</t>
  </si>
  <si>
    <t>2,247.3</t>
  </si>
  <si>
    <t>2,587.4</t>
  </si>
  <si>
    <t>3,574.3</t>
  </si>
  <si>
    <t>3,979.6</t>
  </si>
  <si>
    <t>4,682.2</t>
  </si>
  <si>
    <t>Less treasury stock, at cost, and deferred compensation</t>
  </si>
  <si>
    <t>1.7</t>
  </si>
  <si>
    <t>11.3</t>
  </si>
  <si>
    <t>73.1</t>
  </si>
  <si>
    <t>18.4</t>
  </si>
  <si>
    <t>18.5</t>
  </si>
  <si>
    <t>Total common stockholders' investment</t>
  </si>
  <si>
    <t>2,245.6</t>
  </si>
  <si>
    <t>2,576.1</t>
  </si>
  <si>
    <t>3,501.2</t>
  </si>
  <si>
    <t>3,961.2</t>
  </si>
  <si>
    <t>4,663.7</t>
  </si>
  <si>
    <r>
      <t>*</t>
    </r>
    <r>
      <rPr>
        <sz val="8"/>
        <rFont val="Arial"/>
        <family val="2"/>
      </rPr>
      <t>Note: Financial results for 1997 and subsequent years are consolidated to include the acquisition of Caliber System Inc.</t>
    </r>
  </si>
  <si>
    <t>The accompanying Notes to Consolidated Financial Statements are an integral part of these balance sheets.</t>
  </si>
  <si>
    <r>
      <t>Exhibit 6</t>
    </r>
    <r>
      <rPr>
        <sz val="10"/>
        <rFont val="Arial"/>
        <family val="2"/>
      </rPr>
      <t xml:space="preserve"> FedEx Stock Price Performance and Valuation Multiples</t>
    </r>
  </si>
  <si>
    <t>Market Data and Multiples—(November 1,1999)</t>
  </si>
  <si>
    <t>Shares outstanding (weighted average, diluted)</t>
  </si>
  <si>
    <t>300.6 million</t>
  </si>
  <si>
    <t>Share price</t>
  </si>
  <si>
    <r>
      <t>Price/Earnings</t>
    </r>
    <r>
      <rPr>
        <vertAlign val="superscript"/>
        <sz val="10"/>
        <rFont val="Arial"/>
        <family val="2"/>
      </rPr>
      <t>a</t>
    </r>
  </si>
  <si>
    <r>
      <t>Price/Total revenue</t>
    </r>
    <r>
      <rPr>
        <vertAlign val="superscript"/>
        <sz val="10"/>
        <rFont val="Arial"/>
        <family val="2"/>
      </rPr>
      <t>b</t>
    </r>
  </si>
  <si>
    <r>
      <t>Market/Book value</t>
    </r>
    <r>
      <rPr>
        <vertAlign val="superscript"/>
        <sz val="10"/>
        <rFont val="Arial"/>
        <family val="2"/>
      </rPr>
      <t>c</t>
    </r>
  </si>
  <si>
    <r>
      <t>Equity Beta</t>
    </r>
    <r>
      <rPr>
        <vertAlign val="superscript"/>
        <sz val="10"/>
        <rFont val="Arial"/>
        <family val="2"/>
      </rPr>
      <t>d</t>
    </r>
  </si>
  <si>
    <t>Source: FedEx company filings.</t>
  </si>
  <si>
    <t>Average</t>
  </si>
  <si>
    <t>Historical growth rate</t>
  </si>
  <si>
    <t>General</t>
  </si>
  <si>
    <t>Start Year</t>
  </si>
  <si>
    <t>End Year</t>
  </si>
  <si>
    <t>Forecasting period:</t>
  </si>
  <si>
    <t>Other/ non-package Revenue Growth Rate Assumptions</t>
  </si>
  <si>
    <t>Operating Weekdays:</t>
  </si>
  <si>
    <t>Lasting years:</t>
  </si>
  <si>
    <t xml:space="preserve">Other </t>
  </si>
  <si>
    <t>Capital Expenditure</t>
  </si>
  <si>
    <t>PV of minimum capitalized lease payments</t>
  </si>
  <si>
    <t>Average % of revenue</t>
  </si>
  <si>
    <t>grow as % of revenue</t>
  </si>
  <si>
    <t xml:space="preserve">Aircraft </t>
  </si>
  <si>
    <t>Plant and Equipment</t>
  </si>
  <si>
    <t xml:space="preserve">Construction-in-progress </t>
  </si>
  <si>
    <t>grow by % of revenue</t>
  </si>
  <si>
    <t>Depreciation Assumptions</t>
  </si>
  <si>
    <t>Price per piece Growth Rate Assumptions</t>
  </si>
  <si>
    <t>Volumn Growth Rate Assumptions</t>
  </si>
  <si>
    <t>Operating Lease Assumptions</t>
  </si>
  <si>
    <t>Operating Costs/ Expenses Growth Rate Assumptions</t>
  </si>
  <si>
    <t>Capital Expenditure Assumptions</t>
  </si>
  <si>
    <t>Straight Line Depreciation</t>
  </si>
  <si>
    <t>Aircraft (Including aircrafts under capitalized leases)</t>
  </si>
  <si>
    <t>Useful Lives/ years</t>
  </si>
  <si>
    <t xml:space="preserve">Long Term Debt and Interest Rate Assumptions
</t>
  </si>
  <si>
    <t>1999 Long term debt in millions</t>
  </si>
  <si>
    <t>2000-2004 Long term debt growth rate</t>
  </si>
  <si>
    <t xml:space="preserve">Repayment Rate for Long term debt </t>
  </si>
  <si>
    <t>Interest Rate</t>
  </si>
  <si>
    <t>Working Capital Assumptions</t>
  </si>
  <si>
    <t>change as % of revenue</t>
  </si>
  <si>
    <t xml:space="preserve">Account Receivable </t>
  </si>
  <si>
    <t xml:space="preserve">Materials, supplies and other prepaid expenses </t>
  </si>
  <si>
    <t xml:space="preserve">Prepaid employee benefit </t>
  </si>
  <si>
    <t xml:space="preserve">Accounts payable </t>
  </si>
  <si>
    <t xml:space="preserve">Accrued wages and withholdings </t>
  </si>
  <si>
    <t xml:space="preserve">All other working capital items will stay the same as in 1998 </t>
  </si>
  <si>
    <t>Tax Rate</t>
  </si>
  <si>
    <t>Tax Rate Assumptions</t>
  </si>
  <si>
    <t>Revenue Schedule</t>
  </si>
  <si>
    <t xml:space="preserve">Revenue (in millions) </t>
  </si>
  <si>
    <t>Fiscal year end date</t>
  </si>
  <si>
    <t>Operating Costs Schedule</t>
  </si>
  <si>
    <t>Operating Expenses (in millions)</t>
  </si>
  <si>
    <t>Debt and Interest Expense Schedule</t>
  </si>
  <si>
    <t>Other expenses</t>
  </si>
  <si>
    <t>(in millions)</t>
  </si>
  <si>
    <t>Long term debt</t>
  </si>
  <si>
    <t>Beginning balance</t>
  </si>
  <si>
    <t xml:space="preserve">Repayment </t>
  </si>
  <si>
    <t>Ending balance</t>
  </si>
  <si>
    <t>Working Capital Schedule</t>
  </si>
  <si>
    <t>Total Operating expenses</t>
  </si>
  <si>
    <t>Current Assets</t>
  </si>
  <si>
    <t>Current Liabilities</t>
  </si>
  <si>
    <t>Total current aseets</t>
  </si>
  <si>
    <t>Net Working Capital</t>
  </si>
  <si>
    <t>Change in Net Working Capital</t>
  </si>
  <si>
    <t>Depreciation Schedule</t>
  </si>
  <si>
    <t>UPS Financial Model</t>
  </si>
  <si>
    <t>Capital Expenditure Schedule</t>
  </si>
  <si>
    <t xml:space="preserve">Land </t>
  </si>
  <si>
    <t>Plant Equipment</t>
  </si>
  <si>
    <t>New Vehicles</t>
  </si>
  <si>
    <t>Existing Vehicles</t>
  </si>
  <si>
    <t>Depreciation expense</t>
  </si>
  <si>
    <t>Operating lease</t>
  </si>
  <si>
    <t>Total depreciation expense</t>
  </si>
  <si>
    <t xml:space="preserve">Existing Aircraft </t>
  </si>
  <si>
    <t xml:space="preserve">New Aircraft </t>
  </si>
  <si>
    <t>Existing Plant Equipment</t>
  </si>
  <si>
    <t>New Plant Equipment</t>
  </si>
  <si>
    <t>Existing Buildings</t>
  </si>
  <si>
    <t>New Buildings</t>
  </si>
  <si>
    <t>Existing Leasehold improvements</t>
  </si>
  <si>
    <t>New Leasehold improvements</t>
  </si>
  <si>
    <t>Existing Construction-in-progress</t>
  </si>
  <si>
    <t>New Construction-in-progress</t>
  </si>
  <si>
    <t>Total Depreciation Expense for All Assets</t>
  </si>
  <si>
    <t>Income Statement</t>
  </si>
  <si>
    <t>Depreciatoin expense</t>
  </si>
  <si>
    <t>Operating lease expense</t>
  </si>
  <si>
    <t>Net income</t>
  </si>
  <si>
    <t>Income before income taxes</t>
  </si>
  <si>
    <t>Total operating profits</t>
  </si>
  <si>
    <t>Total operating expenses</t>
  </si>
  <si>
    <t>Statement of Cash Flows</t>
  </si>
  <si>
    <t>Balance Sheet</t>
  </si>
  <si>
    <t>Cash Flow from Operations</t>
  </si>
  <si>
    <t>Net Cash Flow from Operatinos</t>
  </si>
  <si>
    <t>Cash Flow from Investing</t>
  </si>
  <si>
    <t>Net Cash Flow from Investing</t>
  </si>
  <si>
    <t>Cash Flow from Financing</t>
  </si>
  <si>
    <t>Purchase of vehicles, equipment, other assets</t>
  </si>
  <si>
    <t>Puerchase of property</t>
  </si>
  <si>
    <t>Cash from loans</t>
  </si>
  <si>
    <t>Repayment of loans</t>
  </si>
  <si>
    <t>Net Cash Flow from Financing</t>
  </si>
  <si>
    <t>Net Cash Movement</t>
  </si>
  <si>
    <t>Beginning Cash Balance</t>
  </si>
  <si>
    <t>Ending Cash Balance</t>
  </si>
  <si>
    <t>Net Income</t>
  </si>
  <si>
    <t>Depreciation</t>
  </si>
  <si>
    <t>Purchase of property</t>
  </si>
  <si>
    <t>Increased Debt</t>
  </si>
  <si>
    <t>Revenue</t>
  </si>
  <si>
    <t>Assets</t>
  </si>
  <si>
    <t>Total Noncurrent Liabilities</t>
  </si>
  <si>
    <t>Liabilities and shareowners' equity</t>
  </si>
  <si>
    <t>Total Assets</t>
  </si>
  <si>
    <t>Shareowners' equity</t>
  </si>
  <si>
    <t>Total liabilities and shareowners' equity</t>
  </si>
  <si>
    <t>Total Liabilities</t>
  </si>
  <si>
    <t>Total Noncurrent Assets</t>
  </si>
  <si>
    <t>Retained Earnings</t>
  </si>
  <si>
    <t>Shareholder Assumptions</t>
  </si>
  <si>
    <t xml:space="preserve">Assume that UPS does not pay dividend and retain 100% of net income as retained earnings. </t>
  </si>
  <si>
    <t>Total shareowners' equity</t>
  </si>
  <si>
    <t>Nov.6th, 2022</t>
  </si>
  <si>
    <t>UPS Assumptions Table</t>
  </si>
  <si>
    <t>UPS Data Source Table</t>
  </si>
  <si>
    <t>Property, plant, and equipment</t>
  </si>
  <si>
    <t xml:space="preserve">Forecast </t>
  </si>
  <si>
    <t>FCF to Equity</t>
  </si>
  <si>
    <t>CAPEX</t>
  </si>
  <si>
    <t>Changes in working capital</t>
  </si>
  <si>
    <t>New Net Debt</t>
  </si>
  <si>
    <t>FCF to Equity (NI+Dep-Capex-chge NWC+ Net New Debt</t>
  </si>
  <si>
    <t>Terminal Value at end of 2003 (Second Stage, Terminal Value)</t>
  </si>
  <si>
    <t>Total FCF to Equity ( both first stage and second stage)</t>
  </si>
  <si>
    <t>Total Equity Value</t>
  </si>
  <si>
    <t>Per Share</t>
  </si>
  <si>
    <t>Total FCF to the Firm</t>
  </si>
  <si>
    <t>After Tax Interest Expense</t>
  </si>
  <si>
    <t>Total FCF to the Firm (Total FCF Equity + After tax Interest Expense-Net New Debt)</t>
  </si>
  <si>
    <t>Terminal Value at end of 2003</t>
  </si>
  <si>
    <t>Enterprise Value</t>
  </si>
  <si>
    <t xml:space="preserve">Less Total Debt </t>
  </si>
  <si>
    <t>Number of Shares (in millions)</t>
  </si>
  <si>
    <t>Equity Value Per Share</t>
  </si>
  <si>
    <t>UPS DCF Valuation</t>
  </si>
  <si>
    <t>Terminal Growth Rate</t>
  </si>
  <si>
    <t>Total Capital Expenditure</t>
  </si>
  <si>
    <t>SHARES</t>
  </si>
  <si>
    <t>Verified: On November 10, 1999, UPS offered 109,400,000 shares on the NYSE. The Initial Public Offering stock price was $50.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</si>
</sst>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"/>
    <numFmt numFmtId="167" formatCode="####&quot;E&quot;"/>
    <numFmt numFmtId="168" formatCode="####&quot;A&quot;"/>
    <numFmt numFmtId="169" formatCode="m/d/yyyy;@"/>
    <numFmt numFmtId="170" formatCode="_(* #,##0_);_(* \(#,##0\);_(* &quot;-&quot;??_);_(@_)"/>
    <numFmt numFmtId="171" formatCode="_(&quot;$&quot;* #,##0.0_);_(&quot;$&quot;* \(#,##0.0\);_(&quot;$&quot;* &quot;-&quot;??_);_(@_)"/>
    <numFmt numFmtId="172" formatCode="&quot;$&quot;#,##0.0_);[Red]\(&quot;$&quot;#,##0.0\)"/>
    <numFmt numFmtId="173" formatCode="General&quot;A&quot;"/>
    <numFmt numFmtId="174" formatCode="General&quot;E&quot;"/>
  </numFmts>
  <fonts count="34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11"/>
      <color theme="1"/>
      <name val="TimesNewRomanPSMT"/>
    </font>
    <font>
      <sz val="20"/>
      <color theme="1"/>
      <name val="TimesNewRomanPSMT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vertAlign val="superscript"/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2"/>
      <color theme="1"/>
      <name val="TimesNewRomanPSMT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NewRomanPSMT"/>
    </font>
    <font>
      <b/>
      <sz val="12"/>
      <color theme="1"/>
      <name val="Times New Roman"/>
      <family val="1"/>
    </font>
    <font>
      <sz val="8"/>
      <name val="TimesNewRomanPSMT"/>
      <family val="2"/>
    </font>
    <font>
      <b/>
      <sz val="16"/>
      <color theme="1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6"/>
      <color theme="1"/>
      <name val="TimesNewRomanPSMT"/>
    </font>
    <font>
      <sz val="12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401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4" fillId="2" borderId="0" xfId="0" applyFont="1" applyFill="1"/>
    <xf numFmtId="2" fontId="6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center" vertical="top"/>
    </xf>
    <xf numFmtId="2" fontId="7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right" vertical="top"/>
    </xf>
    <xf numFmtId="9" fontId="6" fillId="0" borderId="1" xfId="0" applyNumberFormat="1" applyFont="1" applyBorder="1" applyAlignment="1">
      <alignment horizontal="left" vertical="top"/>
    </xf>
    <xf numFmtId="9" fontId="6" fillId="0" borderId="5" xfId="0" applyNumberFormat="1" applyFont="1" applyBorder="1" applyAlignment="1">
      <alignment horizontal="left" vertical="top"/>
    </xf>
    <xf numFmtId="9" fontId="6" fillId="0" borderId="6" xfId="0" applyNumberFormat="1" applyFont="1" applyBorder="1" applyAlignment="1">
      <alignment horizontal="right" vertical="top"/>
    </xf>
    <xf numFmtId="9" fontId="6" fillId="0" borderId="0" xfId="0" applyNumberFormat="1" applyFont="1" applyAlignment="1">
      <alignment horizontal="left" vertical="top"/>
    </xf>
    <xf numFmtId="9" fontId="6" fillId="0" borderId="7" xfId="0" applyNumberFormat="1" applyFont="1" applyBorder="1" applyAlignment="1">
      <alignment horizontal="left" vertical="top"/>
    </xf>
    <xf numFmtId="9" fontId="6" fillId="0" borderId="8" xfId="0" applyNumberFormat="1" applyFont="1" applyBorder="1" applyAlignment="1">
      <alignment horizontal="right" vertical="top"/>
    </xf>
    <xf numFmtId="2" fontId="6" fillId="0" borderId="7" xfId="0" applyNumberFormat="1" applyFont="1" applyBorder="1" applyAlignment="1">
      <alignment horizontal="left" vertical="top"/>
    </xf>
    <xf numFmtId="2" fontId="6" fillId="0" borderId="8" xfId="0" applyNumberFormat="1" applyFont="1" applyBorder="1" applyAlignment="1">
      <alignment horizontal="left" vertical="top"/>
    </xf>
    <xf numFmtId="9" fontId="8" fillId="0" borderId="0" xfId="0" applyNumberFormat="1" applyFont="1" applyAlignment="1">
      <alignment horizontal="left" vertical="top"/>
    </xf>
    <xf numFmtId="9" fontId="8" fillId="0" borderId="7" xfId="0" applyNumberFormat="1" applyFont="1" applyBorder="1" applyAlignment="1">
      <alignment horizontal="left" vertical="top"/>
    </xf>
    <xf numFmtId="9" fontId="8" fillId="0" borderId="8" xfId="0" applyNumberFormat="1" applyFont="1" applyBorder="1" applyAlignment="1">
      <alignment horizontal="right" vertical="top"/>
    </xf>
    <xf numFmtId="2" fontId="6" fillId="0" borderId="0" xfId="0" applyNumberFormat="1" applyFont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2"/>
    </xf>
    <xf numFmtId="0" fontId="5" fillId="0" borderId="2" xfId="0" applyFont="1" applyBorder="1" applyAlignment="1">
      <alignment horizontal="center" wrapText="1"/>
    </xf>
    <xf numFmtId="0" fontId="6" fillId="0" borderId="0" xfId="0" applyFont="1" applyAlignment="1">
      <alignment horizontal="left" vertical="top"/>
    </xf>
    <xf numFmtId="3" fontId="6" fillId="0" borderId="0" xfId="0" applyNumberFormat="1" applyFont="1" applyAlignment="1">
      <alignment horizontal="right" vertical="top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6" fillId="0" borderId="9" xfId="0" applyFont="1" applyBorder="1" applyAlignment="1">
      <alignment horizontal="left" vertical="top"/>
    </xf>
    <xf numFmtId="3" fontId="6" fillId="0" borderId="9" xfId="0" applyNumberFormat="1" applyFont="1" applyBorder="1" applyAlignment="1">
      <alignment horizontal="right" vertical="top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6" fillId="0" borderId="9" xfId="0" applyFont="1" applyBorder="1" applyAlignment="1">
      <alignment horizontal="right" vertical="top"/>
    </xf>
    <xf numFmtId="10" fontId="6" fillId="0" borderId="2" xfId="0" applyNumberFormat="1" applyFont="1" applyBorder="1" applyAlignment="1">
      <alignment horizontal="right" vertical="top"/>
    </xf>
    <xf numFmtId="0" fontId="6" fillId="0" borderId="9" xfId="0" applyFont="1" applyFill="1" applyBorder="1" applyAlignment="1">
      <alignment horizontal="left" vertical="top"/>
    </xf>
    <xf numFmtId="3" fontId="6" fillId="0" borderId="9" xfId="0" applyNumberFormat="1" applyFont="1" applyFill="1" applyBorder="1" applyAlignment="1">
      <alignment horizontal="right" vertical="top"/>
    </xf>
    <xf numFmtId="0" fontId="0" fillId="0" borderId="0" xfId="0" applyFill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right" vertical="top"/>
    </xf>
    <xf numFmtId="0" fontId="6" fillId="0" borderId="0" xfId="0" applyFont="1" applyFill="1" applyAlignment="1">
      <alignment horizontal="left" vertical="top"/>
    </xf>
    <xf numFmtId="3" fontId="6" fillId="0" borderId="0" xfId="0" applyNumberFormat="1" applyFont="1" applyFill="1" applyAlignment="1">
      <alignment horizontal="right" vertical="top"/>
    </xf>
    <xf numFmtId="0" fontId="6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0" fontId="5" fillId="0" borderId="0" xfId="0" applyFont="1" applyFill="1" applyAlignment="1">
      <alignment horizontal="right" vertical="top"/>
    </xf>
    <xf numFmtId="0" fontId="6" fillId="0" borderId="9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/>
    <xf numFmtId="3" fontId="6" fillId="0" borderId="1" xfId="0" applyNumberFormat="1" applyFont="1" applyBorder="1" applyAlignment="1">
      <alignment horizontal="right" vertical="top"/>
    </xf>
    <xf numFmtId="3" fontId="6" fillId="0" borderId="2" xfId="0" applyNumberFormat="1" applyFont="1" applyBorder="1" applyAlignment="1">
      <alignment horizontal="right" vertical="top"/>
    </xf>
    <xf numFmtId="0" fontId="6" fillId="0" borderId="9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left" vertical="top" wrapText="1"/>
    </xf>
    <xf numFmtId="0" fontId="11" fillId="0" borderId="0" xfId="0" applyFont="1" applyAlignment="1">
      <alignment horizontal="left"/>
    </xf>
    <xf numFmtId="0" fontId="5" fillId="0" borderId="2" xfId="0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top"/>
    </xf>
    <xf numFmtId="6" fontId="6" fillId="0" borderId="1" xfId="0" applyNumberFormat="1" applyFont="1" applyBorder="1" applyAlignment="1">
      <alignment horizontal="left" vertical="top"/>
    </xf>
    <xf numFmtId="6" fontId="6" fillId="0" borderId="0" xfId="0" applyNumberFormat="1" applyFont="1" applyAlignment="1">
      <alignment horizontal="left" vertical="top"/>
    </xf>
    <xf numFmtId="0" fontId="6" fillId="0" borderId="2" xfId="0" applyFont="1" applyBorder="1"/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indent="2"/>
    </xf>
    <xf numFmtId="0" fontId="6" fillId="0" borderId="0" xfId="0" applyFont="1" applyAlignment="1">
      <alignment horizontal="left" vertical="top" indent="3"/>
    </xf>
    <xf numFmtId="0" fontId="6" fillId="0" borderId="0" xfId="0" applyFont="1" applyAlignment="1">
      <alignment horizontal="left" vertical="top" indent="1"/>
    </xf>
    <xf numFmtId="8" fontId="6" fillId="0" borderId="0" xfId="0" applyNumberFormat="1" applyFont="1" applyAlignment="1">
      <alignment horizontal="right" vertical="top"/>
    </xf>
    <xf numFmtId="6" fontId="6" fillId="0" borderId="0" xfId="0" applyNumberFormat="1" applyFont="1" applyAlignment="1">
      <alignment horizontal="right" vertical="top"/>
    </xf>
    <xf numFmtId="6" fontId="6" fillId="0" borderId="9" xfId="0" applyNumberFormat="1" applyFont="1" applyBorder="1" applyAlignment="1">
      <alignment horizontal="right" vertical="top"/>
    </xf>
    <xf numFmtId="0" fontId="0" fillId="0" borderId="2" xfId="0" applyBorder="1"/>
    <xf numFmtId="0" fontId="5" fillId="0" borderId="1" xfId="0" applyFont="1" applyBorder="1" applyAlignment="1">
      <alignment horizontal="left" vertical="top"/>
    </xf>
    <xf numFmtId="3" fontId="6" fillId="0" borderId="0" xfId="0" applyNumberFormat="1" applyFont="1"/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6" fontId="6" fillId="0" borderId="1" xfId="0" applyNumberFormat="1" applyFont="1" applyBorder="1" applyAlignment="1">
      <alignment horizontal="right" vertical="top"/>
    </xf>
    <xf numFmtId="3" fontId="0" fillId="0" borderId="0" xfId="0" applyNumberFormat="1" applyAlignment="1">
      <alignment horizontal="center"/>
    </xf>
    <xf numFmtId="0" fontId="0" fillId="0" borderId="9" xfId="0" applyBorder="1" applyAlignment="1">
      <alignment horizontal="left"/>
    </xf>
    <xf numFmtId="6" fontId="6" fillId="0" borderId="2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vertical="top"/>
    </xf>
    <xf numFmtId="0" fontId="5" fillId="0" borderId="9" xfId="0" applyFont="1" applyBorder="1"/>
    <xf numFmtId="0" fontId="5" fillId="0" borderId="9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vertical="top"/>
    </xf>
    <xf numFmtId="9" fontId="6" fillId="0" borderId="0" xfId="0" applyNumberFormat="1" applyFont="1" applyAlignment="1">
      <alignment horizontal="right" vertical="top"/>
    </xf>
    <xf numFmtId="0" fontId="6" fillId="0" borderId="2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2" xfId="0" applyFont="1" applyBorder="1" applyAlignment="1">
      <alignment horizontal="left" vertical="top" indent="1"/>
    </xf>
    <xf numFmtId="0" fontId="6" fillId="0" borderId="9" xfId="0" applyFont="1" applyBorder="1" applyAlignment="1">
      <alignment horizontal="left" vertical="top" indent="1"/>
    </xf>
    <xf numFmtId="0" fontId="5" fillId="0" borderId="1" xfId="4" applyFont="1" applyBorder="1" applyAlignment="1">
      <alignment horizontal="left" vertical="top"/>
    </xf>
    <xf numFmtId="0" fontId="6" fillId="0" borderId="0" xfId="4" applyAlignment="1">
      <alignment horizontal="left" vertical="top"/>
    </xf>
    <xf numFmtId="0" fontId="6" fillId="0" borderId="0" xfId="4" applyAlignment="1">
      <alignment vertical="top"/>
    </xf>
    <xf numFmtId="8" fontId="6" fillId="0" borderId="0" xfId="4" applyNumberFormat="1" applyAlignment="1">
      <alignment vertical="top"/>
    </xf>
    <xf numFmtId="8" fontId="0" fillId="0" borderId="0" xfId="0" applyNumberFormat="1"/>
    <xf numFmtId="0" fontId="6" fillId="0" borderId="2" xfId="4" applyBorder="1"/>
    <xf numFmtId="3" fontId="6" fillId="0" borderId="2" xfId="4" applyNumberFormat="1" applyBorder="1" applyAlignment="1">
      <alignment horizontal="center"/>
    </xf>
    <xf numFmtId="3" fontId="5" fillId="0" borderId="9" xfId="0" applyNumberFormat="1" applyFont="1" applyBorder="1" applyAlignment="1">
      <alignment horizontal="right" vertical="top"/>
    </xf>
    <xf numFmtId="0" fontId="5" fillId="0" borderId="9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right" vertical="top"/>
    </xf>
    <xf numFmtId="3" fontId="5" fillId="0" borderId="9" xfId="0" applyNumberFormat="1" applyFont="1" applyFill="1" applyBorder="1" applyAlignment="1">
      <alignment horizontal="right" vertical="top"/>
    </xf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5" fillId="3" borderId="9" xfId="0" applyFont="1" applyFill="1" applyBorder="1" applyAlignment="1">
      <alignment horizontal="right" vertical="top"/>
    </xf>
    <xf numFmtId="0" fontId="5" fillId="3" borderId="9" xfId="0" applyFont="1" applyFill="1" applyBorder="1" applyAlignment="1">
      <alignment horizontal="center" vertical="top"/>
    </xf>
    <xf numFmtId="3" fontId="0" fillId="3" borderId="0" xfId="0" applyNumberFormat="1" applyFill="1"/>
    <xf numFmtId="165" fontId="0" fillId="3" borderId="0" xfId="3" applyNumberFormat="1" applyFont="1" applyFill="1"/>
    <xf numFmtId="3" fontId="0" fillId="3" borderId="1" xfId="0" applyNumberFormat="1" applyFill="1" applyBorder="1"/>
    <xf numFmtId="44" fontId="0" fillId="3" borderId="0" xfId="2" applyFont="1" applyFill="1"/>
    <xf numFmtId="164" fontId="0" fillId="3" borderId="0" xfId="2" applyNumberFormat="1" applyFont="1" applyFill="1"/>
    <xf numFmtId="165" fontId="0" fillId="3" borderId="1" xfId="3" applyNumberFormat="1" applyFont="1" applyFill="1" applyBorder="1"/>
    <xf numFmtId="164" fontId="0" fillId="3" borderId="1" xfId="2" applyNumberFormat="1" applyFon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3" borderId="1" xfId="0" applyFill="1" applyBorder="1"/>
    <xf numFmtId="0" fontId="0" fillId="3" borderId="9" xfId="0" applyFill="1" applyBorder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indent="2"/>
    </xf>
    <xf numFmtId="0" fontId="16" fillId="3" borderId="0" xfId="0" applyFont="1" applyFill="1"/>
    <xf numFmtId="0" fontId="2" fillId="3" borderId="0" xfId="0" applyFont="1" applyFill="1"/>
    <xf numFmtId="165" fontId="2" fillId="3" borderId="0" xfId="3" applyNumberFormat="1" applyFont="1" applyFill="1"/>
    <xf numFmtId="165" fontId="2" fillId="3" borderId="0" xfId="0" applyNumberFormat="1" applyFont="1" applyFill="1"/>
    <xf numFmtId="0" fontId="0" fillId="3" borderId="0" xfId="0" applyFill="1" applyAlignment="1">
      <alignment horizontal="right"/>
    </xf>
    <xf numFmtId="0" fontId="17" fillId="0" borderId="0" xfId="0" applyFont="1"/>
    <xf numFmtId="0" fontId="17" fillId="0" borderId="8" xfId="0" applyFont="1" applyBorder="1"/>
    <xf numFmtId="0" fontId="17" fillId="0" borderId="0" xfId="0" applyFont="1" applyBorder="1"/>
    <xf numFmtId="0" fontId="17" fillId="0" borderId="7" xfId="0" applyFont="1" applyBorder="1"/>
    <xf numFmtId="6" fontId="19" fillId="0" borderId="1" xfId="0" applyNumberFormat="1" applyFont="1" applyBorder="1" applyAlignment="1">
      <alignment horizontal="right" vertical="top"/>
    </xf>
    <xf numFmtId="6" fontId="19" fillId="0" borderId="5" xfId="0" applyNumberFormat="1" applyFont="1" applyBorder="1" applyAlignment="1">
      <alignment horizontal="right" vertical="top"/>
    </xf>
    <xf numFmtId="0" fontId="19" fillId="0" borderId="8" xfId="0" applyFont="1" applyBorder="1" applyAlignment="1">
      <alignment vertical="top"/>
    </xf>
    <xf numFmtId="0" fontId="19" fillId="0" borderId="0" xfId="0" applyFont="1" applyBorder="1" applyAlignment="1">
      <alignment horizontal="right" vertical="top"/>
    </xf>
    <xf numFmtId="0" fontId="19" fillId="0" borderId="7" xfId="0" applyFont="1" applyBorder="1" applyAlignment="1">
      <alignment horizontal="right" vertical="top"/>
    </xf>
    <xf numFmtId="0" fontId="17" fillId="0" borderId="4" xfId="0" applyFont="1" applyBorder="1"/>
    <xf numFmtId="0" fontId="17" fillId="0" borderId="2" xfId="0" applyFont="1" applyBorder="1"/>
    <xf numFmtId="0" fontId="17" fillId="0" borderId="3" xfId="0" applyFont="1" applyBorder="1"/>
    <xf numFmtId="0" fontId="19" fillId="0" borderId="0" xfId="0" applyFont="1" applyFill="1" applyBorder="1" applyAlignment="1">
      <alignment vertical="top"/>
    </xf>
    <xf numFmtId="0" fontId="19" fillId="0" borderId="8" xfId="0" applyFont="1" applyBorder="1" applyAlignment="1">
      <alignment horizontal="left" vertical="top"/>
    </xf>
    <xf numFmtId="0" fontId="19" fillId="0" borderId="2" xfId="0" applyFont="1" applyBorder="1" applyAlignment="1">
      <alignment horizontal="right" vertical="top"/>
    </xf>
    <xf numFmtId="0" fontId="19" fillId="0" borderId="3" xfId="0" applyFont="1" applyBorder="1" applyAlignment="1">
      <alignment horizontal="right" vertical="top"/>
    </xf>
    <xf numFmtId="0" fontId="19" fillId="0" borderId="8" xfId="0" applyFont="1" applyBorder="1" applyAlignment="1">
      <alignment horizontal="left" vertical="top" indent="2"/>
    </xf>
    <xf numFmtId="165" fontId="19" fillId="0" borderId="7" xfId="3" applyNumberFormat="1" applyFont="1" applyBorder="1" applyAlignment="1">
      <alignment horizontal="right" vertical="top"/>
    </xf>
    <xf numFmtId="0" fontId="19" fillId="0" borderId="8" xfId="0" applyFont="1" applyBorder="1" applyAlignment="1">
      <alignment vertical="top" wrapText="1"/>
    </xf>
    <xf numFmtId="0" fontId="19" fillId="0" borderId="1" xfId="0" applyFont="1" applyBorder="1" applyAlignment="1">
      <alignment horizontal="right" vertical="top"/>
    </xf>
    <xf numFmtId="6" fontId="19" fillId="0" borderId="9" xfId="0" applyNumberFormat="1" applyFont="1" applyBorder="1" applyAlignment="1">
      <alignment horizontal="right" vertical="top"/>
    </xf>
    <xf numFmtId="0" fontId="20" fillId="0" borderId="8" xfId="0" applyFont="1" applyBorder="1"/>
    <xf numFmtId="165" fontId="19" fillId="0" borderId="3" xfId="3" applyNumberFormat="1" applyFont="1" applyBorder="1" applyAlignment="1">
      <alignment horizontal="right" vertical="top"/>
    </xf>
    <xf numFmtId="165" fontId="17" fillId="0" borderId="7" xfId="3" applyNumberFormat="1" applyFont="1" applyBorder="1"/>
    <xf numFmtId="0" fontId="19" fillId="0" borderId="0" xfId="0" applyFont="1" applyAlignment="1">
      <alignment horizontal="left" vertical="top" wrapText="1"/>
    </xf>
    <xf numFmtId="165" fontId="19" fillId="0" borderId="0" xfId="3" applyNumberFormat="1" applyFont="1" applyAlignment="1">
      <alignment horizontal="right" vertical="top"/>
    </xf>
    <xf numFmtId="0" fontId="17" fillId="0" borderId="8" xfId="0" applyFont="1" applyBorder="1" applyAlignment="1">
      <alignment wrapText="1"/>
    </xf>
    <xf numFmtId="0" fontId="19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 indent="2"/>
    </xf>
    <xf numFmtId="0" fontId="19" fillId="0" borderId="2" xfId="0" applyFont="1" applyBorder="1" applyAlignment="1">
      <alignment horizontal="left" vertical="top" indent="2"/>
    </xf>
    <xf numFmtId="0" fontId="19" fillId="0" borderId="0" xfId="0" applyFont="1" applyAlignment="1">
      <alignment horizontal="left" vertical="top" indent="1"/>
    </xf>
    <xf numFmtId="0" fontId="19" fillId="0" borderId="4" xfId="0" applyFont="1" applyBorder="1" applyAlignment="1">
      <alignment vertical="top"/>
    </xf>
    <xf numFmtId="165" fontId="17" fillId="0" borderId="3" xfId="3" applyNumberFormat="1" applyFont="1" applyBorder="1"/>
    <xf numFmtId="0" fontId="17" fillId="0" borderId="7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9" fillId="0" borderId="0" xfId="0" applyFont="1" applyBorder="1" applyAlignment="1">
      <alignment horizontal="left" vertical="top" indent="3"/>
    </xf>
    <xf numFmtId="0" fontId="18" fillId="0" borderId="2" xfId="0" applyFont="1" applyBorder="1" applyAlignment="1">
      <alignment horizontal="left" vertical="top" wrapText="1"/>
    </xf>
    <xf numFmtId="3" fontId="17" fillId="0" borderId="7" xfId="0" applyNumberFormat="1" applyFont="1" applyBorder="1"/>
    <xf numFmtId="9" fontId="17" fillId="0" borderId="7" xfId="0" applyNumberFormat="1" applyFont="1" applyBorder="1"/>
    <xf numFmtId="10" fontId="17" fillId="0" borderId="7" xfId="0" applyNumberFormat="1" applyFont="1" applyBorder="1"/>
    <xf numFmtId="9" fontId="17" fillId="0" borderId="3" xfId="0" applyNumberFormat="1" applyFont="1" applyBorder="1"/>
    <xf numFmtId="6" fontId="19" fillId="0" borderId="0" xfId="0" applyNumberFormat="1" applyFont="1" applyBorder="1" applyAlignment="1">
      <alignment horizontal="right" vertical="top"/>
    </xf>
    <xf numFmtId="0" fontId="21" fillId="0" borderId="0" xfId="0" applyFont="1" applyAlignment="1">
      <alignment vertical="center" wrapText="1"/>
    </xf>
    <xf numFmtId="0" fontId="21" fillId="0" borderId="8" xfId="0" applyFont="1" applyBorder="1"/>
    <xf numFmtId="0" fontId="21" fillId="0" borderId="4" xfId="0" applyFont="1" applyBorder="1" applyAlignment="1">
      <alignment vertical="center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6" fontId="19" fillId="0" borderId="7" xfId="0" applyNumberFormat="1" applyFont="1" applyBorder="1" applyAlignment="1">
      <alignment horizontal="right" vertical="top"/>
    </xf>
    <xf numFmtId="0" fontId="18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right" vertical="top"/>
    </xf>
    <xf numFmtId="0" fontId="18" fillId="0" borderId="8" xfId="0" applyFont="1" applyBorder="1" applyAlignment="1">
      <alignment horizontal="left" vertical="top"/>
    </xf>
    <xf numFmtId="0" fontId="18" fillId="0" borderId="7" xfId="0" applyFont="1" applyBorder="1" applyAlignment="1">
      <alignment horizontal="right" vertical="top"/>
    </xf>
    <xf numFmtId="0" fontId="2" fillId="3" borderId="0" xfId="0" applyFont="1" applyFill="1" applyAlignment="1">
      <alignment horizontal="right"/>
    </xf>
    <xf numFmtId="0" fontId="19" fillId="0" borderId="4" xfId="0" applyFont="1" applyBorder="1" applyAlignment="1">
      <alignment horizontal="left" vertical="top" indent="2"/>
    </xf>
    <xf numFmtId="0" fontId="19" fillId="0" borderId="0" xfId="0" applyFont="1" applyBorder="1" applyAlignment="1">
      <alignment vertical="top"/>
    </xf>
    <xf numFmtId="0" fontId="19" fillId="0" borderId="0" xfId="0" applyFont="1" applyBorder="1" applyAlignment="1">
      <alignment horizontal="left" vertical="top" indent="1"/>
    </xf>
    <xf numFmtId="0" fontId="17" fillId="0" borderId="0" xfId="0" applyFont="1" applyBorder="1" applyAlignment="1">
      <alignment wrapText="1"/>
    </xf>
    <xf numFmtId="0" fontId="22" fillId="0" borderId="0" xfId="0" applyFont="1" applyBorder="1"/>
    <xf numFmtId="0" fontId="21" fillId="0" borderId="0" xfId="0" applyFont="1"/>
    <xf numFmtId="0" fontId="21" fillId="0" borderId="4" xfId="0" applyFont="1" applyBorder="1" applyAlignment="1"/>
    <xf numFmtId="0" fontId="22" fillId="0" borderId="0" xfId="0" applyFont="1" applyBorder="1" applyAlignment="1">
      <alignment horizontal="center"/>
    </xf>
    <xf numFmtId="0" fontId="22" fillId="0" borderId="0" xfId="0" applyFont="1"/>
    <xf numFmtId="0" fontId="22" fillId="0" borderId="11" xfId="0" applyFont="1" applyBorder="1"/>
    <xf numFmtId="0" fontId="22" fillId="0" borderId="1" xfId="0" applyFont="1" applyBorder="1"/>
    <xf numFmtId="0" fontId="26" fillId="0" borderId="0" xfId="0" applyFont="1" applyBorder="1" applyAlignment="1">
      <alignment horizontal="right" vertical="top"/>
    </xf>
    <xf numFmtId="3" fontId="26" fillId="0" borderId="0" xfId="0" applyNumberFormat="1" applyFont="1" applyBorder="1" applyAlignment="1">
      <alignment horizontal="right" vertical="top"/>
    </xf>
    <xf numFmtId="8" fontId="26" fillId="0" borderId="0" xfId="0" applyNumberFormat="1" applyFont="1" applyBorder="1" applyAlignment="1">
      <alignment horizontal="right" vertical="top"/>
    </xf>
    <xf numFmtId="0" fontId="25" fillId="0" borderId="0" xfId="0" applyFont="1" applyBorder="1" applyAlignment="1">
      <alignment horizontal="right" vertical="top"/>
    </xf>
    <xf numFmtId="0" fontId="18" fillId="0" borderId="1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3" fontId="25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/>
    </xf>
    <xf numFmtId="3" fontId="26" fillId="0" borderId="0" xfId="0" applyNumberFormat="1" applyFont="1" applyFill="1" applyBorder="1" applyAlignment="1">
      <alignment horizontal="right" vertical="top"/>
    </xf>
    <xf numFmtId="0" fontId="2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right"/>
    </xf>
    <xf numFmtId="168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6" fontId="26" fillId="0" borderId="0" xfId="0" applyNumberFormat="1" applyFont="1" applyBorder="1" applyAlignment="1">
      <alignment horizontal="right"/>
    </xf>
    <xf numFmtId="170" fontId="26" fillId="0" borderId="0" xfId="0" applyNumberFormat="1" applyFont="1" applyBorder="1" applyAlignment="1">
      <alignment horizontal="right"/>
    </xf>
    <xf numFmtId="41" fontId="26" fillId="0" borderId="0" xfId="0" applyNumberFormat="1" applyFont="1" applyBorder="1" applyAlignment="1">
      <alignment horizontal="right"/>
    </xf>
    <xf numFmtId="6" fontId="25" fillId="0" borderId="0" xfId="0" applyNumberFormat="1" applyFont="1" applyBorder="1" applyAlignment="1">
      <alignment horizontal="right"/>
    </xf>
    <xf numFmtId="3" fontId="26" fillId="0" borderId="0" xfId="0" applyNumberFormat="1" applyFont="1" applyBorder="1" applyAlignment="1">
      <alignment horizontal="right"/>
    </xf>
    <xf numFmtId="0" fontId="26" fillId="0" borderId="0" xfId="0" applyFont="1" applyAlignment="1">
      <alignment horizontal="right"/>
    </xf>
    <xf numFmtId="0" fontId="25" fillId="0" borderId="11" xfId="0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18" fillId="6" borderId="0" xfId="0" applyFont="1" applyFill="1" applyBorder="1" applyAlignment="1">
      <alignment horizontal="left" vertical="top"/>
    </xf>
    <xf numFmtId="0" fontId="22" fillId="6" borderId="0" xfId="0" applyFont="1" applyFill="1" applyBorder="1"/>
    <xf numFmtId="0" fontId="25" fillId="6" borderId="0" xfId="0" applyFont="1" applyFill="1" applyBorder="1" applyAlignment="1">
      <alignment horizontal="right"/>
    </xf>
    <xf numFmtId="0" fontId="17" fillId="6" borderId="0" xfId="0" applyFont="1" applyFill="1" applyBorder="1"/>
    <xf numFmtId="0" fontId="26" fillId="6" borderId="0" xfId="0" applyFont="1" applyFill="1" applyBorder="1" applyAlignment="1">
      <alignment horizontal="right"/>
    </xf>
    <xf numFmtId="3" fontId="25" fillId="6" borderId="0" xfId="0" applyNumberFormat="1" applyFont="1" applyFill="1" applyBorder="1" applyAlignment="1">
      <alignment horizontal="right" vertical="top"/>
    </xf>
    <xf numFmtId="0" fontId="18" fillId="6" borderId="0" xfId="0" applyFont="1" applyFill="1" applyBorder="1" applyAlignment="1">
      <alignment horizontal="left" vertical="top" wrapText="1"/>
    </xf>
    <xf numFmtId="0" fontId="22" fillId="6" borderId="10" xfId="0" applyFont="1" applyFill="1" applyBorder="1"/>
    <xf numFmtId="0" fontId="25" fillId="6" borderId="10" xfId="0" applyFont="1" applyFill="1" applyBorder="1" applyAlignment="1">
      <alignment horizontal="right"/>
    </xf>
    <xf numFmtId="3" fontId="25" fillId="6" borderId="10" xfId="0" applyNumberFormat="1" applyFont="1" applyFill="1" applyBorder="1" applyAlignment="1">
      <alignment horizontal="right"/>
    </xf>
    <xf numFmtId="0" fontId="17" fillId="6" borderId="10" xfId="0" applyFont="1" applyFill="1" applyBorder="1"/>
    <xf numFmtId="3" fontId="25" fillId="6" borderId="10" xfId="0" applyNumberFormat="1" applyFont="1" applyFill="1" applyBorder="1" applyAlignment="1">
      <alignment horizontal="right" vertical="top"/>
    </xf>
    <xf numFmtId="0" fontId="22" fillId="6" borderId="12" xfId="0" applyFont="1" applyFill="1" applyBorder="1"/>
    <xf numFmtId="0" fontId="25" fillId="6" borderId="12" xfId="0" applyFont="1" applyFill="1" applyBorder="1" applyAlignment="1">
      <alignment horizontal="right"/>
    </xf>
    <xf numFmtId="0" fontId="22" fillId="5" borderId="0" xfId="0" applyFont="1" applyFill="1" applyBorder="1"/>
    <xf numFmtId="0" fontId="18" fillId="6" borderId="10" xfId="0" applyFont="1" applyFill="1" applyBorder="1" applyAlignment="1">
      <alignment horizontal="left" vertical="top"/>
    </xf>
    <xf numFmtId="6" fontId="25" fillId="6" borderId="10" xfId="0" applyNumberFormat="1" applyFont="1" applyFill="1" applyBorder="1" applyAlignment="1">
      <alignment horizontal="right"/>
    </xf>
    <xf numFmtId="0" fontId="18" fillId="6" borderId="11" xfId="0" applyFont="1" applyFill="1" applyBorder="1" applyAlignment="1">
      <alignment horizontal="left" vertical="top" indent="3"/>
    </xf>
    <xf numFmtId="0" fontId="22" fillId="6" borderId="11" xfId="0" applyFont="1" applyFill="1" applyBorder="1"/>
    <xf numFmtId="6" fontId="25" fillId="6" borderId="11" xfId="0" applyNumberFormat="1" applyFont="1" applyFill="1" applyBorder="1" applyAlignment="1">
      <alignment horizontal="right"/>
    </xf>
    <xf numFmtId="0" fontId="22" fillId="6" borderId="0" xfId="0" applyFont="1" applyFill="1" applyBorder="1" applyAlignment="1">
      <alignment horizontal="left"/>
    </xf>
    <xf numFmtId="0" fontId="22" fillId="6" borderId="1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/>
    <xf numFmtId="0" fontId="25" fillId="0" borderId="0" xfId="0" applyFont="1" applyFill="1" applyBorder="1" applyAlignment="1">
      <alignment horizontal="right"/>
    </xf>
    <xf numFmtId="0" fontId="22" fillId="0" borderId="0" xfId="0" applyFont="1" applyFill="1"/>
    <xf numFmtId="0" fontId="22" fillId="0" borderId="10" xfId="0" applyFont="1" applyFill="1" applyBorder="1" applyAlignment="1">
      <alignment horizontal="left"/>
    </xf>
    <xf numFmtId="0" fontId="22" fillId="0" borderId="10" xfId="0" applyFont="1" applyFill="1" applyBorder="1"/>
    <xf numFmtId="0" fontId="25" fillId="0" borderId="10" xfId="0" applyFont="1" applyFill="1" applyBorder="1" applyAlignment="1">
      <alignment horizontal="right"/>
    </xf>
    <xf numFmtId="0" fontId="0" fillId="4" borderId="0" xfId="0" applyFill="1"/>
    <xf numFmtId="0" fontId="25" fillId="0" borderId="0" xfId="0" applyFont="1" applyBorder="1" applyAlignment="1">
      <alignment horizontal="right" vertical="center"/>
    </xf>
    <xf numFmtId="168" fontId="25" fillId="0" borderId="0" xfId="0" applyNumberFormat="1" applyFont="1" applyBorder="1" applyAlignment="1">
      <alignment horizontal="right" vertical="center"/>
    </xf>
    <xf numFmtId="169" fontId="25" fillId="0" borderId="0" xfId="0" applyNumberFormat="1" applyFont="1" applyBorder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3" fontId="26" fillId="0" borderId="0" xfId="0" applyNumberFormat="1" applyFont="1" applyBorder="1" applyAlignment="1">
      <alignment horizontal="right" vertical="center"/>
    </xf>
    <xf numFmtId="8" fontId="26" fillId="0" borderId="0" xfId="0" applyNumberFormat="1" applyFont="1" applyBorder="1" applyAlignment="1">
      <alignment horizontal="right" vertical="center"/>
    </xf>
    <xf numFmtId="6" fontId="26" fillId="0" borderId="0" xfId="0" applyNumberFormat="1" applyFont="1" applyBorder="1" applyAlignment="1">
      <alignment horizontal="right" vertical="center"/>
    </xf>
    <xf numFmtId="170" fontId="26" fillId="0" borderId="0" xfId="0" applyNumberFormat="1" applyFont="1" applyBorder="1" applyAlignment="1">
      <alignment horizontal="right" vertical="center"/>
    </xf>
    <xf numFmtId="6" fontId="25" fillId="6" borderId="11" xfId="0" applyNumberFormat="1" applyFont="1" applyFill="1" applyBorder="1" applyAlignment="1">
      <alignment horizontal="right" vertical="center"/>
    </xf>
    <xf numFmtId="41" fontId="26" fillId="0" borderId="0" xfId="0" applyNumberFormat="1" applyFont="1" applyBorder="1" applyAlignment="1">
      <alignment horizontal="right" vertical="center"/>
    </xf>
    <xf numFmtId="6" fontId="25" fillId="6" borderId="10" xfId="0" applyNumberFormat="1" applyFont="1" applyFill="1" applyBorder="1" applyAlignment="1">
      <alignment horizontal="right" vertical="center"/>
    </xf>
    <xf numFmtId="6" fontId="25" fillId="0" borderId="0" xfId="0" applyNumberFormat="1" applyFont="1" applyBorder="1" applyAlignment="1">
      <alignment horizontal="right" vertical="center"/>
    </xf>
    <xf numFmtId="3" fontId="25" fillId="6" borderId="10" xfId="0" applyNumberFormat="1" applyFont="1" applyFill="1" applyBorder="1" applyAlignment="1">
      <alignment horizontal="right" vertical="center"/>
    </xf>
    <xf numFmtId="0" fontId="25" fillId="6" borderId="0" xfId="0" applyFont="1" applyFill="1" applyBorder="1" applyAlignment="1">
      <alignment horizontal="right" vertical="center"/>
    </xf>
    <xf numFmtId="0" fontId="25" fillId="6" borderId="10" xfId="0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5" fillId="0" borderId="11" xfId="0" applyFont="1" applyBorder="1" applyAlignment="1">
      <alignment horizontal="right" vertical="center"/>
    </xf>
    <xf numFmtId="3" fontId="25" fillId="0" borderId="0" xfId="0" applyNumberFormat="1" applyFont="1" applyBorder="1" applyAlignment="1">
      <alignment horizontal="right" vertical="center"/>
    </xf>
    <xf numFmtId="3" fontId="25" fillId="0" borderId="11" xfId="0" applyNumberFormat="1" applyFont="1" applyBorder="1" applyAlignment="1">
      <alignment horizontal="right" vertical="center"/>
    </xf>
    <xf numFmtId="3" fontId="25" fillId="6" borderId="0" xfId="0" applyNumberFormat="1" applyFont="1" applyFill="1" applyBorder="1" applyAlignment="1">
      <alignment horizontal="right" vertical="center"/>
    </xf>
    <xf numFmtId="0" fontId="26" fillId="0" borderId="1" xfId="0" applyFont="1" applyBorder="1" applyAlignment="1">
      <alignment horizontal="right" vertical="center"/>
    </xf>
    <xf numFmtId="0" fontId="25" fillId="6" borderId="12" xfId="0" applyFont="1" applyFill="1" applyBorder="1" applyAlignment="1">
      <alignment horizontal="right" vertical="center"/>
    </xf>
    <xf numFmtId="3" fontId="25" fillId="0" borderId="0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3" fontId="26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/>
    </xf>
    <xf numFmtId="0" fontId="25" fillId="0" borderId="10" xfId="0" applyFont="1" applyFill="1" applyBorder="1" applyAlignment="1">
      <alignment horizontal="right" vertical="center"/>
    </xf>
    <xf numFmtId="43" fontId="22" fillId="0" borderId="10" xfId="0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horizontal="right" vertical="center"/>
    </xf>
    <xf numFmtId="167" fontId="22" fillId="0" borderId="0" xfId="0" applyNumberFormat="1" applyFont="1" applyBorder="1" applyAlignment="1">
      <alignment horizontal="right" vertical="center"/>
    </xf>
    <xf numFmtId="169" fontId="22" fillId="0" borderId="0" xfId="0" applyNumberFormat="1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1" fontId="17" fillId="0" borderId="0" xfId="0" applyNumberFormat="1" applyFont="1" applyBorder="1" applyAlignment="1">
      <alignment horizontal="right" vertical="center"/>
    </xf>
    <xf numFmtId="8" fontId="17" fillId="0" borderId="0" xfId="0" applyNumberFormat="1" applyFont="1" applyBorder="1" applyAlignment="1">
      <alignment horizontal="right" vertical="center"/>
    </xf>
    <xf numFmtId="43" fontId="17" fillId="0" borderId="0" xfId="0" applyNumberFormat="1" applyFont="1" applyBorder="1" applyAlignment="1">
      <alignment horizontal="right" vertical="center"/>
    </xf>
    <xf numFmtId="6" fontId="17" fillId="0" borderId="0" xfId="0" applyNumberFormat="1" applyFont="1" applyBorder="1" applyAlignment="1">
      <alignment horizontal="right" vertical="center"/>
    </xf>
    <xf numFmtId="170" fontId="17" fillId="0" borderId="0" xfId="0" applyNumberFormat="1" applyFont="1" applyBorder="1" applyAlignment="1">
      <alignment horizontal="right" vertical="center"/>
    </xf>
    <xf numFmtId="6" fontId="22" fillId="6" borderId="11" xfId="0" applyNumberFormat="1" applyFont="1" applyFill="1" applyBorder="1" applyAlignment="1">
      <alignment horizontal="right" vertical="center"/>
    </xf>
    <xf numFmtId="41" fontId="17" fillId="0" borderId="0" xfId="0" applyNumberFormat="1" applyFont="1" applyBorder="1" applyAlignment="1">
      <alignment horizontal="right" vertical="center"/>
    </xf>
    <xf numFmtId="6" fontId="22" fillId="6" borderId="10" xfId="0" applyNumberFormat="1" applyFont="1" applyFill="1" applyBorder="1" applyAlignment="1">
      <alignment horizontal="right" vertical="center"/>
    </xf>
    <xf numFmtId="6" fontId="22" fillId="0" borderId="0" xfId="0" applyNumberFormat="1" applyFont="1" applyBorder="1" applyAlignment="1">
      <alignment horizontal="right" vertical="center"/>
    </xf>
    <xf numFmtId="170" fontId="17" fillId="0" borderId="0" xfId="1" applyNumberFormat="1" applyFont="1" applyBorder="1" applyAlignment="1">
      <alignment horizontal="right" vertical="center"/>
    </xf>
    <xf numFmtId="3" fontId="22" fillId="6" borderId="10" xfId="0" applyNumberFormat="1" applyFont="1" applyFill="1" applyBorder="1" applyAlignment="1">
      <alignment horizontal="right" vertical="center"/>
    </xf>
    <xf numFmtId="3" fontId="17" fillId="0" borderId="0" xfId="0" applyNumberFormat="1" applyFont="1" applyBorder="1" applyAlignment="1">
      <alignment horizontal="right" vertical="center"/>
    </xf>
    <xf numFmtId="166" fontId="17" fillId="0" borderId="0" xfId="0" applyNumberFormat="1" applyFont="1" applyBorder="1" applyAlignment="1">
      <alignment horizontal="right" vertical="center"/>
    </xf>
    <xf numFmtId="3" fontId="22" fillId="6" borderId="0" xfId="0" applyNumberFormat="1" applyFont="1" applyFill="1" applyBorder="1" applyAlignment="1">
      <alignment horizontal="right" vertical="center"/>
    </xf>
    <xf numFmtId="3" fontId="22" fillId="0" borderId="0" xfId="0" applyNumberFormat="1" applyFont="1" applyBorder="1" applyAlignment="1">
      <alignment horizontal="right" vertical="center"/>
    </xf>
    <xf numFmtId="1" fontId="22" fillId="6" borderId="10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41" fontId="22" fillId="0" borderId="11" xfId="0" applyNumberFormat="1" applyFont="1" applyBorder="1" applyAlignment="1">
      <alignment horizontal="right" vertical="center"/>
    </xf>
    <xf numFmtId="3" fontId="22" fillId="0" borderId="11" xfId="0" applyNumberFormat="1" applyFont="1" applyBorder="1" applyAlignment="1">
      <alignment horizontal="right" vertical="center"/>
    </xf>
    <xf numFmtId="41" fontId="22" fillId="6" borderId="0" xfId="0" applyNumberFormat="1" applyFont="1" applyFill="1" applyBorder="1" applyAlignment="1">
      <alignment horizontal="right" vertical="center"/>
    </xf>
    <xf numFmtId="41" fontId="22" fillId="6" borderId="10" xfId="0" applyNumberFormat="1" applyFont="1" applyFill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1" fontId="22" fillId="6" borderId="12" xfId="0" applyNumberFormat="1" applyFont="1" applyFill="1" applyBorder="1" applyAlignment="1">
      <alignment horizontal="right" vertical="center"/>
    </xf>
    <xf numFmtId="1" fontId="17" fillId="0" borderId="0" xfId="0" applyNumberFormat="1" applyFont="1" applyFill="1" applyBorder="1" applyAlignment="1">
      <alignment horizontal="right" vertical="center"/>
    </xf>
    <xf numFmtId="166" fontId="22" fillId="6" borderId="12" xfId="0" applyNumberFormat="1" applyFont="1" applyFill="1" applyBorder="1" applyAlignment="1">
      <alignment horizontal="right" vertical="center"/>
    </xf>
    <xf numFmtId="41" fontId="17" fillId="0" borderId="0" xfId="2" applyNumberFormat="1" applyFont="1" applyBorder="1" applyAlignment="1">
      <alignment horizontal="right" vertical="center"/>
    </xf>
    <xf numFmtId="41" fontId="22" fillId="6" borderId="0" xfId="2" applyNumberFormat="1" applyFont="1" applyFill="1" applyBorder="1" applyAlignment="1">
      <alignment horizontal="right" vertical="center"/>
    </xf>
    <xf numFmtId="41" fontId="22" fillId="0" borderId="0" xfId="2" applyNumberFormat="1" applyFont="1" applyBorder="1" applyAlignment="1">
      <alignment horizontal="right" vertical="center"/>
    </xf>
    <xf numFmtId="3" fontId="22" fillId="0" borderId="0" xfId="0" applyNumberFormat="1" applyFont="1" applyFill="1" applyBorder="1" applyAlignment="1">
      <alignment horizontal="right" vertical="center"/>
    </xf>
    <xf numFmtId="41" fontId="22" fillId="0" borderId="0" xfId="0" applyNumberFormat="1" applyFont="1" applyBorder="1" applyAlignment="1">
      <alignment horizontal="right" vertical="center"/>
    </xf>
    <xf numFmtId="170" fontId="22" fillId="6" borderId="0" xfId="0" applyNumberFormat="1" applyFont="1" applyFill="1" applyBorder="1" applyAlignment="1">
      <alignment horizontal="right" vertical="center"/>
    </xf>
    <xf numFmtId="170" fontId="22" fillId="0" borderId="0" xfId="0" applyNumberFormat="1" applyFont="1" applyFill="1" applyBorder="1" applyAlignment="1">
      <alignment horizontal="right"/>
    </xf>
    <xf numFmtId="170" fontId="22" fillId="0" borderId="10" xfId="0" applyNumberFormat="1" applyFont="1" applyFill="1" applyBorder="1" applyAlignment="1">
      <alignment horizontal="right" vertical="center"/>
    </xf>
    <xf numFmtId="0" fontId="24" fillId="0" borderId="0" xfId="0" applyFont="1" applyBorder="1" applyAlignment="1"/>
    <xf numFmtId="0" fontId="22" fillId="0" borderId="0" xfId="0" applyFont="1" applyBorder="1" applyAlignment="1"/>
    <xf numFmtId="0" fontId="0" fillId="0" borderId="6" xfId="0" applyBorder="1"/>
    <xf numFmtId="10" fontId="0" fillId="0" borderId="5" xfId="3" applyNumberFormat="1" applyFont="1" applyBorder="1"/>
    <xf numFmtId="0" fontId="0" fillId="0" borderId="8" xfId="0" applyBorder="1"/>
    <xf numFmtId="10" fontId="0" fillId="0" borderId="7" xfId="3" applyNumberFormat="1" applyFont="1" applyBorder="1"/>
    <xf numFmtId="0" fontId="28" fillId="0" borderId="4" xfId="0" applyFont="1" applyBorder="1"/>
    <xf numFmtId="165" fontId="0" fillId="0" borderId="3" xfId="0" applyNumberFormat="1" applyBorder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left" indent="7"/>
    </xf>
    <xf numFmtId="164" fontId="0" fillId="0" borderId="0" xfId="2" applyNumberFormat="1" applyFont="1"/>
    <xf numFmtId="171" fontId="0" fillId="0" borderId="0" xfId="2" applyNumberFormat="1" applyFont="1"/>
    <xf numFmtId="0" fontId="18" fillId="0" borderId="0" xfId="0" applyFont="1" applyAlignment="1">
      <alignment horizontal="left" indent="2"/>
    </xf>
    <xf numFmtId="8" fontId="31" fillId="0" borderId="0" xfId="0" applyNumberFormat="1" applyFont="1"/>
    <xf numFmtId="0" fontId="32" fillId="0" borderId="0" xfId="0" applyFont="1"/>
    <xf numFmtId="0" fontId="28" fillId="0" borderId="0" xfId="0" applyFont="1"/>
    <xf numFmtId="164" fontId="31" fillId="0" borderId="0" xfId="2" applyNumberFormat="1" applyFont="1"/>
    <xf numFmtId="6" fontId="0" fillId="0" borderId="0" xfId="0" applyNumberFormat="1"/>
    <xf numFmtId="3" fontId="0" fillId="0" borderId="0" xfId="0" applyNumberFormat="1"/>
    <xf numFmtId="0" fontId="33" fillId="0" borderId="0" xfId="0" applyFont="1"/>
    <xf numFmtId="6" fontId="33" fillId="0" borderId="0" xfId="0" applyNumberFormat="1" applyFont="1"/>
    <xf numFmtId="0" fontId="16" fillId="0" borderId="0" xfId="0" applyFont="1"/>
    <xf numFmtId="0" fontId="22" fillId="0" borderId="10" xfId="0" applyFont="1" applyBorder="1"/>
    <xf numFmtId="0" fontId="28" fillId="0" borderId="0" xfId="0" applyFont="1" applyFill="1" applyAlignment="1">
      <alignment horizontal="centerContinuous"/>
    </xf>
    <xf numFmtId="173" fontId="16" fillId="0" borderId="0" xfId="0" applyNumberFormat="1" applyFont="1" applyFill="1"/>
    <xf numFmtId="174" fontId="16" fillId="0" borderId="0" xfId="0" applyNumberFormat="1" applyFont="1" applyFill="1"/>
    <xf numFmtId="0" fontId="32" fillId="0" borderId="0" xfId="0" applyFont="1" applyFill="1" applyAlignment="1">
      <alignment horizontal="centerContinuous"/>
    </xf>
    <xf numFmtId="0" fontId="33" fillId="0" borderId="0" xfId="0" applyFont="1" applyFill="1" applyAlignment="1">
      <alignment horizontal="centerContinuous"/>
    </xf>
    <xf numFmtId="0" fontId="33" fillId="0" borderId="6" xfId="0" applyFont="1" applyBorder="1"/>
    <xf numFmtId="6" fontId="33" fillId="0" borderId="5" xfId="0" applyNumberFormat="1" applyFont="1" applyBorder="1"/>
    <xf numFmtId="0" fontId="33" fillId="0" borderId="8" xfId="0" applyFont="1" applyBorder="1"/>
    <xf numFmtId="3" fontId="33" fillId="0" borderId="7" xfId="0" applyNumberFormat="1" applyFont="1" applyBorder="1"/>
    <xf numFmtId="6" fontId="33" fillId="0" borderId="7" xfId="0" applyNumberFormat="1" applyFont="1" applyBorder="1"/>
    <xf numFmtId="38" fontId="33" fillId="0" borderId="7" xfId="0" applyNumberFormat="1" applyFont="1" applyBorder="1"/>
    <xf numFmtId="0" fontId="33" fillId="0" borderId="13" xfId="0" applyFont="1" applyBorder="1"/>
    <xf numFmtId="172" fontId="33" fillId="0" borderId="14" xfId="0" applyNumberFormat="1" applyFont="1" applyBorder="1"/>
    <xf numFmtId="0" fontId="27" fillId="0" borderId="0" xfId="0" applyFont="1" applyAlignment="1">
      <alignment horizontal="center"/>
    </xf>
    <xf numFmtId="0" fontId="10" fillId="0" borderId="0" xfId="4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4" applyFont="1" applyAlignment="1">
      <alignment horizontal="left"/>
    </xf>
    <xf numFmtId="0" fontId="6" fillId="0" borderId="2" xfId="4" applyBorder="1" applyAlignment="1">
      <alignment horizontal="center"/>
    </xf>
    <xf numFmtId="0" fontId="5" fillId="0" borderId="9" xfId="4" applyFont="1" applyBorder="1" applyAlignment="1">
      <alignment horizontal="left" vertical="top"/>
    </xf>
    <xf numFmtId="0" fontId="6" fillId="0" borderId="0" xfId="4" applyAlignment="1">
      <alignment horizontal="center"/>
    </xf>
    <xf numFmtId="0" fontId="10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5" fillId="0" borderId="9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16" fillId="3" borderId="0" xfId="0" applyFont="1" applyFill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24" fillId="0" borderId="0" xfId="0" applyFont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17" fillId="5" borderId="5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5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center"/>
    </xf>
    <xf numFmtId="0" fontId="33" fillId="0" borderId="0" xfId="0" applyFont="1" applyFill="1" applyBorder="1"/>
  </cellXfs>
  <cellStyles count="5">
    <cellStyle name="Comma" xfId="1" builtinId="3"/>
    <cellStyle name="Currency" xfId="2" builtinId="4"/>
    <cellStyle name="Normal" xfId="0" builtinId="0"/>
    <cellStyle name="Normal 2" xfId="4" xr:uid="{1F19A57C-CE68-784F-8A30-421F0B03056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749300</xdr:colOff>
      <xdr:row>2</xdr:row>
      <xdr:rowOff>114299</xdr:rowOff>
    </xdr:from>
    <xdr:to>
      <xdr:col>3</xdr:col>
      <xdr:colOff>381000</xdr:colOff>
      <xdr:row>10</xdr:row>
      <xdr:rowOff>14240</xdr:rowOff>
    </xdr:to>
    <xdr:pic>
      <xdr:nvPicPr>
        <xdr:cNvPr id="2" name="Picture 1" descr="UPS Locations in WALTHAM, MA">
          <a:extLst>
            <a:ext uri="{FF2B5EF4-FFF2-40B4-BE49-F238E27FC236}">
              <a16:creationId xmlns:a16="http://schemas.microsoft.com/office/drawing/2014/main" id="{9E4102DD-09B8-BE3D-BC99-FB644FF4A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520699"/>
          <a:ext cx="1282700" cy="152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ongmeiru/Desktop/brandeis/CFM/&#28023;&#20048;/UPS%20Financial%20Model%20Integrated%20with%20Scenarios%20and%20Valuation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 Table"/>
      <sheetName val="Assumptions Table "/>
      <sheetName val="Scenarios"/>
      <sheetName val="The Model"/>
      <sheetName val="DCF Valuation"/>
      <sheetName val="Multiples based Valuaion"/>
      <sheetName val="Data Sources"/>
    </sheetNames>
    <sheetDataSet>
      <sheetData sheetId="0" refreshError="1"/>
      <sheetData sheetId="1" refreshError="1"/>
      <sheetData sheetId="2">
        <row r="45">
          <cell r="L45" t="str">
            <v>Cost of Equity</v>
          </cell>
        </row>
        <row r="57">
          <cell r="L57" t="str">
            <v>WACC</v>
          </cell>
        </row>
      </sheetData>
      <sheetData sheetId="3" refreshError="1"/>
      <sheetData sheetId="4">
        <row r="6"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AE0E-8E7E-2740-B217-B375881EE7DB}">
  <dimension ref="B3:M19"/>
  <sheetViews>
    <sheetView workbookViewId="0">
      <selection activeCell="E21" sqref="E21"/>
    </sheetView>
  </sheetViews>
  <sheetFormatPr baseColWidth="10" defaultRowHeight="16"/>
  <cols>
    <col min="1" max="16384" width="10.83203125" style="260"/>
  </cols>
  <sheetData>
    <row r="3" spans="2:1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ht="25">
      <c r="B12" s="1"/>
      <c r="C12" s="5" t="s">
        <v>567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>
      <c r="B17" s="1"/>
      <c r="C17" s="2" t="s">
        <v>0</v>
      </c>
      <c r="D17" s="2"/>
      <c r="E17" s="2"/>
      <c r="F17" s="2"/>
      <c r="G17" s="2"/>
      <c r="H17" s="2"/>
      <c r="I17" s="2"/>
      <c r="J17" s="2"/>
      <c r="K17" s="2" t="s">
        <v>626</v>
      </c>
      <c r="L17" s="3"/>
      <c r="M17" s="1"/>
    </row>
    <row r="18" spans="2:13">
      <c r="B18" s="1"/>
      <c r="C18" s="1"/>
      <c r="D18" s="1"/>
      <c r="E18" s="1"/>
      <c r="F18" s="1"/>
      <c r="G18" s="1"/>
      <c r="H18" s="1"/>
      <c r="I18" s="1"/>
      <c r="J18" s="1"/>
      <c r="K18" s="4"/>
      <c r="L18" s="1"/>
      <c r="M18" s="1"/>
    </row>
    <row r="19" spans="2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D6AA-6CC4-414C-8D0B-CF5511538EE1}">
  <sheetPr>
    <tabColor theme="9" tint="0.79998168889431442"/>
  </sheetPr>
  <dimension ref="B1:P354"/>
  <sheetViews>
    <sheetView topLeftCell="A27" zoomScale="75" workbookViewId="0">
      <selection activeCell="J59" sqref="J59"/>
    </sheetView>
  </sheetViews>
  <sheetFormatPr baseColWidth="10" defaultRowHeight="16"/>
  <cols>
    <col min="1" max="1" width="3" customWidth="1"/>
    <col min="2" max="2" width="32.33203125" customWidth="1"/>
    <col min="3" max="3" width="22.1640625" customWidth="1"/>
    <col min="4" max="4" width="20" customWidth="1"/>
    <col min="8" max="8" width="16.6640625" customWidth="1"/>
  </cols>
  <sheetData>
    <row r="1" spans="2:13" ht="20">
      <c r="B1" s="365" t="s">
        <v>628</v>
      </c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3" spans="2:13">
      <c r="B3" s="369" t="s">
        <v>1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</row>
    <row r="4" spans="2:13"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</row>
    <row r="5" spans="2:13">
      <c r="B5" s="6"/>
      <c r="C5" s="7" t="s">
        <v>2</v>
      </c>
      <c r="D5" s="6"/>
      <c r="E5" s="6"/>
      <c r="F5" s="6"/>
      <c r="G5" s="6"/>
      <c r="H5" s="6"/>
      <c r="I5" s="6"/>
      <c r="J5" s="6"/>
      <c r="K5" s="6"/>
      <c r="L5" s="6"/>
      <c r="M5" s="8" t="s">
        <v>3</v>
      </c>
    </row>
    <row r="6" spans="2:13">
      <c r="B6" s="9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2:13">
      <c r="B7" s="6"/>
      <c r="C7" s="10">
        <v>1990</v>
      </c>
      <c r="D7" s="10">
        <v>1991</v>
      </c>
      <c r="E7" s="10">
        <v>1992</v>
      </c>
      <c r="F7" s="10">
        <v>1993</v>
      </c>
      <c r="G7" s="10">
        <v>1994</v>
      </c>
      <c r="H7" s="10">
        <v>1995</v>
      </c>
      <c r="I7" s="10">
        <v>1996</v>
      </c>
      <c r="J7" s="10">
        <v>1997</v>
      </c>
      <c r="K7" s="10">
        <v>1998</v>
      </c>
      <c r="L7" s="11">
        <v>1999</v>
      </c>
      <c r="M7" s="12">
        <v>1999</v>
      </c>
    </row>
    <row r="8" spans="2:13">
      <c r="B8" s="6" t="s">
        <v>5</v>
      </c>
      <c r="C8" s="13">
        <v>0.31</v>
      </c>
      <c r="D8" s="13">
        <v>0.3</v>
      </c>
      <c r="E8" s="13">
        <v>0.3</v>
      </c>
      <c r="F8" s="13">
        <v>0.3</v>
      </c>
      <c r="G8" s="13">
        <v>0.3</v>
      </c>
      <c r="H8" s="13">
        <v>0.3</v>
      </c>
      <c r="I8" s="13">
        <v>0.32</v>
      </c>
      <c r="J8" s="13">
        <v>0.31</v>
      </c>
      <c r="K8" s="13">
        <v>0.32</v>
      </c>
      <c r="L8" s="14">
        <v>0.34</v>
      </c>
      <c r="M8" s="15">
        <v>0.25</v>
      </c>
    </row>
    <row r="9" spans="2:13">
      <c r="B9" s="6" t="s">
        <v>6</v>
      </c>
      <c r="C9" s="16">
        <v>0.51</v>
      </c>
      <c r="D9" s="16">
        <v>0.51</v>
      </c>
      <c r="E9" s="16">
        <v>0.5</v>
      </c>
      <c r="F9" s="16">
        <v>0.5</v>
      </c>
      <c r="G9" s="16">
        <v>0.5</v>
      </c>
      <c r="H9" s="16">
        <v>0.49</v>
      </c>
      <c r="I9" s="16">
        <v>0.49</v>
      </c>
      <c r="J9" s="16">
        <v>0.48</v>
      </c>
      <c r="K9" s="16">
        <v>0.47</v>
      </c>
      <c r="L9" s="17">
        <v>0.46</v>
      </c>
      <c r="M9" s="18">
        <v>0.46</v>
      </c>
    </row>
    <row r="10" spans="2:13">
      <c r="B10" s="6" t="s">
        <v>7</v>
      </c>
      <c r="C10" s="16">
        <v>0.1</v>
      </c>
      <c r="D10" s="16">
        <v>0.11</v>
      </c>
      <c r="E10" s="16">
        <v>0.12</v>
      </c>
      <c r="F10" s="16">
        <v>0.13</v>
      </c>
      <c r="G10" s="16">
        <v>0.13</v>
      </c>
      <c r="H10" s="16">
        <v>0.14000000000000001</v>
      </c>
      <c r="I10" s="16">
        <v>0.13</v>
      </c>
      <c r="J10" s="16">
        <v>0.15</v>
      </c>
      <c r="K10" s="16">
        <v>0.15</v>
      </c>
      <c r="L10" s="17">
        <v>0.14000000000000001</v>
      </c>
      <c r="M10" s="18">
        <v>0.23</v>
      </c>
    </row>
    <row r="11" spans="2:13">
      <c r="B11" s="6" t="s">
        <v>8</v>
      </c>
      <c r="C11" s="16">
        <v>0.08</v>
      </c>
      <c r="D11" s="16">
        <v>0.08</v>
      </c>
      <c r="E11" s="16">
        <v>0.08</v>
      </c>
      <c r="F11" s="16">
        <v>7.0000000000000007E-2</v>
      </c>
      <c r="G11" s="16">
        <v>7.0000000000000007E-2</v>
      </c>
      <c r="H11" s="16">
        <v>7.0000000000000007E-2</v>
      </c>
      <c r="I11" s="16">
        <v>0.06</v>
      </c>
      <c r="J11" s="16">
        <v>0.06</v>
      </c>
      <c r="K11" s="16">
        <v>0.06</v>
      </c>
      <c r="L11" s="17">
        <v>0.06</v>
      </c>
      <c r="M11" s="18">
        <v>0.06</v>
      </c>
    </row>
    <row r="12" spans="2:13">
      <c r="B12" s="9" t="s">
        <v>9</v>
      </c>
      <c r="C12" s="6"/>
      <c r="D12" s="6"/>
      <c r="E12" s="6"/>
      <c r="F12" s="6"/>
      <c r="G12" s="6"/>
      <c r="H12" s="6"/>
      <c r="I12" s="6"/>
      <c r="J12" s="6"/>
      <c r="K12" s="6"/>
      <c r="L12" s="19"/>
      <c r="M12" s="20"/>
    </row>
    <row r="13" spans="2:13">
      <c r="B13" s="6"/>
      <c r="C13" s="10">
        <v>1990</v>
      </c>
      <c r="D13" s="10">
        <v>1991</v>
      </c>
      <c r="E13" s="10">
        <v>1992</v>
      </c>
      <c r="F13" s="10">
        <v>1993</v>
      </c>
      <c r="G13" s="10">
        <v>1994</v>
      </c>
      <c r="H13" s="10">
        <v>1995</v>
      </c>
      <c r="I13" s="10">
        <v>1996</v>
      </c>
      <c r="J13" s="10">
        <v>1997</v>
      </c>
      <c r="K13" s="10">
        <v>1998</v>
      </c>
      <c r="L13" s="11">
        <v>1999</v>
      </c>
      <c r="M13" s="12">
        <v>1999</v>
      </c>
    </row>
    <row r="14" spans="2:13">
      <c r="B14" s="6" t="s">
        <v>10</v>
      </c>
      <c r="C14" s="13">
        <v>0.4</v>
      </c>
      <c r="D14" s="13">
        <v>0.38</v>
      </c>
      <c r="E14" s="13">
        <v>0.35</v>
      </c>
      <c r="F14" s="13">
        <v>0.34</v>
      </c>
      <c r="G14" s="13">
        <v>0.32</v>
      </c>
      <c r="H14" s="13">
        <v>0.3</v>
      </c>
      <c r="I14" s="13">
        <v>0.3</v>
      </c>
      <c r="J14" s="13">
        <v>0.28000000000000003</v>
      </c>
      <c r="K14" s="13">
        <v>0.26</v>
      </c>
      <c r="L14" s="14">
        <v>0.27</v>
      </c>
      <c r="M14" s="15">
        <v>0.13</v>
      </c>
    </row>
    <row r="15" spans="2:13">
      <c r="B15" s="6" t="s">
        <v>11</v>
      </c>
      <c r="C15" s="16">
        <v>0.16</v>
      </c>
      <c r="D15" s="16">
        <v>0.17</v>
      </c>
      <c r="E15" s="16">
        <v>0.16</v>
      </c>
      <c r="F15" s="16">
        <v>0.18</v>
      </c>
      <c r="G15" s="16">
        <v>0.18</v>
      </c>
      <c r="H15" s="16">
        <v>0.19</v>
      </c>
      <c r="I15" s="16">
        <v>0.18</v>
      </c>
      <c r="J15" s="16">
        <v>0.2</v>
      </c>
      <c r="K15" s="16">
        <v>0.23</v>
      </c>
      <c r="L15" s="17">
        <v>0.22</v>
      </c>
      <c r="M15" s="18">
        <v>0.13</v>
      </c>
    </row>
    <row r="16" spans="2:13">
      <c r="B16" s="6" t="s">
        <v>12</v>
      </c>
      <c r="C16" s="16">
        <v>0.05</v>
      </c>
      <c r="D16" s="16">
        <v>0.05</v>
      </c>
      <c r="E16" s="16">
        <v>0.06</v>
      </c>
      <c r="F16" s="16">
        <v>0.06</v>
      </c>
      <c r="G16" s="16">
        <v>0.06</v>
      </c>
      <c r="H16" s="16">
        <v>0.06</v>
      </c>
      <c r="I16" s="16">
        <v>7.0000000000000007E-2</v>
      </c>
      <c r="J16" s="16">
        <v>0.06</v>
      </c>
      <c r="K16" s="16">
        <v>0.06</v>
      </c>
      <c r="L16" s="17">
        <v>0.06</v>
      </c>
      <c r="M16" s="18">
        <v>0.04</v>
      </c>
    </row>
    <row r="17" spans="2:16">
      <c r="B17" s="6" t="s">
        <v>13</v>
      </c>
      <c r="C17" s="16">
        <v>0.39</v>
      </c>
      <c r="D17" s="16">
        <v>0.4</v>
      </c>
      <c r="E17" s="16">
        <v>0.43</v>
      </c>
      <c r="F17" s="16">
        <v>0.42</v>
      </c>
      <c r="G17" s="16">
        <v>0.44</v>
      </c>
      <c r="H17" s="16">
        <v>0.45</v>
      </c>
      <c r="I17" s="16">
        <v>0.45</v>
      </c>
      <c r="J17" s="16">
        <v>0.46</v>
      </c>
      <c r="K17" s="16">
        <v>0.45</v>
      </c>
      <c r="L17" s="17">
        <v>0.45</v>
      </c>
      <c r="M17" s="18">
        <v>0.7</v>
      </c>
    </row>
    <row r="18" spans="2:16">
      <c r="B18" s="9" t="s">
        <v>14</v>
      </c>
      <c r="C18" s="6"/>
      <c r="D18" s="6"/>
      <c r="E18" s="6"/>
      <c r="F18" s="6"/>
      <c r="G18" s="6"/>
      <c r="H18" s="6"/>
      <c r="I18" s="6"/>
      <c r="J18" s="6"/>
      <c r="K18" s="6"/>
      <c r="L18" s="19"/>
      <c r="M18" s="20"/>
    </row>
    <row r="19" spans="2:16">
      <c r="B19" s="6"/>
      <c r="C19" s="10">
        <v>1990</v>
      </c>
      <c r="D19" s="10">
        <v>1991</v>
      </c>
      <c r="E19" s="10">
        <v>1992</v>
      </c>
      <c r="F19" s="10">
        <v>1993</v>
      </c>
      <c r="G19" s="10">
        <v>1994</v>
      </c>
      <c r="H19" s="10">
        <v>1995</v>
      </c>
      <c r="I19" s="10">
        <v>1996</v>
      </c>
      <c r="J19" s="10">
        <v>1997</v>
      </c>
      <c r="K19" s="10">
        <v>1998</v>
      </c>
      <c r="L19" s="11">
        <v>1999</v>
      </c>
      <c r="M19" s="12">
        <v>1999</v>
      </c>
    </row>
    <row r="20" spans="2:16">
      <c r="B20" s="6" t="s">
        <v>15</v>
      </c>
      <c r="C20" s="13">
        <v>0.87</v>
      </c>
      <c r="D20" s="13">
        <v>0.87</v>
      </c>
      <c r="E20" s="13">
        <v>0.85</v>
      </c>
      <c r="F20" s="13">
        <v>0.85</v>
      </c>
      <c r="G20" s="13">
        <v>0.83</v>
      </c>
      <c r="H20" s="13">
        <v>0.82</v>
      </c>
      <c r="I20" s="13">
        <v>0.82</v>
      </c>
      <c r="J20" s="13">
        <v>0.81</v>
      </c>
      <c r="K20" s="13">
        <v>0.8</v>
      </c>
      <c r="L20" s="14">
        <v>0.8</v>
      </c>
      <c r="M20" s="15">
        <v>0.79</v>
      </c>
    </row>
    <row r="21" spans="2:16">
      <c r="B21" s="6" t="s">
        <v>16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3">
        <v>0</v>
      </c>
    </row>
    <row r="22" spans="2:16">
      <c r="B22" s="24" t="s">
        <v>17</v>
      </c>
      <c r="C22" s="16">
        <v>0.05</v>
      </c>
      <c r="D22" s="16">
        <v>0.05</v>
      </c>
      <c r="E22" s="16">
        <v>0.06</v>
      </c>
      <c r="F22" s="16">
        <v>7.0000000000000007E-2</v>
      </c>
      <c r="G22" s="16">
        <v>0.08</v>
      </c>
      <c r="H22" s="16">
        <v>0.08</v>
      </c>
      <c r="I22" s="16">
        <v>0.08</v>
      </c>
      <c r="J22" s="16">
        <v>0.09</v>
      </c>
      <c r="K22" s="16">
        <v>0.1</v>
      </c>
      <c r="L22" s="17">
        <v>0.1</v>
      </c>
      <c r="M22" s="18">
        <v>0.11</v>
      </c>
    </row>
    <row r="23" spans="2:16">
      <c r="B23" s="6" t="s">
        <v>18</v>
      </c>
      <c r="C23" s="16">
        <v>0.08</v>
      </c>
      <c r="D23" s="16">
        <v>0.08</v>
      </c>
      <c r="E23" s="16">
        <v>0.09</v>
      </c>
      <c r="F23" s="16">
        <v>0.08</v>
      </c>
      <c r="G23" s="16">
        <v>0.09</v>
      </c>
      <c r="H23" s="16">
        <v>0.1</v>
      </c>
      <c r="I23" s="16">
        <v>0.1</v>
      </c>
      <c r="J23" s="16">
        <v>0.1</v>
      </c>
      <c r="K23" s="16">
        <v>0.1</v>
      </c>
      <c r="L23" s="17">
        <v>0.1</v>
      </c>
      <c r="M23" s="18">
        <v>0.1</v>
      </c>
    </row>
    <row r="24" spans="2:16"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8"/>
    </row>
    <row r="25" spans="2:16">
      <c r="B25" s="388" t="s">
        <v>19</v>
      </c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</row>
    <row r="27" spans="2:16">
      <c r="B27" s="369" t="s">
        <v>20</v>
      </c>
      <c r="C27" s="380"/>
      <c r="D27" s="380"/>
      <c r="E27" s="380"/>
      <c r="F27" s="380"/>
      <c r="G27" s="380"/>
      <c r="H27" s="380"/>
      <c r="I27" s="380"/>
    </row>
    <row r="28" spans="2:16">
      <c r="B28" s="379"/>
      <c r="C28" s="379"/>
      <c r="D28" s="379"/>
      <c r="E28" s="379"/>
      <c r="F28" s="379"/>
      <c r="G28" s="379"/>
      <c r="H28" s="379"/>
      <c r="I28" s="379"/>
    </row>
    <row r="29" spans="2:16">
      <c r="B29" s="380" t="s">
        <v>21</v>
      </c>
      <c r="C29" s="380"/>
      <c r="D29" s="380"/>
      <c r="E29" s="380"/>
      <c r="F29" s="380"/>
      <c r="G29" s="380"/>
      <c r="H29" s="380"/>
      <c r="I29" s="380"/>
    </row>
    <row r="30" spans="2:16">
      <c r="B30" s="382"/>
      <c r="C30" s="382"/>
      <c r="D30" s="382"/>
      <c r="E30" s="382"/>
      <c r="F30" s="382"/>
      <c r="G30" s="382"/>
      <c r="H30" s="382"/>
      <c r="I30" s="382"/>
    </row>
    <row r="31" spans="2:16">
      <c r="B31" s="25"/>
      <c r="C31" s="25"/>
      <c r="D31" s="25"/>
      <c r="E31" s="25"/>
      <c r="F31" s="25"/>
      <c r="G31" s="25"/>
      <c r="H31" s="26"/>
      <c r="I31" s="26"/>
      <c r="K31" s="122"/>
      <c r="L31" s="122"/>
      <c r="M31" s="138" t="s">
        <v>506</v>
      </c>
      <c r="N31" s="122"/>
      <c r="O31" s="122"/>
      <c r="P31" s="122"/>
    </row>
    <row r="32" spans="2:16" ht="71">
      <c r="B32" s="27" t="s">
        <v>22</v>
      </c>
      <c r="C32" s="28">
        <v>1994</v>
      </c>
      <c r="D32" s="29">
        <v>1995</v>
      </c>
      <c r="E32" s="29">
        <v>1996</v>
      </c>
      <c r="F32" s="29">
        <v>1997</v>
      </c>
      <c r="G32" s="28">
        <v>1998</v>
      </c>
      <c r="H32" s="30" t="s">
        <v>23</v>
      </c>
      <c r="I32" s="30" t="s">
        <v>24</v>
      </c>
      <c r="K32" s="136">
        <v>1994</v>
      </c>
      <c r="L32" s="137">
        <v>1995</v>
      </c>
      <c r="M32" s="137">
        <v>1996</v>
      </c>
      <c r="N32" s="137">
        <v>1997</v>
      </c>
      <c r="O32" s="136">
        <v>1998</v>
      </c>
      <c r="P32" s="138" t="s">
        <v>505</v>
      </c>
    </row>
    <row r="33" spans="2:16">
      <c r="B33" s="25" t="s">
        <v>25</v>
      </c>
      <c r="C33" s="25"/>
      <c r="D33" s="25"/>
      <c r="E33" s="25"/>
      <c r="F33" s="25"/>
      <c r="G33" s="25"/>
      <c r="H33" s="25"/>
      <c r="I33" s="25"/>
      <c r="K33" s="122"/>
      <c r="L33" s="122"/>
      <c r="M33" s="122"/>
      <c r="N33" s="122"/>
      <c r="O33" s="122"/>
      <c r="P33" s="134"/>
    </row>
    <row r="34" spans="2:16">
      <c r="B34" s="31" t="s">
        <v>26</v>
      </c>
      <c r="C34" s="32">
        <v>16943</v>
      </c>
      <c r="D34" s="32">
        <v>17773</v>
      </c>
      <c r="E34" s="32">
        <v>18881</v>
      </c>
      <c r="F34" s="32">
        <v>18868</v>
      </c>
      <c r="G34" s="32">
        <v>20650</v>
      </c>
      <c r="H34" s="32">
        <v>15129</v>
      </c>
      <c r="I34" s="32">
        <v>16239</v>
      </c>
      <c r="K34" s="122"/>
      <c r="L34" s="122"/>
      <c r="M34" s="122"/>
      <c r="N34" s="122"/>
      <c r="O34" s="122"/>
      <c r="P34" s="122"/>
    </row>
    <row r="35" spans="2:16">
      <c r="B35" s="31" t="s">
        <v>27</v>
      </c>
      <c r="C35" s="32">
        <v>2346</v>
      </c>
      <c r="D35" s="32">
        <v>2886</v>
      </c>
      <c r="E35" s="32">
        <v>2989</v>
      </c>
      <c r="F35" s="32">
        <v>2934</v>
      </c>
      <c r="G35" s="32">
        <v>3237</v>
      </c>
      <c r="H35" s="32">
        <v>2342</v>
      </c>
      <c r="I35" s="32">
        <v>2562</v>
      </c>
      <c r="K35" s="122"/>
      <c r="L35" s="122"/>
      <c r="M35" s="122"/>
      <c r="N35" s="122"/>
      <c r="O35" s="122"/>
      <c r="P35" s="122"/>
    </row>
    <row r="36" spans="2:16">
      <c r="B36" s="33" t="s">
        <v>28</v>
      </c>
      <c r="C36" s="34">
        <v>287</v>
      </c>
      <c r="D36" s="34">
        <v>386</v>
      </c>
      <c r="E36" s="34">
        <v>498</v>
      </c>
      <c r="F36" s="34">
        <v>656</v>
      </c>
      <c r="G36" s="34">
        <v>901</v>
      </c>
      <c r="H36" s="34">
        <v>653</v>
      </c>
      <c r="I36" s="34">
        <v>805</v>
      </c>
      <c r="K36" s="122"/>
      <c r="L36" s="122"/>
      <c r="M36" s="122"/>
      <c r="N36" s="122"/>
      <c r="O36" s="122"/>
      <c r="P36" s="122"/>
    </row>
    <row r="37" spans="2:16" s="120" customFormat="1">
      <c r="B37" s="117" t="s">
        <v>29</v>
      </c>
      <c r="C37" s="119">
        <v>19576</v>
      </c>
      <c r="D37" s="119">
        <v>21045</v>
      </c>
      <c r="E37" s="119">
        <v>22368</v>
      </c>
      <c r="F37" s="119">
        <v>22458</v>
      </c>
      <c r="G37" s="119">
        <v>24788</v>
      </c>
      <c r="H37" s="119">
        <v>18124</v>
      </c>
      <c r="I37" s="119">
        <v>19606</v>
      </c>
      <c r="K37" s="139"/>
      <c r="L37" s="140">
        <f>D37/C37-1</f>
        <v>7.504086636697993E-2</v>
      </c>
      <c r="M37" s="140">
        <f t="shared" ref="M37:N37" si="0">E37/D37-1</f>
        <v>6.2865288667141916E-2</v>
      </c>
      <c r="N37" s="140">
        <f t="shared" si="0"/>
        <v>4.0236051502144932E-3</v>
      </c>
      <c r="O37" s="140">
        <f>G37/F37-1</f>
        <v>0.10374922076765514</v>
      </c>
      <c r="P37" s="141">
        <f>AVERAGE(L37:O37)</f>
        <v>6.1419745237997869E-2</v>
      </c>
    </row>
    <row r="38" spans="2:16" s="45" customFormat="1">
      <c r="B38" s="46" t="s">
        <v>30</v>
      </c>
      <c r="C38" s="47"/>
      <c r="D38" s="47"/>
      <c r="E38" s="47"/>
      <c r="F38" s="47"/>
      <c r="G38" s="47"/>
      <c r="H38" s="47"/>
      <c r="I38" s="47"/>
      <c r="K38" s="122"/>
      <c r="L38" s="140"/>
      <c r="M38" s="140"/>
      <c r="N38" s="140"/>
      <c r="O38" s="140"/>
      <c r="P38" s="141"/>
    </row>
    <row r="39" spans="2:16" s="45" customFormat="1">
      <c r="B39" s="48" t="s">
        <v>31</v>
      </c>
      <c r="C39" s="49">
        <v>11727</v>
      </c>
      <c r="D39" s="49">
        <v>12401</v>
      </c>
      <c r="E39" s="49">
        <v>13326</v>
      </c>
      <c r="F39" s="49">
        <v>13289</v>
      </c>
      <c r="G39" s="49">
        <v>14346</v>
      </c>
      <c r="H39" s="49">
        <v>10587</v>
      </c>
      <c r="I39" s="49">
        <v>11226</v>
      </c>
      <c r="K39" s="122"/>
      <c r="L39" s="140">
        <f t="shared" ref="L39:L40" si="1">D39/C39-1</f>
        <v>5.7474204826468922E-2</v>
      </c>
      <c r="M39" s="140">
        <f t="shared" ref="M39:M40" si="2">E39/D39-1</f>
        <v>7.4590758809773394E-2</v>
      </c>
      <c r="N39" s="140">
        <f t="shared" ref="N39:N40" si="3">F39/E39-1</f>
        <v>-2.7765270898993943E-3</v>
      </c>
      <c r="O39" s="140">
        <f t="shared" ref="O39:O40" si="4">G39/F39-1</f>
        <v>7.953946873353912E-2</v>
      </c>
      <c r="P39" s="141">
        <f t="shared" ref="P39:P40" si="5">AVERAGE(L39:O39)</f>
        <v>5.2206976319970511E-2</v>
      </c>
    </row>
    <row r="40" spans="2:16" s="45" customFormat="1">
      <c r="B40" s="48" t="s">
        <v>32</v>
      </c>
      <c r="C40" s="49">
        <v>6293</v>
      </c>
      <c r="D40" s="49">
        <v>6478</v>
      </c>
      <c r="E40" s="49">
        <v>7013</v>
      </c>
      <c r="F40" s="49">
        <v>7461</v>
      </c>
      <c r="G40" s="49">
        <v>7352</v>
      </c>
      <c r="H40" s="49">
        <v>5315</v>
      </c>
      <c r="I40" s="49">
        <v>5522</v>
      </c>
      <c r="K40" s="122"/>
      <c r="L40" s="140">
        <f t="shared" si="1"/>
        <v>2.9397743524551156E-2</v>
      </c>
      <c r="M40" s="140">
        <f t="shared" si="2"/>
        <v>8.2587218277246022E-2</v>
      </c>
      <c r="N40" s="140">
        <f t="shared" si="3"/>
        <v>6.3881363182660689E-2</v>
      </c>
      <c r="O40" s="140">
        <f t="shared" si="4"/>
        <v>-1.4609301702184663E-2</v>
      </c>
      <c r="P40" s="141">
        <f t="shared" si="5"/>
        <v>4.0314255820568301E-2</v>
      </c>
    </row>
    <row r="41" spans="2:16" s="45" customFormat="1">
      <c r="B41" s="50" t="s">
        <v>33</v>
      </c>
      <c r="C41" s="51" t="s">
        <v>34</v>
      </c>
      <c r="D41" s="52">
        <v>372</v>
      </c>
      <c r="E41" s="51" t="s">
        <v>34</v>
      </c>
      <c r="F41" s="51" t="s">
        <v>34</v>
      </c>
      <c r="G41" s="51" t="s">
        <v>34</v>
      </c>
      <c r="H41" s="51" t="s">
        <v>34</v>
      </c>
      <c r="I41" s="51" t="s">
        <v>34</v>
      </c>
      <c r="K41" s="122"/>
      <c r="L41" s="126"/>
      <c r="M41" s="126"/>
      <c r="N41" s="126"/>
      <c r="O41" s="126"/>
      <c r="P41" s="141"/>
    </row>
    <row r="42" spans="2:16" s="120" customFormat="1">
      <c r="B42" s="117" t="s">
        <v>35</v>
      </c>
      <c r="C42" s="119">
        <v>18020</v>
      </c>
      <c r="D42" s="119">
        <v>19251</v>
      </c>
      <c r="E42" s="119">
        <v>20339</v>
      </c>
      <c r="F42" s="119">
        <v>20760</v>
      </c>
      <c r="G42" s="119">
        <v>21698</v>
      </c>
      <c r="H42" s="119">
        <v>15902</v>
      </c>
      <c r="I42" s="119">
        <v>16748</v>
      </c>
      <c r="K42" s="139"/>
      <c r="L42" s="140">
        <f>D42/C42-1</f>
        <v>6.8312985571587159E-2</v>
      </c>
      <c r="M42" s="140">
        <f t="shared" ref="M42:O42" si="6">E42/D42-1</f>
        <v>5.6516544595085927E-2</v>
      </c>
      <c r="N42" s="140">
        <f t="shared" si="6"/>
        <v>2.0699149417375384E-2</v>
      </c>
      <c r="O42" s="140">
        <f t="shared" si="6"/>
        <v>4.5183044315992182E-2</v>
      </c>
      <c r="P42" s="141">
        <f t="shared" ref="P42:P56" si="7">AVERAGE(L42:O42)</f>
        <v>4.7677930975010163E-2</v>
      </c>
    </row>
    <row r="43" spans="2:16" s="45" customFormat="1">
      <c r="B43" s="46" t="s">
        <v>36</v>
      </c>
      <c r="C43" s="47"/>
      <c r="D43" s="47"/>
      <c r="E43" s="47"/>
      <c r="F43" s="47"/>
      <c r="G43" s="47"/>
      <c r="H43" s="47"/>
      <c r="I43" s="47"/>
      <c r="K43" s="122"/>
      <c r="L43" s="140"/>
      <c r="M43" s="140"/>
      <c r="N43" s="140"/>
      <c r="O43" s="140"/>
      <c r="P43" s="141"/>
    </row>
    <row r="44" spans="2:16" s="45" customFormat="1">
      <c r="B44" s="48" t="s">
        <v>26</v>
      </c>
      <c r="C44" s="49">
        <v>1821</v>
      </c>
      <c r="D44" s="49">
        <v>1937</v>
      </c>
      <c r="E44" s="49">
        <v>2181</v>
      </c>
      <c r="F44" s="49">
        <v>1654</v>
      </c>
      <c r="G44" s="49">
        <v>2899</v>
      </c>
      <c r="H44" s="49">
        <v>2098</v>
      </c>
      <c r="I44" s="49">
        <v>2522</v>
      </c>
      <c r="K44" s="122"/>
      <c r="L44" s="140"/>
      <c r="M44" s="140"/>
      <c r="N44" s="140"/>
      <c r="O44" s="140"/>
      <c r="P44" s="141"/>
    </row>
    <row r="45" spans="2:16" s="45" customFormat="1">
      <c r="B45" s="48" t="s">
        <v>27</v>
      </c>
      <c r="C45" s="53">
        <v>-390</v>
      </c>
      <c r="D45" s="53">
        <v>-250</v>
      </c>
      <c r="E45" s="53">
        <v>-281</v>
      </c>
      <c r="F45" s="53">
        <v>-67</v>
      </c>
      <c r="G45" s="53">
        <v>56</v>
      </c>
      <c r="H45" s="53">
        <v>19</v>
      </c>
      <c r="I45" s="53">
        <v>147</v>
      </c>
      <c r="K45" s="122"/>
      <c r="L45" s="140"/>
      <c r="M45" s="140"/>
      <c r="N45" s="140"/>
      <c r="O45" s="140"/>
      <c r="P45" s="141"/>
    </row>
    <row r="46" spans="2:16" s="45" customFormat="1">
      <c r="B46" s="48" t="s">
        <v>28</v>
      </c>
      <c r="C46" s="53">
        <v>125</v>
      </c>
      <c r="D46" s="53">
        <v>107</v>
      </c>
      <c r="E46" s="53">
        <v>129</v>
      </c>
      <c r="F46" s="53">
        <v>111</v>
      </c>
      <c r="G46" s="53">
        <v>135</v>
      </c>
      <c r="H46" s="53">
        <v>105</v>
      </c>
      <c r="I46" s="53">
        <v>85</v>
      </c>
      <c r="K46" s="122"/>
      <c r="L46" s="140"/>
      <c r="M46" s="140"/>
      <c r="N46" s="140"/>
      <c r="O46" s="140"/>
      <c r="P46" s="141"/>
    </row>
    <row r="47" spans="2:16" s="45" customFormat="1">
      <c r="B47" s="50" t="s">
        <v>37</v>
      </c>
      <c r="C47" s="51" t="s">
        <v>34</v>
      </c>
      <c r="D47" s="51" t="s">
        <v>34</v>
      </c>
      <c r="E47" s="51" t="s">
        <v>34</v>
      </c>
      <c r="F47" s="51" t="s">
        <v>34</v>
      </c>
      <c r="G47" s="51" t="s">
        <v>34</v>
      </c>
      <c r="H47" s="51" t="s">
        <v>34</v>
      </c>
      <c r="I47" s="52">
        <v>104</v>
      </c>
      <c r="K47" s="122"/>
      <c r="L47" s="140"/>
      <c r="M47" s="140"/>
      <c r="N47" s="140"/>
      <c r="O47" s="140"/>
      <c r="P47" s="141"/>
    </row>
    <row r="48" spans="2:16" s="120" customFormat="1">
      <c r="B48" s="117" t="s">
        <v>38</v>
      </c>
      <c r="C48" s="119">
        <v>1556</v>
      </c>
      <c r="D48" s="119">
        <v>1794</v>
      </c>
      <c r="E48" s="119">
        <v>2029</v>
      </c>
      <c r="F48" s="119">
        <v>1698</v>
      </c>
      <c r="G48" s="119">
        <v>3090</v>
      </c>
      <c r="H48" s="119">
        <v>2222</v>
      </c>
      <c r="I48" s="119">
        <v>2858</v>
      </c>
      <c r="K48" s="139"/>
      <c r="L48" s="140">
        <f t="shared" ref="L48:L56" si="8">D48/C48-1</f>
        <v>0.15295629820051415</v>
      </c>
      <c r="M48" s="140">
        <f t="shared" ref="M48:M56" si="9">E48/D48-1</f>
        <v>0.13099219620958746</v>
      </c>
      <c r="N48" s="140">
        <f t="shared" ref="N48:N56" si="10">F48/E48-1</f>
        <v>-0.16313454903893543</v>
      </c>
      <c r="O48" s="140">
        <f t="shared" ref="O48:O56" si="11">G48/F48-1</f>
        <v>0.81978798586572443</v>
      </c>
      <c r="P48" s="141">
        <f t="shared" si="7"/>
        <v>0.23515048280922266</v>
      </c>
    </row>
    <row r="49" spans="2:16" s="45" customFormat="1">
      <c r="B49" s="46" t="s">
        <v>39</v>
      </c>
      <c r="C49" s="47"/>
      <c r="D49" s="47"/>
      <c r="E49" s="47"/>
      <c r="F49" s="47"/>
      <c r="G49" s="47"/>
      <c r="H49" s="47"/>
      <c r="I49" s="47"/>
      <c r="K49" s="122"/>
      <c r="L49" s="140"/>
      <c r="M49" s="140"/>
      <c r="N49" s="140"/>
      <c r="O49" s="140"/>
      <c r="P49" s="141"/>
    </row>
    <row r="50" spans="2:16" s="45" customFormat="1">
      <c r="B50" s="48" t="s">
        <v>40</v>
      </c>
      <c r="C50" s="53">
        <v>13</v>
      </c>
      <c r="D50" s="53">
        <v>26</v>
      </c>
      <c r="E50" s="53">
        <v>39</v>
      </c>
      <c r="F50" s="53">
        <v>70</v>
      </c>
      <c r="G50" s="53">
        <v>84</v>
      </c>
      <c r="H50" s="53">
        <v>56</v>
      </c>
      <c r="I50" s="53">
        <v>115</v>
      </c>
      <c r="K50" s="122"/>
      <c r="L50" s="140"/>
      <c r="M50" s="140"/>
      <c r="N50" s="140"/>
      <c r="O50" s="140"/>
      <c r="P50" s="141"/>
    </row>
    <row r="51" spans="2:16" s="45" customFormat="1">
      <c r="B51" s="48" t="s">
        <v>41</v>
      </c>
      <c r="C51" s="53">
        <v>-29</v>
      </c>
      <c r="D51" s="53">
        <v>-77</v>
      </c>
      <c r="E51" s="53">
        <v>-95</v>
      </c>
      <c r="F51" s="53">
        <v>-187</v>
      </c>
      <c r="G51" s="53">
        <v>-227</v>
      </c>
      <c r="H51" s="53">
        <v>-169</v>
      </c>
      <c r="I51" s="53">
        <v>-170</v>
      </c>
      <c r="K51" s="122"/>
      <c r="L51" s="140"/>
      <c r="M51" s="140"/>
      <c r="N51" s="140"/>
      <c r="O51" s="140"/>
      <c r="P51" s="141"/>
    </row>
    <row r="52" spans="2:16" s="45" customFormat="1">
      <c r="B52" s="48" t="s">
        <v>42</v>
      </c>
      <c r="C52" s="54" t="s">
        <v>34</v>
      </c>
      <c r="D52" s="54" t="s">
        <v>34</v>
      </c>
      <c r="E52" s="54" t="s">
        <v>34</v>
      </c>
      <c r="F52" s="54" t="s">
        <v>34</v>
      </c>
      <c r="G52" s="54" t="s">
        <v>34</v>
      </c>
      <c r="H52" s="54" t="s">
        <v>34</v>
      </c>
      <c r="I52" s="49">
        <v>-1786</v>
      </c>
      <c r="K52" s="122"/>
      <c r="L52" s="140"/>
      <c r="M52" s="140"/>
      <c r="N52" s="140"/>
      <c r="O52" s="140"/>
      <c r="P52" s="141"/>
    </row>
    <row r="53" spans="2:16" s="45" customFormat="1">
      <c r="B53" s="50" t="s">
        <v>43</v>
      </c>
      <c r="C53" s="52">
        <v>35</v>
      </c>
      <c r="D53" s="52">
        <v>-35</v>
      </c>
      <c r="E53" s="52">
        <v>-63</v>
      </c>
      <c r="F53" s="52" t="s">
        <v>44</v>
      </c>
      <c r="G53" s="52">
        <v>-45</v>
      </c>
      <c r="H53" s="52">
        <v>-3</v>
      </c>
      <c r="I53" s="52">
        <v>-30</v>
      </c>
      <c r="K53" s="122"/>
      <c r="L53" s="140"/>
      <c r="M53" s="140"/>
      <c r="N53" s="140"/>
      <c r="O53" s="140"/>
      <c r="P53" s="141"/>
    </row>
    <row r="54" spans="2:16" s="120" customFormat="1">
      <c r="B54" s="117" t="s">
        <v>45</v>
      </c>
      <c r="C54" s="119">
        <v>1575</v>
      </c>
      <c r="D54" s="119">
        <v>1708</v>
      </c>
      <c r="E54" s="119">
        <v>1910</v>
      </c>
      <c r="F54" s="119">
        <v>1553</v>
      </c>
      <c r="G54" s="119">
        <v>2902</v>
      </c>
      <c r="H54" s="119">
        <v>2106</v>
      </c>
      <c r="I54" s="118">
        <v>987</v>
      </c>
      <c r="K54" s="139"/>
      <c r="L54" s="140">
        <f t="shared" si="8"/>
        <v>8.4444444444444544E-2</v>
      </c>
      <c r="M54" s="140">
        <f t="shared" si="9"/>
        <v>0.11826697892271665</v>
      </c>
      <c r="N54" s="140">
        <f t="shared" si="10"/>
        <v>-0.18691099476439788</v>
      </c>
      <c r="O54" s="140">
        <f t="shared" si="11"/>
        <v>0.86864133934320664</v>
      </c>
      <c r="P54" s="141">
        <f t="shared" si="7"/>
        <v>0.22111044198649249</v>
      </c>
    </row>
    <row r="55" spans="2:16" s="45" customFormat="1">
      <c r="B55" s="43" t="s">
        <v>46</v>
      </c>
      <c r="C55" s="55">
        <v>632</v>
      </c>
      <c r="D55" s="55">
        <v>665</v>
      </c>
      <c r="E55" s="55">
        <v>764</v>
      </c>
      <c r="F55" s="55">
        <v>644</v>
      </c>
      <c r="G55" s="44">
        <v>1161</v>
      </c>
      <c r="H55" s="55">
        <v>847</v>
      </c>
      <c r="I55" s="55">
        <v>765</v>
      </c>
      <c r="K55" s="122"/>
      <c r="L55" s="140"/>
      <c r="M55" s="140"/>
      <c r="N55" s="140"/>
      <c r="O55" s="140"/>
      <c r="P55" s="141"/>
    </row>
    <row r="56" spans="2:16" s="120" customFormat="1">
      <c r="B56" s="117" t="s">
        <v>47</v>
      </c>
      <c r="C56" s="118">
        <v>943</v>
      </c>
      <c r="D56" s="119">
        <v>1043</v>
      </c>
      <c r="E56" s="119">
        <v>1146</v>
      </c>
      <c r="F56" s="118">
        <v>909</v>
      </c>
      <c r="G56" s="119">
        <v>1741</v>
      </c>
      <c r="H56" s="119">
        <v>1259</v>
      </c>
      <c r="I56" s="118">
        <v>222</v>
      </c>
      <c r="K56" s="139"/>
      <c r="L56" s="140">
        <f t="shared" si="8"/>
        <v>0.10604453870625652</v>
      </c>
      <c r="M56" s="140">
        <f t="shared" si="9"/>
        <v>9.8753595397890637E-2</v>
      </c>
      <c r="N56" s="140">
        <f t="shared" si="10"/>
        <v>-0.20680628272251311</v>
      </c>
      <c r="O56" s="140">
        <f t="shared" si="11"/>
        <v>0.91529152915291534</v>
      </c>
      <c r="P56" s="141">
        <f t="shared" si="7"/>
        <v>0.22832084513363735</v>
      </c>
    </row>
    <row r="57" spans="2:16" s="45" customFormat="1">
      <c r="B57" s="46" t="s">
        <v>48</v>
      </c>
      <c r="C57" s="47"/>
      <c r="D57" s="47"/>
      <c r="E57" s="47"/>
      <c r="F57" s="47"/>
      <c r="G57" s="47"/>
      <c r="H57" s="47"/>
      <c r="I57" s="47"/>
      <c r="K57" s="122"/>
      <c r="L57" s="122"/>
      <c r="M57" s="122"/>
      <c r="N57" s="122"/>
      <c r="O57" s="122"/>
      <c r="P57" s="122"/>
    </row>
    <row r="58" spans="2:16" s="45" customFormat="1">
      <c r="B58" s="48" t="s">
        <v>49</v>
      </c>
      <c r="C58" s="53">
        <v>0.84</v>
      </c>
      <c r="D58" s="53">
        <v>0.93</v>
      </c>
      <c r="E58" s="53">
        <v>1.03</v>
      </c>
      <c r="F58" s="53">
        <v>0.82</v>
      </c>
      <c r="G58" s="53">
        <v>1.59</v>
      </c>
      <c r="H58" s="53">
        <v>1.1599999999999999</v>
      </c>
      <c r="I58" s="53">
        <v>0.2</v>
      </c>
      <c r="J58" s="122" t="s">
        <v>651</v>
      </c>
      <c r="K58" s="122"/>
      <c r="L58" s="122"/>
      <c r="M58" s="122"/>
      <c r="N58" s="122"/>
      <c r="O58" s="122"/>
      <c r="P58" s="122"/>
    </row>
    <row r="59" spans="2:16" s="45" customFormat="1">
      <c r="B59" s="48" t="s">
        <v>50</v>
      </c>
      <c r="C59" s="53">
        <v>0.82</v>
      </c>
      <c r="D59" s="53">
        <v>0.92</v>
      </c>
      <c r="E59" s="53">
        <v>1.01</v>
      </c>
      <c r="F59" s="53">
        <v>0.81</v>
      </c>
      <c r="G59" s="53">
        <v>1.57</v>
      </c>
      <c r="H59" s="53">
        <v>1.1399999999999999</v>
      </c>
      <c r="I59" s="53">
        <v>0.2</v>
      </c>
      <c r="J59" s="122">
        <f>G56/G58</f>
        <v>1094.9685534591194</v>
      </c>
      <c r="K59" s="122"/>
      <c r="L59" s="122"/>
      <c r="M59" s="122"/>
      <c r="N59" s="122"/>
      <c r="O59" s="122"/>
      <c r="P59" s="122"/>
    </row>
    <row r="60" spans="2:16" s="45" customFormat="1">
      <c r="B60" s="48" t="s">
        <v>51</v>
      </c>
      <c r="C60" s="53">
        <v>0.28000000000000003</v>
      </c>
      <c r="D60" s="53">
        <v>0.32</v>
      </c>
      <c r="E60" s="53">
        <v>0.34</v>
      </c>
      <c r="F60" s="53">
        <v>0.35</v>
      </c>
      <c r="G60" s="53">
        <v>0.43</v>
      </c>
      <c r="H60" s="53">
        <v>0.2</v>
      </c>
      <c r="I60" s="53">
        <v>0.28000000000000003</v>
      </c>
      <c r="K60" s="122"/>
      <c r="L60" s="122"/>
      <c r="M60" s="122"/>
      <c r="N60" s="122"/>
      <c r="O60" s="122"/>
      <c r="P60" s="122"/>
    </row>
    <row r="61" spans="2:16">
      <c r="B61" s="31" t="s">
        <v>52</v>
      </c>
      <c r="C61" s="39">
        <v>943</v>
      </c>
      <c r="D61" s="32">
        <v>1043</v>
      </c>
      <c r="E61" s="32">
        <v>1146</v>
      </c>
      <c r="F61" s="39">
        <v>909</v>
      </c>
      <c r="G61" s="32">
        <v>1741</v>
      </c>
      <c r="H61" s="32">
        <v>1259</v>
      </c>
      <c r="I61" s="32">
        <v>1664</v>
      </c>
      <c r="K61" s="122"/>
      <c r="L61" s="122"/>
      <c r="M61" s="122"/>
      <c r="N61" s="122"/>
      <c r="O61" s="122"/>
      <c r="P61" s="122"/>
    </row>
    <row r="62" spans="2:16">
      <c r="B62" s="33" t="s">
        <v>53</v>
      </c>
      <c r="C62" s="42">
        <v>4.8000000000000001E-2</v>
      </c>
      <c r="D62" s="42">
        <v>0.05</v>
      </c>
      <c r="E62" s="42">
        <v>5.0999999999999997E-2</v>
      </c>
      <c r="F62" s="42">
        <v>0.04</v>
      </c>
      <c r="G62" s="42">
        <v>7.0000000000000007E-2</v>
      </c>
      <c r="H62" s="42">
        <v>7.0000000000000007E-2</v>
      </c>
      <c r="I62" s="42">
        <v>8.5000000000000006E-2</v>
      </c>
      <c r="K62" s="122"/>
      <c r="L62" s="122"/>
      <c r="M62" s="122"/>
      <c r="N62" s="122"/>
      <c r="O62" s="122"/>
      <c r="P62" s="122"/>
    </row>
    <row r="63" spans="2:16">
      <c r="B63" s="383" t="s">
        <v>54</v>
      </c>
      <c r="C63" s="383"/>
      <c r="D63" s="383"/>
      <c r="E63" s="383"/>
      <c r="F63" s="383"/>
      <c r="G63" s="383"/>
      <c r="H63" s="383"/>
      <c r="I63" s="383"/>
    </row>
    <row r="65" spans="2:8">
      <c r="B65" s="56" t="s">
        <v>55</v>
      </c>
      <c r="C65" s="57"/>
      <c r="D65" s="57"/>
    </row>
    <row r="66" spans="2:8">
      <c r="B66" s="58"/>
      <c r="C66" s="58"/>
      <c r="D66" s="58"/>
    </row>
    <row r="67" spans="2:8">
      <c r="B67" s="78" t="s">
        <v>56</v>
      </c>
      <c r="C67" s="31"/>
      <c r="D67" s="31"/>
    </row>
    <row r="68" spans="2:8">
      <c r="B68" s="31" t="s">
        <v>57</v>
      </c>
      <c r="C68" s="31"/>
      <c r="D68" s="31"/>
      <c r="F68" s="386" t="s">
        <v>517</v>
      </c>
      <c r="G68" s="386"/>
      <c r="H68" s="386"/>
    </row>
    <row r="69" spans="2:8">
      <c r="B69" s="31" t="s">
        <v>58</v>
      </c>
      <c r="C69" s="31"/>
      <c r="D69" s="31"/>
      <c r="F69" s="139"/>
      <c r="G69" s="139"/>
      <c r="H69" s="139"/>
    </row>
    <row r="70" spans="2:8">
      <c r="B70" s="33" t="s">
        <v>59</v>
      </c>
      <c r="C70" s="34">
        <v>1997</v>
      </c>
      <c r="D70" s="34">
        <v>1998</v>
      </c>
      <c r="F70" s="142">
        <f>C70</f>
        <v>1997</v>
      </c>
      <c r="G70" s="142">
        <f>D70</f>
        <v>1998</v>
      </c>
      <c r="H70" s="142" t="s">
        <v>505</v>
      </c>
    </row>
    <row r="71" spans="2:8" ht="16" customHeight="1">
      <c r="B71" s="25" t="s">
        <v>60</v>
      </c>
      <c r="C71" s="35"/>
      <c r="D71" s="35"/>
    </row>
    <row r="72" spans="2:8">
      <c r="B72" s="31" t="s">
        <v>61</v>
      </c>
      <c r="C72" s="39"/>
      <c r="D72" s="39"/>
    </row>
    <row r="73" spans="2:8">
      <c r="B73" s="31" t="s">
        <v>62</v>
      </c>
      <c r="C73" s="39">
        <v>460</v>
      </c>
      <c r="D73" s="32">
        <v>1240</v>
      </c>
      <c r="F73" s="126">
        <f t="shared" ref="F73:F79" si="12">C73/$F$37</f>
        <v>2.0482678778163683E-2</v>
      </c>
      <c r="G73" s="126">
        <f t="shared" ref="G73:G79" si="13">D73/$G$37</f>
        <v>5.0024205260609973E-2</v>
      </c>
      <c r="H73" s="126">
        <f t="shared" ref="H73:H79" si="14">AVERAGE(F73:G73)</f>
        <v>3.5253442019386828E-2</v>
      </c>
    </row>
    <row r="74" spans="2:8">
      <c r="B74" s="31" t="s">
        <v>63</v>
      </c>
      <c r="C74" s="40" t="s">
        <v>34</v>
      </c>
      <c r="D74" s="39">
        <v>389</v>
      </c>
      <c r="F74" s="126"/>
      <c r="G74" s="126">
        <f t="shared" si="13"/>
        <v>1.5693077295465548E-2</v>
      </c>
      <c r="H74" s="126"/>
    </row>
    <row r="75" spans="2:8">
      <c r="B75" s="31" t="s">
        <v>64</v>
      </c>
      <c r="C75" s="32">
        <v>2405</v>
      </c>
      <c r="D75" s="32">
        <v>2713</v>
      </c>
      <c r="F75" s="126">
        <f t="shared" si="12"/>
        <v>0.10708878795974708</v>
      </c>
      <c r="G75" s="126">
        <f t="shared" si="13"/>
        <v>0.10944812005809262</v>
      </c>
      <c r="H75" s="126">
        <f t="shared" si="14"/>
        <v>0.10826845400891985</v>
      </c>
    </row>
    <row r="76" spans="2:8">
      <c r="B76" s="31" t="s">
        <v>65</v>
      </c>
      <c r="C76" s="39">
        <v>669</v>
      </c>
      <c r="D76" s="39">
        <v>703</v>
      </c>
      <c r="F76" s="126">
        <f t="shared" si="12"/>
        <v>2.9788939353459793E-2</v>
      </c>
      <c r="G76" s="126">
        <f t="shared" si="13"/>
        <v>2.8360497014684526E-2</v>
      </c>
      <c r="H76" s="126">
        <f t="shared" si="14"/>
        <v>2.907471818407216E-2</v>
      </c>
    </row>
    <row r="77" spans="2:8">
      <c r="B77" s="31" t="s">
        <v>66</v>
      </c>
      <c r="C77" s="39">
        <v>417</v>
      </c>
      <c r="D77" s="39">
        <v>380</v>
      </c>
      <c r="F77" s="126">
        <f t="shared" si="12"/>
        <v>1.856799358803099E-2</v>
      </c>
      <c r="G77" s="126">
        <f t="shared" si="13"/>
        <v>1.5329998386315959E-2</v>
      </c>
      <c r="H77" s="126">
        <f t="shared" si="14"/>
        <v>1.6948995987173476E-2</v>
      </c>
    </row>
    <row r="78" spans="2:8" ht="16" customHeight="1">
      <c r="B78" s="33" t="s">
        <v>67</v>
      </c>
      <c r="C78" s="34">
        <v>526</v>
      </c>
      <c r="D78" s="36" t="s">
        <v>34</v>
      </c>
      <c r="F78" s="126">
        <f t="shared" si="12"/>
        <v>2.3421497907204561E-2</v>
      </c>
      <c r="G78" s="126"/>
      <c r="H78" s="126"/>
    </row>
    <row r="79" spans="2:8" s="121" customFormat="1" ht="16" customHeight="1">
      <c r="B79" s="74" t="s">
        <v>68</v>
      </c>
      <c r="C79" s="116">
        <v>4477</v>
      </c>
      <c r="D79" s="116">
        <v>5425</v>
      </c>
      <c r="F79" s="126">
        <f t="shared" si="12"/>
        <v>0.19934989758660612</v>
      </c>
      <c r="G79" s="126">
        <f t="shared" si="13"/>
        <v>0.21885589801516864</v>
      </c>
      <c r="H79" s="126">
        <f t="shared" si="14"/>
        <v>0.20910289780088737</v>
      </c>
    </row>
    <row r="80" spans="2:8">
      <c r="B80" s="25" t="s">
        <v>69</v>
      </c>
      <c r="C80" s="35"/>
      <c r="D80" s="35"/>
      <c r="F80" s="126"/>
      <c r="G80" s="126"/>
      <c r="H80" s="126"/>
    </row>
    <row r="81" spans="2:8">
      <c r="B81" s="31" t="s">
        <v>70</v>
      </c>
      <c r="C81" s="32">
        <v>3519</v>
      </c>
      <c r="D81" s="32">
        <v>3482</v>
      </c>
      <c r="F81" s="126">
        <f>C81/$F$37</f>
        <v>0.15669249265295218</v>
      </c>
      <c r="G81" s="126">
        <f>D81/$G$37</f>
        <v>0.14047119573987413</v>
      </c>
      <c r="H81" s="126">
        <f>AVERAGE(F81:G81)</f>
        <v>0.14858184419641315</v>
      </c>
    </row>
    <row r="82" spans="2:8">
      <c r="B82" s="31" t="s">
        <v>71</v>
      </c>
      <c r="C82" s="32">
        <v>6771</v>
      </c>
      <c r="D82" s="32">
        <v>7739</v>
      </c>
      <c r="F82" s="126">
        <f>C82/$F$37</f>
        <v>0.30149612610205717</v>
      </c>
      <c r="G82" s="126">
        <f>D82/$G$37</f>
        <v>0.3122075197676295</v>
      </c>
      <c r="H82" s="126">
        <f t="shared" ref="H82:H87" si="15">AVERAGE(F82:G82)</f>
        <v>0.30685182293484337</v>
      </c>
    </row>
    <row r="83" spans="2:8">
      <c r="B83" s="31" t="s">
        <v>72</v>
      </c>
      <c r="C83" s="39">
        <v>654</v>
      </c>
      <c r="D83" s="39">
        <v>651</v>
      </c>
      <c r="F83" s="126">
        <f t="shared" ref="F83:F87" si="16">C83/$F$37</f>
        <v>2.9121025915041409E-2</v>
      </c>
      <c r="G83" s="126">
        <f t="shared" ref="G83:G87" si="17">D83/$G$37</f>
        <v>2.6262707761820235E-2</v>
      </c>
      <c r="H83" s="126">
        <f t="shared" si="15"/>
        <v>2.769186683843082E-2</v>
      </c>
    </row>
    <row r="84" spans="2:8">
      <c r="B84" s="31" t="s">
        <v>73</v>
      </c>
      <c r="C84" s="32">
        <v>1433</v>
      </c>
      <c r="D84" s="32">
        <v>1478</v>
      </c>
      <c r="F84" s="126">
        <f t="shared" si="16"/>
        <v>6.3807997150235995E-2</v>
      </c>
      <c r="G84" s="126">
        <f t="shared" si="17"/>
        <v>5.9625625302565759E-2</v>
      </c>
      <c r="H84" s="126">
        <f t="shared" si="15"/>
        <v>6.1716811226400881E-2</v>
      </c>
    </row>
    <row r="85" spans="2:8">
      <c r="B85" s="31" t="s">
        <v>74</v>
      </c>
      <c r="C85" s="32">
        <v>1734</v>
      </c>
      <c r="D85" s="32">
        <v>1803</v>
      </c>
      <c r="F85" s="126">
        <f t="shared" si="16"/>
        <v>7.7210793481164844E-2</v>
      </c>
      <c r="G85" s="126">
        <f t="shared" si="17"/>
        <v>7.2736808132967568E-2</v>
      </c>
      <c r="H85" s="126">
        <f t="shared" si="15"/>
        <v>7.4973800807066199E-2</v>
      </c>
    </row>
    <row r="86" spans="2:8">
      <c r="B86" s="31" t="s">
        <v>75</v>
      </c>
      <c r="C86" s="32">
        <v>4063</v>
      </c>
      <c r="D86" s="32">
        <v>4144</v>
      </c>
      <c r="F86" s="126">
        <f t="shared" si="16"/>
        <v>0.18091548668625879</v>
      </c>
      <c r="G86" s="126">
        <f t="shared" si="17"/>
        <v>0.1671776666128772</v>
      </c>
      <c r="H86" s="126">
        <f t="shared" si="15"/>
        <v>0.17404657664956799</v>
      </c>
    </row>
    <row r="87" spans="2:8">
      <c r="B87" s="33" t="s">
        <v>76</v>
      </c>
      <c r="C87" s="34">
        <v>328</v>
      </c>
      <c r="D87" s="34">
        <v>257</v>
      </c>
      <c r="F87" s="126">
        <f t="shared" si="16"/>
        <v>1.460504052008193E-2</v>
      </c>
      <c r="G87" s="126">
        <f t="shared" si="17"/>
        <v>1.0367919961271583E-2</v>
      </c>
      <c r="H87" s="126">
        <f t="shared" si="15"/>
        <v>1.2486480240676757E-2</v>
      </c>
    </row>
    <row r="88" spans="2:8">
      <c r="B88" s="25"/>
      <c r="C88" s="59">
        <v>18502</v>
      </c>
      <c r="D88" s="59">
        <v>19554</v>
      </c>
      <c r="F88" s="126">
        <f>C88/$F$37</f>
        <v>0.82384896250779227</v>
      </c>
      <c r="G88" s="126">
        <f t="shared" ref="G88" si="18">D88/$G$37</f>
        <v>0.78884944327900597</v>
      </c>
      <c r="H88" s="126">
        <f t="shared" ref="H88" si="19">AVERAGE(F88:G88)</f>
        <v>0.80634920289339918</v>
      </c>
    </row>
    <row r="89" spans="2:8">
      <c r="B89" s="33" t="s">
        <v>77</v>
      </c>
      <c r="C89" s="60">
        <v>7495</v>
      </c>
      <c r="D89" s="60">
        <v>8170</v>
      </c>
      <c r="F89" s="126"/>
      <c r="G89" s="126"/>
      <c r="H89" s="126"/>
    </row>
    <row r="90" spans="2:8" s="121" customFormat="1">
      <c r="B90" s="74" t="s">
        <v>78</v>
      </c>
      <c r="C90" s="116">
        <v>11007</v>
      </c>
      <c r="D90" s="116">
        <v>11384</v>
      </c>
      <c r="F90" s="126"/>
      <c r="G90" s="126"/>
      <c r="H90" s="126"/>
    </row>
    <row r="91" spans="2:8" s="121" customFormat="1">
      <c r="B91" s="74" t="s">
        <v>79</v>
      </c>
      <c r="C91" s="75">
        <v>428</v>
      </c>
      <c r="D91" s="75">
        <v>258</v>
      </c>
      <c r="F91" s="126"/>
      <c r="G91" s="126"/>
      <c r="H91" s="126"/>
    </row>
    <row r="92" spans="2:8">
      <c r="B92" s="74" t="s">
        <v>80</v>
      </c>
      <c r="C92" s="116">
        <v>15912</v>
      </c>
      <c r="D92" s="116">
        <v>17067</v>
      </c>
      <c r="F92" s="126">
        <f t="shared" ref="F92:F100" si="20">C92/$F$37</f>
        <v>0.7085225754742186</v>
      </c>
      <c r="G92" s="126">
        <f t="shared" ref="G92:G100" si="21">D92/$G$37</f>
        <v>0.68851863805066971</v>
      </c>
      <c r="H92" s="126">
        <f t="shared" ref="H92:H100" si="22">AVERAGE(F92:G92)</f>
        <v>0.6985206067624441</v>
      </c>
    </row>
    <row r="93" spans="2:8">
      <c r="B93" s="25" t="s">
        <v>81</v>
      </c>
      <c r="C93" s="35"/>
      <c r="D93" s="35"/>
      <c r="F93" s="126"/>
      <c r="G93" s="126"/>
      <c r="H93" s="126"/>
    </row>
    <row r="94" spans="2:8">
      <c r="B94" s="31" t="s">
        <v>82</v>
      </c>
      <c r="C94" s="39"/>
      <c r="D94" s="39"/>
      <c r="F94" s="126"/>
      <c r="G94" s="126"/>
      <c r="H94" s="126"/>
    </row>
    <row r="95" spans="2:8">
      <c r="B95" s="31" t="s">
        <v>83</v>
      </c>
      <c r="C95" s="32">
        <v>1207</v>
      </c>
      <c r="D95" s="32">
        <v>1322</v>
      </c>
      <c r="F95" s="126">
        <f t="shared" si="20"/>
        <v>5.3744768011399054E-2</v>
      </c>
      <c r="G95" s="126">
        <f t="shared" si="21"/>
        <v>5.3332257543972889E-2</v>
      </c>
      <c r="H95" s="126">
        <f t="shared" si="22"/>
        <v>5.3538512777685968E-2</v>
      </c>
    </row>
    <row r="96" spans="2:8">
      <c r="B96" s="31" t="s">
        <v>84</v>
      </c>
      <c r="C96" s="32">
        <v>1194</v>
      </c>
      <c r="D96" s="32">
        <v>1092</v>
      </c>
      <c r="F96" s="126">
        <f t="shared" si="20"/>
        <v>5.3165909698103128E-2</v>
      </c>
      <c r="G96" s="126">
        <f t="shared" si="21"/>
        <v>4.405357431015007E-2</v>
      </c>
      <c r="H96" s="126">
        <f t="shared" si="22"/>
        <v>4.8609742004126599E-2</v>
      </c>
    </row>
    <row r="97" spans="2:8">
      <c r="B97" s="31" t="s">
        <v>85</v>
      </c>
      <c r="C97" s="39">
        <v>191</v>
      </c>
      <c r="D97" s="39">
        <v>247</v>
      </c>
      <c r="F97" s="126">
        <f t="shared" si="20"/>
        <v>8.5047644491940515E-3</v>
      </c>
      <c r="G97" s="126">
        <f t="shared" si="21"/>
        <v>9.9644989511053737E-3</v>
      </c>
      <c r="H97" s="126">
        <f t="shared" si="22"/>
        <v>9.2346317001497126E-3</v>
      </c>
    </row>
    <row r="98" spans="2:8">
      <c r="B98" s="31" t="s">
        <v>86</v>
      </c>
      <c r="C98" s="39">
        <v>140</v>
      </c>
      <c r="D98" s="40" t="s">
        <v>34</v>
      </c>
      <c r="F98" s="126"/>
      <c r="G98" s="126"/>
      <c r="H98" s="126"/>
    </row>
    <row r="99" spans="2:8">
      <c r="B99" s="31" t="s">
        <v>87</v>
      </c>
      <c r="C99" s="39">
        <v>41</v>
      </c>
      <c r="D99" s="39">
        <v>410</v>
      </c>
      <c r="F99" s="126">
        <f t="shared" si="20"/>
        <v>1.8256300650102413E-3</v>
      </c>
      <c r="G99" s="126">
        <f t="shared" si="21"/>
        <v>1.6540261416814587E-2</v>
      </c>
      <c r="H99" s="126">
        <f t="shared" si="22"/>
        <v>9.1829457409124144E-3</v>
      </c>
    </row>
    <row r="100" spans="2:8">
      <c r="B100" s="33" t="s">
        <v>88</v>
      </c>
      <c r="C100" s="34">
        <v>625</v>
      </c>
      <c r="D100" s="34">
        <v>646</v>
      </c>
      <c r="F100" s="126">
        <f t="shared" si="20"/>
        <v>2.7829726600765874E-2</v>
      </c>
      <c r="G100" s="126">
        <f t="shared" si="21"/>
        <v>2.606099725673713E-2</v>
      </c>
      <c r="H100" s="126">
        <f t="shared" si="22"/>
        <v>2.69453619287515E-2</v>
      </c>
    </row>
    <row r="101" spans="2:8" s="121" customFormat="1">
      <c r="B101" s="74" t="s">
        <v>89</v>
      </c>
      <c r="C101" s="116">
        <v>3398</v>
      </c>
      <c r="D101" s="116">
        <v>3717</v>
      </c>
      <c r="F101" s="195" t="s">
        <v>505</v>
      </c>
    </row>
    <row r="102" spans="2:8" ht="28">
      <c r="B102" s="61" t="s">
        <v>90</v>
      </c>
      <c r="C102" s="38">
        <v>2583</v>
      </c>
      <c r="D102" s="38">
        <v>2191</v>
      </c>
      <c r="F102" s="125">
        <f>AVERAGE(C102:D102)</f>
        <v>2387</v>
      </c>
    </row>
    <row r="103" spans="2:8" ht="28">
      <c r="B103" s="61" t="s">
        <v>91</v>
      </c>
      <c r="C103" s="41">
        <v>911</v>
      </c>
      <c r="D103" s="41">
        <v>969</v>
      </c>
    </row>
    <row r="104" spans="2:8" ht="28">
      <c r="B104" s="61" t="s">
        <v>92</v>
      </c>
      <c r="C104" s="38">
        <v>2933</v>
      </c>
      <c r="D104" s="38">
        <v>3017</v>
      </c>
    </row>
    <row r="105" spans="2:8">
      <c r="B105" s="62" t="s">
        <v>93</v>
      </c>
      <c r="C105" s="59"/>
      <c r="D105" s="35"/>
    </row>
    <row r="106" spans="2:8" ht="42">
      <c r="B106" s="63" t="s">
        <v>94</v>
      </c>
      <c r="C106" s="64" t="s">
        <v>34</v>
      </c>
      <c r="D106" s="64" t="s">
        <v>34</v>
      </c>
    </row>
    <row r="107" spans="2:8" ht="56">
      <c r="B107" s="63" t="s">
        <v>95</v>
      </c>
      <c r="C107" s="39"/>
      <c r="D107" s="39"/>
    </row>
    <row r="108" spans="2:8" ht="56">
      <c r="B108" s="63" t="s">
        <v>96</v>
      </c>
      <c r="C108" s="65">
        <v>56</v>
      </c>
      <c r="D108" s="65">
        <v>11</v>
      </c>
    </row>
    <row r="109" spans="2:8">
      <c r="B109" s="66" t="s">
        <v>97</v>
      </c>
      <c r="C109" s="36" t="s">
        <v>34</v>
      </c>
      <c r="D109" s="34">
        <v>325</v>
      </c>
    </row>
    <row r="110" spans="2:8">
      <c r="B110" s="61" t="s">
        <v>98</v>
      </c>
      <c r="C110" s="38">
        <v>6112</v>
      </c>
      <c r="D110" s="38">
        <v>7325</v>
      </c>
    </row>
    <row r="111" spans="2:8">
      <c r="B111" s="62" t="s">
        <v>99</v>
      </c>
      <c r="C111" s="35">
        <v>-81</v>
      </c>
      <c r="D111" s="35">
        <v>-63</v>
      </c>
    </row>
    <row r="112" spans="2:8" ht="28">
      <c r="B112" s="66" t="s">
        <v>100</v>
      </c>
      <c r="C112" s="36" t="s">
        <v>34</v>
      </c>
      <c r="D112" s="36" t="s">
        <v>34</v>
      </c>
    </row>
    <row r="113" spans="2:8">
      <c r="B113" s="62"/>
      <c r="C113" s="59">
        <v>6087</v>
      </c>
      <c r="D113" s="59">
        <v>7598</v>
      </c>
    </row>
    <row r="114" spans="2:8" ht="28">
      <c r="B114" s="66" t="s">
        <v>101</v>
      </c>
      <c r="C114" s="36" t="s">
        <v>34</v>
      </c>
      <c r="D114" s="34">
        <v>-425</v>
      </c>
    </row>
    <row r="115" spans="2:8" s="121" customFormat="1">
      <c r="B115" s="69"/>
      <c r="C115" s="116">
        <v>6087</v>
      </c>
      <c r="D115" s="116">
        <v>7173</v>
      </c>
    </row>
    <row r="116" spans="2:8" s="121" customFormat="1" ht="28">
      <c r="B116" s="69" t="s">
        <v>102</v>
      </c>
      <c r="C116" s="116">
        <v>15912</v>
      </c>
      <c r="D116" s="116">
        <v>17067</v>
      </c>
    </row>
    <row r="117" spans="2:8">
      <c r="B117" s="383" t="s">
        <v>54</v>
      </c>
      <c r="C117" s="383"/>
      <c r="D117" s="383"/>
    </row>
    <row r="119" spans="2:8">
      <c r="B119" s="67" t="s">
        <v>55</v>
      </c>
      <c r="C119" s="57"/>
      <c r="D119" s="57"/>
      <c r="E119" s="58"/>
      <c r="F119" s="58"/>
      <c r="G119" s="58"/>
      <c r="H119" s="58"/>
    </row>
    <row r="120" spans="2:8">
      <c r="B120" s="57"/>
      <c r="C120" s="57"/>
      <c r="D120" s="57"/>
      <c r="E120" s="58"/>
      <c r="F120" s="58"/>
      <c r="G120" s="58"/>
      <c r="H120" s="58"/>
    </row>
    <row r="121" spans="2:8">
      <c r="B121" s="58"/>
      <c r="C121" s="58"/>
      <c r="D121" s="58"/>
      <c r="E121" s="58"/>
      <c r="F121" s="58"/>
      <c r="G121" s="58"/>
      <c r="H121" s="58"/>
    </row>
    <row r="122" spans="2:8">
      <c r="B122" s="10" t="s">
        <v>103</v>
      </c>
      <c r="C122" s="385" t="s">
        <v>104</v>
      </c>
      <c r="D122" s="385"/>
      <c r="E122" s="385"/>
      <c r="F122" s="385"/>
      <c r="G122" s="385"/>
      <c r="H122" s="68" t="s">
        <v>105</v>
      </c>
    </row>
    <row r="123" spans="2:8" ht="28">
      <c r="B123" s="69" t="s">
        <v>106</v>
      </c>
      <c r="C123" s="70">
        <v>1994</v>
      </c>
      <c r="D123" s="70">
        <v>1995</v>
      </c>
      <c r="E123" s="70">
        <v>1996</v>
      </c>
      <c r="F123" s="70">
        <v>1997</v>
      </c>
      <c r="G123" s="70">
        <v>1998</v>
      </c>
      <c r="H123" s="70" t="s">
        <v>107</v>
      </c>
    </row>
    <row r="124" spans="2:8">
      <c r="B124" s="25" t="s">
        <v>108</v>
      </c>
      <c r="C124" s="71">
        <v>120</v>
      </c>
      <c r="D124" s="71">
        <v>261</v>
      </c>
      <c r="E124" s="71">
        <v>1097</v>
      </c>
      <c r="F124" s="71">
        <v>1079</v>
      </c>
      <c r="G124" s="71">
        <v>1708</v>
      </c>
      <c r="H124" s="71">
        <v>434</v>
      </c>
    </row>
    <row r="125" spans="2:8">
      <c r="B125" s="31" t="s">
        <v>109</v>
      </c>
      <c r="C125" s="72">
        <v>1127</v>
      </c>
      <c r="D125" s="72">
        <v>1729</v>
      </c>
      <c r="E125" s="72">
        <v>2573</v>
      </c>
      <c r="F125" s="72">
        <v>2583</v>
      </c>
      <c r="G125" s="72">
        <v>2191</v>
      </c>
      <c r="H125" s="72">
        <v>2138</v>
      </c>
    </row>
    <row r="126" spans="2:8">
      <c r="B126" s="31" t="s">
        <v>110</v>
      </c>
      <c r="C126" s="72">
        <v>11182</v>
      </c>
      <c r="D126" s="72">
        <v>12645</v>
      </c>
      <c r="E126" s="72">
        <v>14954</v>
      </c>
      <c r="F126" s="72">
        <v>15912</v>
      </c>
      <c r="G126" s="72">
        <v>17067</v>
      </c>
      <c r="H126" s="72">
        <v>18302</v>
      </c>
    </row>
    <row r="127" spans="2:8">
      <c r="B127" s="31" t="s">
        <v>111</v>
      </c>
      <c r="C127" s="72">
        <v>4647</v>
      </c>
      <c r="D127" s="72">
        <v>5151</v>
      </c>
      <c r="E127" s="72">
        <v>5901</v>
      </c>
      <c r="F127" s="72">
        <v>6087</v>
      </c>
      <c r="G127" s="72">
        <v>7173</v>
      </c>
      <c r="H127" s="72">
        <v>6122</v>
      </c>
    </row>
    <row r="128" spans="2:8">
      <c r="B128" s="73"/>
      <c r="C128" s="73"/>
      <c r="D128" s="73"/>
      <c r="E128" s="73"/>
      <c r="F128" s="73"/>
      <c r="G128" s="73"/>
      <c r="H128" s="73"/>
    </row>
    <row r="129" spans="2:13">
      <c r="B129" s="387"/>
      <c r="C129" s="387"/>
      <c r="D129" s="387"/>
      <c r="E129" s="387"/>
      <c r="F129" s="387"/>
      <c r="G129" s="387"/>
      <c r="H129" s="387"/>
    </row>
    <row r="130" spans="2:13">
      <c r="B130" s="368" t="s">
        <v>54</v>
      </c>
      <c r="C130" s="368"/>
      <c r="D130" s="368"/>
      <c r="E130" s="368"/>
      <c r="F130" s="368"/>
      <c r="G130" s="368"/>
      <c r="H130" s="368"/>
    </row>
    <row r="132" spans="2:13">
      <c r="B132" s="369" t="s">
        <v>112</v>
      </c>
      <c r="C132" s="369"/>
      <c r="D132" s="369"/>
      <c r="E132" s="369"/>
      <c r="F132" s="369"/>
    </row>
    <row r="133" spans="2:13">
      <c r="B133" s="370"/>
      <c r="C133" s="370"/>
      <c r="D133" s="370"/>
      <c r="E133" s="370"/>
      <c r="F133" s="370"/>
    </row>
    <row r="134" spans="2:13">
      <c r="B134" s="25"/>
      <c r="C134" s="74"/>
      <c r="D134" s="384" t="s">
        <v>113</v>
      </c>
      <c r="E134" s="384"/>
      <c r="F134" s="74"/>
      <c r="H134" s="122"/>
      <c r="I134" s="122"/>
      <c r="J134" s="138" t="s">
        <v>506</v>
      </c>
      <c r="K134" s="122"/>
      <c r="L134" s="122"/>
      <c r="M134" s="122"/>
    </row>
    <row r="135" spans="2:13">
      <c r="B135" s="33"/>
      <c r="C135" s="75">
        <v>1995</v>
      </c>
      <c r="D135" s="75">
        <v>1996</v>
      </c>
      <c r="E135" s="70">
        <v>1997</v>
      </c>
      <c r="F135" s="70">
        <v>1998</v>
      </c>
      <c r="H135" s="138" t="s">
        <v>505</v>
      </c>
      <c r="I135" s="123">
        <v>1995</v>
      </c>
      <c r="J135" s="123">
        <v>1996</v>
      </c>
      <c r="K135" s="124">
        <v>1997</v>
      </c>
      <c r="L135" s="124">
        <v>1998</v>
      </c>
      <c r="M135" s="135" t="s">
        <v>505</v>
      </c>
    </row>
    <row r="136" spans="2:13">
      <c r="B136" s="31"/>
      <c r="C136" s="76"/>
      <c r="D136" s="76"/>
      <c r="E136" s="77"/>
      <c r="F136" s="77"/>
      <c r="H136" s="122"/>
      <c r="I136" s="122"/>
      <c r="J136" s="122"/>
      <c r="K136" s="122"/>
      <c r="L136" s="122"/>
      <c r="M136" s="134"/>
    </row>
    <row r="137" spans="2:13">
      <c r="B137" s="78" t="s">
        <v>114</v>
      </c>
      <c r="C137" s="39"/>
      <c r="D137" s="39"/>
      <c r="E137" s="39"/>
      <c r="F137" s="39"/>
      <c r="H137" s="122"/>
      <c r="I137" s="122"/>
      <c r="J137" s="122"/>
      <c r="K137" s="122"/>
      <c r="L137" s="122"/>
      <c r="M137" s="122"/>
    </row>
    <row r="138" spans="2:13">
      <c r="B138" s="31" t="s">
        <v>115</v>
      </c>
      <c r="C138" s="32">
        <v>3094</v>
      </c>
      <c r="D138" s="32">
        <v>3153</v>
      </c>
      <c r="E138" s="32">
        <v>3038</v>
      </c>
      <c r="F138" s="32">
        <v>3137</v>
      </c>
      <c r="H138" s="125">
        <f>AVERAGE(C138:F138)</f>
        <v>3105.5</v>
      </c>
      <c r="I138" s="122"/>
      <c r="J138" s="126">
        <f>D138/C138-1</f>
        <v>1.906916612798959E-2</v>
      </c>
      <c r="K138" s="126">
        <f t="shared" ref="K138:L138" si="23">E138/D138-1</f>
        <v>-3.6473200126863281E-2</v>
      </c>
      <c r="L138" s="126">
        <f t="shared" si="23"/>
        <v>3.2587228439763027E-2</v>
      </c>
      <c r="M138" s="132">
        <f>AVERAGE(J138:L138)</f>
        <v>5.0610648136297787E-3</v>
      </c>
    </row>
    <row r="139" spans="2:13">
      <c r="B139" s="31" t="s">
        <v>116</v>
      </c>
      <c r="C139" s="39"/>
      <c r="D139" s="39"/>
      <c r="E139" s="39"/>
      <c r="F139" s="39"/>
      <c r="H139" s="125"/>
      <c r="I139" s="122"/>
      <c r="J139" s="126"/>
      <c r="K139" s="126"/>
      <c r="L139" s="126"/>
      <c r="M139" s="132"/>
    </row>
    <row r="140" spans="2:13">
      <c r="B140" s="31" t="s">
        <v>117</v>
      </c>
      <c r="C140" s="39"/>
      <c r="D140" s="39"/>
      <c r="E140" s="39"/>
      <c r="F140" s="39"/>
      <c r="H140" s="125"/>
      <c r="I140" s="122"/>
      <c r="J140" s="126"/>
      <c r="K140" s="126"/>
      <c r="L140" s="126"/>
      <c r="M140" s="132"/>
    </row>
    <row r="141" spans="2:13">
      <c r="B141" s="79" t="s">
        <v>118</v>
      </c>
      <c r="C141" s="39">
        <v>668</v>
      </c>
      <c r="D141" s="39">
        <v>760</v>
      </c>
      <c r="E141" s="39">
        <v>822</v>
      </c>
      <c r="F141" s="39">
        <v>938</v>
      </c>
      <c r="H141" s="125">
        <f>AVERAGE(C141:F141)</f>
        <v>797</v>
      </c>
      <c r="I141" s="122"/>
      <c r="J141" s="126">
        <f t="shared" ref="J141:J175" si="24">D141/C141-1</f>
        <v>0.13772455089820368</v>
      </c>
      <c r="K141" s="126">
        <f t="shared" ref="K141:K175" si="25">E141/D141-1</f>
        <v>8.1578947368420973E-2</v>
      </c>
      <c r="L141" s="126">
        <f t="shared" ref="L141:L175" si="26">F141/E141-1</f>
        <v>0.14111922141119226</v>
      </c>
      <c r="M141" s="132">
        <f t="shared" ref="M141:M175" si="27">AVERAGE(J141:L141)</f>
        <v>0.1201409065592723</v>
      </c>
    </row>
    <row r="142" spans="2:13">
      <c r="B142" s="79" t="s">
        <v>9</v>
      </c>
      <c r="C142" s="39">
        <v>716</v>
      </c>
      <c r="D142" s="39">
        <v>763</v>
      </c>
      <c r="E142" s="39">
        <v>771</v>
      </c>
      <c r="F142" s="39">
        <v>783</v>
      </c>
      <c r="H142" s="125">
        <f>AVERAGE(C142:F142)</f>
        <v>758.25</v>
      </c>
      <c r="I142" s="122"/>
      <c r="J142" s="126">
        <f t="shared" si="24"/>
        <v>6.5642458100558576E-2</v>
      </c>
      <c r="K142" s="126">
        <f t="shared" si="25"/>
        <v>1.0484927916120546E-2</v>
      </c>
      <c r="L142" s="126">
        <f t="shared" si="26"/>
        <v>1.5564202334630295E-2</v>
      </c>
      <c r="M142" s="132">
        <f t="shared" si="27"/>
        <v>3.0563862783769807E-2</v>
      </c>
    </row>
    <row r="143" spans="2:13">
      <c r="B143" s="79" t="s">
        <v>14</v>
      </c>
      <c r="C143" s="60">
        <v>9949</v>
      </c>
      <c r="D143" s="60">
        <v>10015</v>
      </c>
      <c r="E143" s="60">
        <v>9521</v>
      </c>
      <c r="F143" s="60">
        <v>9645</v>
      </c>
      <c r="H143" s="125">
        <f>AVERAGE(C143:F143)</f>
        <v>9782.5</v>
      </c>
      <c r="I143" s="122"/>
      <c r="J143" s="126">
        <f t="shared" si="24"/>
        <v>6.633832545984486E-3</v>
      </c>
      <c r="K143" s="126">
        <f t="shared" si="25"/>
        <v>-4.9326010983524737E-2</v>
      </c>
      <c r="L143" s="126">
        <f t="shared" si="26"/>
        <v>1.3023842033399902E-2</v>
      </c>
      <c r="M143" s="132">
        <f t="shared" si="27"/>
        <v>-9.8894454680467838E-3</v>
      </c>
    </row>
    <row r="144" spans="2:13">
      <c r="B144" s="80" t="s">
        <v>119</v>
      </c>
      <c r="C144" s="59">
        <v>11333</v>
      </c>
      <c r="D144" s="59">
        <v>11538</v>
      </c>
      <c r="E144" s="59">
        <v>11114</v>
      </c>
      <c r="F144" s="59">
        <v>11366</v>
      </c>
      <c r="H144" s="127">
        <f>AVERAGE(C144:F144)</f>
        <v>11337.75</v>
      </c>
      <c r="I144" s="122"/>
      <c r="J144" s="126">
        <f t="shared" si="24"/>
        <v>1.808876731668585E-2</v>
      </c>
      <c r="K144" s="126">
        <f t="shared" si="25"/>
        <v>-3.6748136592130387E-2</v>
      </c>
      <c r="L144" s="126">
        <f t="shared" si="26"/>
        <v>2.2674104732769429E-2</v>
      </c>
      <c r="M144" s="132">
        <f t="shared" si="27"/>
        <v>1.3382451524416306E-3</v>
      </c>
    </row>
    <row r="145" spans="2:13">
      <c r="B145" s="81" t="s">
        <v>120</v>
      </c>
      <c r="C145" s="39"/>
      <c r="D145" s="39"/>
      <c r="E145" s="39"/>
      <c r="F145" s="39"/>
      <c r="H145" s="125"/>
      <c r="I145" s="122"/>
      <c r="J145" s="126"/>
      <c r="K145" s="126"/>
      <c r="L145" s="126"/>
      <c r="M145" s="132"/>
    </row>
    <row r="146" spans="2:13">
      <c r="B146" s="79" t="s">
        <v>121</v>
      </c>
      <c r="C146" s="39">
        <v>722</v>
      </c>
      <c r="D146" s="39">
        <v>683</v>
      </c>
      <c r="E146" s="39">
        <v>678</v>
      </c>
      <c r="F146" s="39">
        <v>730</v>
      </c>
      <c r="H146" s="125">
        <f>AVERAGE(C146:F146)</f>
        <v>703.25</v>
      </c>
      <c r="I146" s="122"/>
      <c r="J146" s="126">
        <f t="shared" si="24"/>
        <v>-5.4016620498614998E-2</v>
      </c>
      <c r="K146" s="126">
        <f t="shared" si="25"/>
        <v>-7.3206442166910968E-3</v>
      </c>
      <c r="L146" s="126">
        <f t="shared" si="26"/>
        <v>7.6696165191740384E-2</v>
      </c>
      <c r="M146" s="132">
        <f t="shared" si="27"/>
        <v>5.1196334921447635E-3</v>
      </c>
    </row>
    <row r="147" spans="2:13">
      <c r="B147" s="79" t="s">
        <v>122</v>
      </c>
      <c r="C147" s="34">
        <v>175</v>
      </c>
      <c r="D147" s="34">
        <v>194</v>
      </c>
      <c r="E147" s="34">
        <v>217</v>
      </c>
      <c r="F147" s="34">
        <v>256</v>
      </c>
      <c r="H147" s="125">
        <f>AVERAGE(C147:F147)</f>
        <v>210.5</v>
      </c>
      <c r="I147" s="122"/>
      <c r="J147" s="126">
        <f t="shared" si="24"/>
        <v>0.10857142857142854</v>
      </c>
      <c r="K147" s="126">
        <f t="shared" si="25"/>
        <v>0.11855670103092786</v>
      </c>
      <c r="L147" s="126">
        <f t="shared" si="26"/>
        <v>0.17972350230414746</v>
      </c>
      <c r="M147" s="132">
        <f t="shared" si="27"/>
        <v>0.13561721063550128</v>
      </c>
    </row>
    <row r="148" spans="2:13">
      <c r="B148" s="80" t="s">
        <v>123</v>
      </c>
      <c r="C148" s="41">
        <v>897</v>
      </c>
      <c r="D148" s="41">
        <v>877</v>
      </c>
      <c r="E148" s="41">
        <v>895</v>
      </c>
      <c r="F148" s="41">
        <v>986</v>
      </c>
      <c r="H148" s="127">
        <f>AVERAGE(C148:F148)</f>
        <v>913.75</v>
      </c>
      <c r="I148" s="122"/>
      <c r="J148" s="126">
        <f t="shared" si="24"/>
        <v>-2.2296544035674493E-2</v>
      </c>
      <c r="K148" s="126">
        <f t="shared" si="25"/>
        <v>2.0524515393386622E-2</v>
      </c>
      <c r="L148" s="126">
        <f t="shared" si="26"/>
        <v>0.10167597765363134</v>
      </c>
      <c r="M148" s="132">
        <f t="shared" si="27"/>
        <v>3.3301316337114494E-2</v>
      </c>
    </row>
    <row r="149" spans="2:13">
      <c r="B149" s="31" t="s">
        <v>124</v>
      </c>
      <c r="C149" s="38">
        <v>12230</v>
      </c>
      <c r="D149" s="38">
        <v>12415</v>
      </c>
      <c r="E149" s="38">
        <v>12009</v>
      </c>
      <c r="F149" s="38">
        <v>12352</v>
      </c>
      <c r="H149" s="127">
        <f>AVERAGE(C149:F149)</f>
        <v>12251.5</v>
      </c>
      <c r="I149" s="122"/>
      <c r="J149" s="126">
        <f t="shared" si="24"/>
        <v>1.5126737530662293E-2</v>
      </c>
      <c r="K149" s="126">
        <f t="shared" si="25"/>
        <v>-3.2702376157873525E-2</v>
      </c>
      <c r="L149" s="126">
        <f t="shared" si="26"/>
        <v>2.856191189940871E-2</v>
      </c>
      <c r="M149" s="132">
        <f t="shared" si="27"/>
        <v>3.6620910907324924E-3</v>
      </c>
    </row>
    <row r="150" spans="2:13">
      <c r="B150" s="31" t="s">
        <v>125</v>
      </c>
      <c r="C150" s="35"/>
      <c r="D150" s="35"/>
      <c r="E150" s="35"/>
      <c r="F150" s="35"/>
      <c r="H150" s="127"/>
      <c r="I150" s="122"/>
      <c r="J150" s="126"/>
      <c r="K150" s="126"/>
      <c r="L150" s="126"/>
      <c r="M150" s="132"/>
    </row>
    <row r="151" spans="2:13">
      <c r="B151" s="31" t="s">
        <v>117</v>
      </c>
      <c r="C151" s="39"/>
      <c r="D151" s="39"/>
      <c r="E151" s="39"/>
      <c r="F151" s="39"/>
      <c r="H151" s="125"/>
      <c r="I151" s="122"/>
      <c r="J151" s="126"/>
      <c r="K151" s="126"/>
      <c r="L151" s="126"/>
      <c r="M151" s="132"/>
    </row>
    <row r="152" spans="2:13">
      <c r="B152" s="79" t="s">
        <v>118</v>
      </c>
      <c r="C152" s="82">
        <v>19.34</v>
      </c>
      <c r="D152" s="82">
        <v>19.34</v>
      </c>
      <c r="E152" s="82">
        <v>19.489999999999998</v>
      </c>
      <c r="F152" s="82">
        <v>19.690000000000001</v>
      </c>
      <c r="H152" s="128">
        <f>AVERAGE(C152:F152)</f>
        <v>19.465</v>
      </c>
      <c r="I152" s="122"/>
      <c r="J152" s="126">
        <f t="shared" si="24"/>
        <v>0</v>
      </c>
      <c r="K152" s="126">
        <f t="shared" si="25"/>
        <v>7.755946225439514E-3</v>
      </c>
      <c r="L152" s="126">
        <f t="shared" si="26"/>
        <v>1.0261672652642551E-2</v>
      </c>
      <c r="M152" s="132">
        <f t="shared" si="27"/>
        <v>6.0058729593606879E-3</v>
      </c>
    </row>
    <row r="153" spans="2:13">
      <c r="B153" s="79" t="s">
        <v>9</v>
      </c>
      <c r="C153" s="39">
        <v>11.27</v>
      </c>
      <c r="D153" s="39">
        <v>11.39</v>
      </c>
      <c r="E153" s="39">
        <v>11.86</v>
      </c>
      <c r="F153" s="39">
        <v>12.39</v>
      </c>
      <c r="H153" s="125">
        <f>AVERAGE(C153:F153)</f>
        <v>11.727499999999999</v>
      </c>
      <c r="I153" s="122"/>
      <c r="J153" s="126">
        <f t="shared" si="24"/>
        <v>1.0647737355812037E-2</v>
      </c>
      <c r="K153" s="126">
        <f t="shared" si="25"/>
        <v>4.1264266900790103E-2</v>
      </c>
      <c r="L153" s="126">
        <f t="shared" si="26"/>
        <v>4.4688026981450246E-2</v>
      </c>
      <c r="M153" s="132">
        <f t="shared" si="27"/>
        <v>3.2200010412684131E-2</v>
      </c>
    </row>
    <row r="154" spans="2:13">
      <c r="B154" s="79" t="s">
        <v>14</v>
      </c>
      <c r="C154" s="39">
        <v>4.95</v>
      </c>
      <c r="D154" s="39">
        <v>5.09</v>
      </c>
      <c r="E154" s="39">
        <v>5.19</v>
      </c>
      <c r="F154" s="39">
        <v>5.51</v>
      </c>
      <c r="H154" s="125">
        <f>AVERAGE(C154:F154)</f>
        <v>5.1850000000000005</v>
      </c>
      <c r="I154" s="122"/>
      <c r="J154" s="126">
        <f t="shared" si="24"/>
        <v>2.8282828282828243E-2</v>
      </c>
      <c r="K154" s="126">
        <f t="shared" si="25"/>
        <v>1.9646365422397061E-2</v>
      </c>
      <c r="L154" s="126">
        <f t="shared" si="26"/>
        <v>6.1657032755298546E-2</v>
      </c>
      <c r="M154" s="132">
        <f t="shared" si="27"/>
        <v>3.6528742153507952E-2</v>
      </c>
    </row>
    <row r="155" spans="2:13">
      <c r="B155" s="80" t="s">
        <v>119</v>
      </c>
      <c r="C155" s="39">
        <v>6.2</v>
      </c>
      <c r="D155" s="39">
        <v>6.44</v>
      </c>
      <c r="E155" s="39">
        <v>6.71</v>
      </c>
      <c r="F155" s="39">
        <v>7.15</v>
      </c>
      <c r="H155" s="125">
        <f>AVERAGE(C155:F155)</f>
        <v>6.625</v>
      </c>
      <c r="I155" s="122"/>
      <c r="J155" s="126">
        <f t="shared" si="24"/>
        <v>3.8709677419354938E-2</v>
      </c>
      <c r="K155" s="126">
        <f t="shared" si="25"/>
        <v>4.1925465838509313E-2</v>
      </c>
      <c r="L155" s="126">
        <f t="shared" si="26"/>
        <v>6.5573770491803351E-2</v>
      </c>
      <c r="M155" s="132">
        <f t="shared" si="27"/>
        <v>4.8736304583222534E-2</v>
      </c>
    </row>
    <row r="156" spans="2:13">
      <c r="B156" s="81" t="s">
        <v>120</v>
      </c>
      <c r="C156" s="39"/>
      <c r="D156" s="39"/>
      <c r="E156" s="39"/>
      <c r="F156" s="39"/>
      <c r="H156" s="125"/>
      <c r="I156" s="122"/>
      <c r="J156" s="126"/>
      <c r="K156" s="126"/>
      <c r="L156" s="126"/>
      <c r="M156" s="132"/>
    </row>
    <row r="157" spans="2:13">
      <c r="B157" s="79" t="s">
        <v>121</v>
      </c>
      <c r="C157" s="39">
        <v>6.22</v>
      </c>
      <c r="D157" s="39">
        <v>6.1</v>
      </c>
      <c r="E157" s="39">
        <v>5.36</v>
      </c>
      <c r="F157" s="39">
        <v>5.14</v>
      </c>
      <c r="H157" s="125">
        <f>AVERAGE(C157:F157)</f>
        <v>5.7050000000000001</v>
      </c>
      <c r="I157" s="122"/>
      <c r="J157" s="126">
        <f t="shared" si="24"/>
        <v>-1.9292604501607746E-2</v>
      </c>
      <c r="K157" s="126">
        <f t="shared" si="25"/>
        <v>-0.121311475409836</v>
      </c>
      <c r="L157" s="126">
        <f t="shared" si="26"/>
        <v>-4.1044776119403048E-2</v>
      </c>
      <c r="M157" s="132">
        <f t="shared" si="27"/>
        <v>-6.0549618676948934E-2</v>
      </c>
    </row>
    <row r="158" spans="2:13">
      <c r="B158" s="79" t="s">
        <v>122</v>
      </c>
      <c r="C158" s="39">
        <v>37.18</v>
      </c>
      <c r="D158" s="39">
        <v>37.32</v>
      </c>
      <c r="E158" s="39">
        <v>35.01</v>
      </c>
      <c r="F158" s="39">
        <v>33.46</v>
      </c>
      <c r="H158" s="125">
        <f>AVERAGE(C158:F158)</f>
        <v>35.7425</v>
      </c>
      <c r="I158" s="122"/>
      <c r="J158" s="126">
        <f t="shared" si="24"/>
        <v>3.7654653039269625E-3</v>
      </c>
      <c r="K158" s="126">
        <f t="shared" si="25"/>
        <v>-6.1897106109324862E-2</v>
      </c>
      <c r="L158" s="126">
        <f t="shared" si="26"/>
        <v>-4.4273064838617482E-2</v>
      </c>
      <c r="M158" s="132">
        <f t="shared" si="27"/>
        <v>-3.4134901881338463E-2</v>
      </c>
    </row>
    <row r="159" spans="2:13">
      <c r="B159" s="80" t="s">
        <v>123</v>
      </c>
      <c r="C159" s="39">
        <v>12.26</v>
      </c>
      <c r="D159" s="39">
        <v>13.01</v>
      </c>
      <c r="E159" s="39">
        <v>12.55</v>
      </c>
      <c r="F159" s="39">
        <v>12.49</v>
      </c>
      <c r="H159" s="125">
        <f>AVERAGE(C159:F159)</f>
        <v>12.577500000000001</v>
      </c>
      <c r="I159" s="122"/>
      <c r="J159" s="126">
        <f t="shared" si="24"/>
        <v>6.1174551386623088E-2</v>
      </c>
      <c r="K159" s="126">
        <f t="shared" si="25"/>
        <v>-3.5357417371252864E-2</v>
      </c>
      <c r="L159" s="126">
        <f t="shared" si="26"/>
        <v>-4.7808764940239223E-3</v>
      </c>
      <c r="M159" s="132">
        <f t="shared" si="27"/>
        <v>7.0120858404487674E-3</v>
      </c>
    </row>
    <row r="160" spans="2:13">
      <c r="B160" s="31" t="s">
        <v>126</v>
      </c>
      <c r="C160" s="82">
        <v>6.64</v>
      </c>
      <c r="D160" s="82">
        <v>6.91</v>
      </c>
      <c r="E160" s="82">
        <v>7.15</v>
      </c>
      <c r="F160" s="82">
        <v>7.58</v>
      </c>
      <c r="H160" s="125">
        <f>AVERAGE(C160:F160)</f>
        <v>7.07</v>
      </c>
      <c r="I160" s="122"/>
      <c r="J160" s="126">
        <f t="shared" si="24"/>
        <v>4.06626506024097E-2</v>
      </c>
      <c r="K160" s="126">
        <f t="shared" si="25"/>
        <v>3.4732272069464498E-2</v>
      </c>
      <c r="L160" s="126">
        <f t="shared" si="26"/>
        <v>6.0139860139860168E-2</v>
      </c>
      <c r="M160" s="132">
        <f t="shared" si="27"/>
        <v>4.5178260937244787E-2</v>
      </c>
    </row>
    <row r="161" spans="2:13">
      <c r="B161" s="81" t="s">
        <v>127</v>
      </c>
      <c r="C161" s="39"/>
      <c r="D161" s="39"/>
      <c r="E161" s="39"/>
      <c r="F161" s="39"/>
      <c r="H161" s="125"/>
      <c r="I161" s="122"/>
      <c r="J161" s="126"/>
      <c r="K161" s="126"/>
      <c r="L161" s="126"/>
      <c r="M161" s="132"/>
    </row>
    <row r="162" spans="2:13">
      <c r="B162" s="31" t="s">
        <v>117</v>
      </c>
      <c r="C162" s="39"/>
      <c r="D162" s="39"/>
      <c r="E162" s="39"/>
      <c r="F162" s="39"/>
      <c r="H162" s="125"/>
      <c r="I162" s="122"/>
      <c r="J162" s="126"/>
      <c r="K162" s="126"/>
      <c r="L162" s="126"/>
      <c r="M162" s="132"/>
    </row>
    <row r="163" spans="2:13">
      <c r="B163" s="79" t="s">
        <v>118</v>
      </c>
      <c r="C163" s="83">
        <v>3269</v>
      </c>
      <c r="D163" s="83">
        <v>3734</v>
      </c>
      <c r="E163" s="83">
        <v>4054</v>
      </c>
      <c r="F163" s="83">
        <v>4690</v>
      </c>
      <c r="H163" s="129">
        <f>AVERAGE(C163:F163)</f>
        <v>3936.75</v>
      </c>
      <c r="I163" s="122"/>
      <c r="J163" s="126">
        <f t="shared" si="24"/>
        <v>0.14224533496482095</v>
      </c>
      <c r="K163" s="126">
        <f t="shared" si="25"/>
        <v>8.5698982324584838E-2</v>
      </c>
      <c r="L163" s="126">
        <f t="shared" si="26"/>
        <v>0.15688209176122347</v>
      </c>
      <c r="M163" s="132">
        <f t="shared" si="27"/>
        <v>0.12827546968354309</v>
      </c>
    </row>
    <row r="164" spans="2:13">
      <c r="B164" s="79" t="s">
        <v>9</v>
      </c>
      <c r="C164" s="32">
        <v>2041</v>
      </c>
      <c r="D164" s="32">
        <v>2207</v>
      </c>
      <c r="E164" s="32">
        <v>2314</v>
      </c>
      <c r="F164" s="32">
        <v>2464</v>
      </c>
      <c r="H164" s="125">
        <f>AVERAGE(C164:F164)</f>
        <v>2256.5</v>
      </c>
      <c r="I164" s="122"/>
      <c r="J164" s="126">
        <f t="shared" si="24"/>
        <v>8.1332680058794793E-2</v>
      </c>
      <c r="K164" s="126">
        <f t="shared" si="25"/>
        <v>4.84821024014499E-2</v>
      </c>
      <c r="L164" s="126">
        <f t="shared" si="26"/>
        <v>6.4822817631806418E-2</v>
      </c>
      <c r="M164" s="132">
        <f t="shared" si="27"/>
        <v>6.4879200030683704E-2</v>
      </c>
    </row>
    <row r="165" spans="2:13">
      <c r="B165" s="79" t="s">
        <v>14</v>
      </c>
      <c r="C165" s="60">
        <v>12463</v>
      </c>
      <c r="D165" s="60">
        <v>12940</v>
      </c>
      <c r="E165" s="60">
        <v>12500</v>
      </c>
      <c r="F165" s="60">
        <v>13496</v>
      </c>
      <c r="H165" s="125">
        <f>AVERAGE(C165:F165)</f>
        <v>12849.75</v>
      </c>
      <c r="I165" s="122"/>
      <c r="J165" s="126">
        <f t="shared" si="24"/>
        <v>3.8273288935248395E-2</v>
      </c>
      <c r="K165" s="126">
        <f t="shared" si="25"/>
        <v>-3.4003091190108137E-2</v>
      </c>
      <c r="L165" s="126">
        <f t="shared" si="26"/>
        <v>7.9679999999999973E-2</v>
      </c>
      <c r="M165" s="132">
        <f t="shared" si="27"/>
        <v>2.7983399248380076E-2</v>
      </c>
    </row>
    <row r="166" spans="2:13">
      <c r="B166" s="80" t="s">
        <v>119</v>
      </c>
      <c r="C166" s="59">
        <v>17773</v>
      </c>
      <c r="D166" s="59">
        <v>18881</v>
      </c>
      <c r="E166" s="59">
        <v>18868</v>
      </c>
      <c r="F166" s="59">
        <v>20650</v>
      </c>
      <c r="H166" s="127">
        <f>AVERAGE(C166:F166)</f>
        <v>19043</v>
      </c>
      <c r="I166" s="122"/>
      <c r="J166" s="130">
        <f t="shared" si="24"/>
        <v>6.2341754346480593E-2</v>
      </c>
      <c r="K166" s="130">
        <f t="shared" si="25"/>
        <v>-6.8852285366238775E-4</v>
      </c>
      <c r="L166" s="130">
        <f t="shared" si="26"/>
        <v>9.4445622217511183E-2</v>
      </c>
      <c r="M166" s="133">
        <f t="shared" si="27"/>
        <v>5.203295123677646E-2</v>
      </c>
    </row>
    <row r="167" spans="2:13">
      <c r="B167" s="81" t="s">
        <v>120</v>
      </c>
      <c r="C167" s="39"/>
      <c r="D167" s="39"/>
      <c r="E167" s="39"/>
      <c r="F167" s="39"/>
      <c r="H167" s="125"/>
      <c r="I167" s="122"/>
      <c r="J167" s="126"/>
      <c r="K167" s="126"/>
      <c r="L167" s="126"/>
      <c r="M167" s="132"/>
    </row>
    <row r="168" spans="2:13">
      <c r="B168" s="79" t="s">
        <v>121</v>
      </c>
      <c r="C168" s="32">
        <v>1136</v>
      </c>
      <c r="D168" s="32">
        <v>1058</v>
      </c>
      <c r="E168" s="39">
        <v>919</v>
      </c>
      <c r="F168" s="39">
        <v>953</v>
      </c>
      <c r="H168" s="125">
        <f t="shared" ref="H168:H175" si="28">AVERAGE(C168:F168)</f>
        <v>1016.5</v>
      </c>
      <c r="I168" s="122"/>
      <c r="J168" s="126">
        <f t="shared" si="24"/>
        <v>-6.866197183098588E-2</v>
      </c>
      <c r="K168" s="126">
        <f t="shared" si="25"/>
        <v>-0.13137996219281667</v>
      </c>
      <c r="L168" s="126">
        <f t="shared" si="26"/>
        <v>3.699673558215455E-2</v>
      </c>
      <c r="M168" s="132">
        <f t="shared" si="27"/>
        <v>-5.4348399480549335E-2</v>
      </c>
    </row>
    <row r="169" spans="2:13">
      <c r="B169" s="79" t="s">
        <v>122</v>
      </c>
      <c r="C169" s="32">
        <v>1646</v>
      </c>
      <c r="D169" s="32">
        <v>1839</v>
      </c>
      <c r="E169" s="32">
        <v>1922</v>
      </c>
      <c r="F169" s="32">
        <v>2176</v>
      </c>
      <c r="H169" s="125">
        <f t="shared" si="28"/>
        <v>1895.75</v>
      </c>
      <c r="I169" s="122"/>
      <c r="J169" s="126">
        <f t="shared" si="24"/>
        <v>0.1172539489671931</v>
      </c>
      <c r="K169" s="126">
        <f t="shared" si="25"/>
        <v>4.5133224578575382E-2</v>
      </c>
      <c r="L169" s="126">
        <f t="shared" si="26"/>
        <v>0.13215400624349627</v>
      </c>
      <c r="M169" s="132">
        <f t="shared" si="27"/>
        <v>9.818039326308825E-2</v>
      </c>
    </row>
    <row r="170" spans="2:13">
      <c r="B170" s="79" t="s">
        <v>128</v>
      </c>
      <c r="C170" s="34">
        <v>176</v>
      </c>
      <c r="D170" s="34">
        <v>177</v>
      </c>
      <c r="E170" s="34">
        <v>226</v>
      </c>
      <c r="F170" s="34">
        <v>270</v>
      </c>
      <c r="H170" s="125">
        <f t="shared" si="28"/>
        <v>212.25</v>
      </c>
      <c r="I170" s="122"/>
      <c r="J170" s="126">
        <f t="shared" si="24"/>
        <v>5.6818181818181213E-3</v>
      </c>
      <c r="K170" s="126">
        <f t="shared" si="25"/>
        <v>0.2768361581920904</v>
      </c>
      <c r="L170" s="126">
        <f t="shared" si="26"/>
        <v>0.19469026548672574</v>
      </c>
      <c r="M170" s="132">
        <f t="shared" si="27"/>
        <v>0.15906941395354476</v>
      </c>
    </row>
    <row r="171" spans="2:13">
      <c r="B171" s="80" t="s">
        <v>123</v>
      </c>
      <c r="C171" s="59">
        <v>2958</v>
      </c>
      <c r="D171" s="59">
        <v>3074</v>
      </c>
      <c r="E171" s="59">
        <v>3067</v>
      </c>
      <c r="F171" s="59">
        <v>3399</v>
      </c>
      <c r="H171" s="127">
        <f t="shared" si="28"/>
        <v>3124.5</v>
      </c>
      <c r="I171" s="122"/>
      <c r="J171" s="126">
        <f t="shared" si="24"/>
        <v>3.9215686274509887E-2</v>
      </c>
      <c r="K171" s="126">
        <f t="shared" si="25"/>
        <v>-2.2771633051398288E-3</v>
      </c>
      <c r="L171" s="126">
        <f t="shared" si="26"/>
        <v>0.1082491033583306</v>
      </c>
      <c r="M171" s="132">
        <f t="shared" si="27"/>
        <v>4.8395875442566884E-2</v>
      </c>
    </row>
    <row r="172" spans="2:13">
      <c r="B172" s="31" t="s">
        <v>28</v>
      </c>
      <c r="C172" s="34">
        <v>314</v>
      </c>
      <c r="D172" s="34">
        <v>413</v>
      </c>
      <c r="E172" s="34">
        <v>523</v>
      </c>
      <c r="F172" s="34">
        <v>739</v>
      </c>
      <c r="H172" s="125">
        <f t="shared" si="28"/>
        <v>497.25</v>
      </c>
      <c r="I172" s="122"/>
      <c r="J172" s="126">
        <f t="shared" si="24"/>
        <v>0.3152866242038217</v>
      </c>
      <c r="K172" s="126">
        <f t="shared" si="25"/>
        <v>0.26634382566585946</v>
      </c>
      <c r="L172" s="126">
        <f t="shared" si="26"/>
        <v>0.41300191204588921</v>
      </c>
      <c r="M172" s="132">
        <f t="shared" si="27"/>
        <v>0.33154412063852345</v>
      </c>
    </row>
    <row r="173" spans="2:13">
      <c r="B173" s="31" t="s">
        <v>129</v>
      </c>
      <c r="C173" s="84">
        <v>21045</v>
      </c>
      <c r="D173" s="84">
        <v>22368</v>
      </c>
      <c r="E173" s="84">
        <v>22458</v>
      </c>
      <c r="F173" s="84">
        <v>24788</v>
      </c>
      <c r="H173" s="131">
        <f t="shared" si="28"/>
        <v>22664.75</v>
      </c>
      <c r="I173" s="122"/>
      <c r="J173" s="126">
        <f t="shared" si="24"/>
        <v>6.2865288667141916E-2</v>
      </c>
      <c r="K173" s="126">
        <f t="shared" si="25"/>
        <v>4.0236051502144932E-3</v>
      </c>
      <c r="L173" s="126">
        <f t="shared" si="26"/>
        <v>0.10374922076765514</v>
      </c>
      <c r="M173" s="132">
        <f t="shared" si="27"/>
        <v>5.6879371528337185E-2</v>
      </c>
    </row>
    <row r="174" spans="2:13">
      <c r="B174" s="31" t="s">
        <v>130</v>
      </c>
      <c r="C174" s="35">
        <v>253</v>
      </c>
      <c r="D174" s="35">
        <v>254</v>
      </c>
      <c r="E174" s="35">
        <v>253</v>
      </c>
      <c r="F174" s="35">
        <v>254</v>
      </c>
      <c r="H174" s="127">
        <f t="shared" si="28"/>
        <v>253.5</v>
      </c>
      <c r="I174" s="122"/>
      <c r="J174" s="126">
        <f t="shared" si="24"/>
        <v>3.9525691699604515E-3</v>
      </c>
      <c r="K174" s="126">
        <f t="shared" si="25"/>
        <v>-3.937007874015741E-3</v>
      </c>
      <c r="L174" s="126">
        <f t="shared" si="26"/>
        <v>3.9525691699604515E-3</v>
      </c>
      <c r="M174" s="132">
        <f t="shared" si="27"/>
        <v>1.3227101553017206E-3</v>
      </c>
    </row>
    <row r="175" spans="2:13">
      <c r="B175" s="31" t="s">
        <v>131</v>
      </c>
      <c r="C175" s="83">
        <v>2096</v>
      </c>
      <c r="D175" s="83">
        <v>2333</v>
      </c>
      <c r="E175" s="83">
        <v>1984</v>
      </c>
      <c r="F175" s="83">
        <v>1645</v>
      </c>
      <c r="H175" s="129">
        <f t="shared" si="28"/>
        <v>2014.5</v>
      </c>
      <c r="I175" s="122"/>
      <c r="J175" s="126">
        <f t="shared" si="24"/>
        <v>0.11307251908396942</v>
      </c>
      <c r="K175" s="126">
        <f t="shared" si="25"/>
        <v>-0.14959279897128164</v>
      </c>
      <c r="L175" s="126">
        <f t="shared" si="26"/>
        <v>-0.170866935483871</v>
      </c>
      <c r="M175" s="132">
        <f t="shared" si="27"/>
        <v>-6.9129071790394403E-2</v>
      </c>
    </row>
    <row r="176" spans="2:13">
      <c r="B176" s="85"/>
      <c r="C176" s="85"/>
      <c r="D176" s="85"/>
      <c r="E176" s="85"/>
      <c r="F176" s="85"/>
      <c r="H176" s="125"/>
      <c r="I176" s="122"/>
      <c r="J176" s="122"/>
      <c r="K176" s="122"/>
      <c r="L176" s="122"/>
      <c r="M176" s="132"/>
    </row>
    <row r="177" spans="2:6">
      <c r="B177" s="371"/>
      <c r="C177" s="371"/>
      <c r="D177" s="371"/>
      <c r="E177" s="371"/>
      <c r="F177" s="371"/>
    </row>
    <row r="178" spans="2:6">
      <c r="B178" s="368" t="s">
        <v>132</v>
      </c>
      <c r="C178" s="368"/>
      <c r="D178" s="368"/>
      <c r="E178" s="368"/>
      <c r="F178" s="368"/>
    </row>
    <row r="179" spans="2:6">
      <c r="B179" s="58"/>
      <c r="C179" s="58"/>
      <c r="D179" s="58"/>
      <c r="E179" s="58"/>
      <c r="F179" s="58"/>
    </row>
    <row r="180" spans="2:6">
      <c r="B180" s="58"/>
      <c r="C180" s="58"/>
      <c r="D180" s="58"/>
      <c r="E180" s="58"/>
      <c r="F180" s="58"/>
    </row>
    <row r="181" spans="2:6">
      <c r="B181" s="369" t="s">
        <v>133</v>
      </c>
      <c r="C181" s="369"/>
      <c r="D181" s="369"/>
      <c r="E181" s="58"/>
      <c r="F181" s="58"/>
    </row>
    <row r="182" spans="2:6">
      <c r="B182" s="381"/>
      <c r="C182" s="381"/>
      <c r="D182" s="381"/>
      <c r="E182" s="58"/>
      <c r="F182" s="58"/>
    </row>
    <row r="183" spans="2:6">
      <c r="B183" s="56"/>
      <c r="C183" s="68" t="s">
        <v>134</v>
      </c>
      <c r="D183" s="68" t="s">
        <v>135</v>
      </c>
      <c r="E183" s="58"/>
      <c r="F183" s="58"/>
    </row>
    <row r="184" spans="2:6">
      <c r="B184" s="86" t="s">
        <v>136</v>
      </c>
      <c r="C184" s="35"/>
      <c r="D184" s="35"/>
      <c r="E184" s="58"/>
      <c r="F184" s="58"/>
    </row>
    <row r="185" spans="2:6">
      <c r="B185" s="78" t="s">
        <v>137</v>
      </c>
      <c r="C185" s="39"/>
      <c r="D185" s="39"/>
      <c r="E185" s="58"/>
      <c r="F185" s="58"/>
    </row>
    <row r="186" spans="2:6">
      <c r="B186" s="80" t="s">
        <v>138</v>
      </c>
      <c r="C186" s="39">
        <v>938</v>
      </c>
      <c r="D186" s="32">
        <v>1957</v>
      </c>
      <c r="E186" s="58"/>
      <c r="F186" s="58"/>
    </row>
    <row r="187" spans="2:6">
      <c r="B187" s="80" t="s">
        <v>139</v>
      </c>
      <c r="C187" s="39">
        <v>783</v>
      </c>
      <c r="D187" s="39">
        <v>894</v>
      </c>
      <c r="E187" s="58"/>
      <c r="F187" s="58"/>
    </row>
    <row r="188" spans="2:6">
      <c r="B188" s="80" t="s">
        <v>140</v>
      </c>
      <c r="C188" s="32">
        <v>9645</v>
      </c>
      <c r="D188" s="32">
        <v>1385</v>
      </c>
      <c r="E188" s="58"/>
      <c r="F188" s="58"/>
    </row>
    <row r="189" spans="2:6">
      <c r="B189" s="80" t="s">
        <v>141</v>
      </c>
      <c r="C189" s="32">
        <v>11366</v>
      </c>
      <c r="D189" s="32">
        <v>4236</v>
      </c>
      <c r="E189" s="58"/>
      <c r="F189" s="58"/>
    </row>
    <row r="190" spans="2:6">
      <c r="B190" s="80" t="s">
        <v>142</v>
      </c>
      <c r="C190" s="39">
        <v>986</v>
      </c>
      <c r="D190" s="39">
        <v>282</v>
      </c>
      <c r="E190" s="58"/>
      <c r="F190" s="58"/>
    </row>
    <row r="191" spans="2:6">
      <c r="B191" s="80" t="s">
        <v>143</v>
      </c>
      <c r="C191" s="32">
        <v>12352</v>
      </c>
      <c r="D191" s="32">
        <v>4518</v>
      </c>
      <c r="E191" s="87"/>
      <c r="F191" s="58"/>
    </row>
    <row r="192" spans="2:6">
      <c r="B192" s="78" t="s">
        <v>144</v>
      </c>
      <c r="C192" s="39"/>
      <c r="D192" s="39"/>
      <c r="E192" s="58"/>
      <c r="F192" s="58"/>
    </row>
    <row r="193" spans="2:6">
      <c r="B193" s="80" t="s">
        <v>145</v>
      </c>
      <c r="C193" s="82">
        <v>19.690000000000001</v>
      </c>
      <c r="D193" s="82">
        <v>14.34</v>
      </c>
      <c r="E193" s="58"/>
      <c r="F193" s="58"/>
    </row>
    <row r="194" spans="2:6">
      <c r="B194" s="80" t="s">
        <v>146</v>
      </c>
      <c r="C194" s="82">
        <v>12.39</v>
      </c>
      <c r="D194" s="82">
        <v>9.93</v>
      </c>
      <c r="E194" s="58"/>
      <c r="F194" s="58"/>
    </row>
    <row r="195" spans="2:6">
      <c r="B195" s="80" t="s">
        <v>147</v>
      </c>
      <c r="C195" s="82">
        <v>5.51</v>
      </c>
      <c r="D195" s="82">
        <v>5.36</v>
      </c>
      <c r="E195" s="58"/>
      <c r="F195" s="58"/>
    </row>
    <row r="196" spans="2:6">
      <c r="B196" s="78" t="s">
        <v>148</v>
      </c>
      <c r="C196" s="32">
        <v>340000</v>
      </c>
      <c r="D196" s="32">
        <v>156386</v>
      </c>
      <c r="E196" s="58"/>
      <c r="F196" s="58"/>
    </row>
    <row r="197" spans="2:6">
      <c r="B197" s="78" t="s">
        <v>149</v>
      </c>
      <c r="C197" s="39" t="s">
        <v>150</v>
      </c>
      <c r="D197" s="39" t="s">
        <v>151</v>
      </c>
      <c r="E197" s="58"/>
      <c r="F197" s="58"/>
    </row>
    <row r="198" spans="2:6">
      <c r="B198" s="78" t="s">
        <v>152</v>
      </c>
      <c r="C198" s="39">
        <v>536</v>
      </c>
      <c r="D198" s="39">
        <v>634</v>
      </c>
      <c r="E198" s="58"/>
      <c r="F198" s="58"/>
    </row>
    <row r="199" spans="2:6">
      <c r="B199" s="78" t="s">
        <v>153</v>
      </c>
      <c r="C199" s="32">
        <v>149000</v>
      </c>
      <c r="D199" s="32">
        <v>46000</v>
      </c>
      <c r="E199" s="58"/>
      <c r="F199" s="58"/>
    </row>
    <row r="200" spans="2:6">
      <c r="B200" s="85"/>
      <c r="C200" s="85"/>
      <c r="D200" s="85"/>
      <c r="E200" s="58"/>
      <c r="F200" s="58"/>
    </row>
    <row r="201" spans="2:6">
      <c r="B201" s="371"/>
      <c r="C201" s="371"/>
      <c r="D201" s="371"/>
      <c r="E201" s="58"/>
      <c r="F201" s="58"/>
    </row>
    <row r="202" spans="2:6">
      <c r="B202" s="368" t="s">
        <v>154</v>
      </c>
      <c r="C202" s="368"/>
      <c r="D202" s="368"/>
      <c r="E202" s="58"/>
      <c r="F202" s="58"/>
    </row>
    <row r="203" spans="2:6">
      <c r="B203" s="367" t="s">
        <v>155</v>
      </c>
      <c r="C203" s="368"/>
      <c r="D203" s="368"/>
      <c r="E203" s="58"/>
      <c r="F203" s="58"/>
    </row>
    <row r="205" spans="2:6">
      <c r="B205" s="369" t="s">
        <v>156</v>
      </c>
      <c r="C205" s="369"/>
      <c r="D205" s="56"/>
    </row>
    <row r="206" spans="2:6">
      <c r="B206" s="88"/>
      <c r="C206" s="88"/>
      <c r="D206" s="88"/>
    </row>
    <row r="207" spans="2:6">
      <c r="B207" s="74" t="s">
        <v>157</v>
      </c>
      <c r="C207" s="37"/>
      <c r="D207" s="89"/>
    </row>
    <row r="208" spans="2:6">
      <c r="B208" s="25" t="s">
        <v>158</v>
      </c>
      <c r="C208" s="90">
        <v>614</v>
      </c>
      <c r="D208" s="91"/>
    </row>
    <row r="209" spans="2:4">
      <c r="B209" s="33" t="s">
        <v>159</v>
      </c>
      <c r="C209" s="34">
        <v>-38</v>
      </c>
      <c r="D209" s="91"/>
    </row>
    <row r="210" spans="2:4">
      <c r="B210" s="92"/>
      <c r="C210" s="93">
        <v>576</v>
      </c>
      <c r="D210" s="91"/>
    </row>
    <row r="211" spans="2:4">
      <c r="B211" s="31"/>
      <c r="C211" s="39"/>
      <c r="D211" s="91"/>
    </row>
    <row r="212" spans="2:4">
      <c r="B212" s="74" t="s">
        <v>160</v>
      </c>
      <c r="C212" s="75" t="s">
        <v>161</v>
      </c>
      <c r="D212" s="75" t="s">
        <v>162</v>
      </c>
    </row>
    <row r="213" spans="2:4">
      <c r="B213" s="94" t="s">
        <v>163</v>
      </c>
      <c r="C213" s="90">
        <v>67</v>
      </c>
      <c r="D213" s="90">
        <v>211</v>
      </c>
    </row>
    <row r="214" spans="2:4">
      <c r="B214" s="95" t="s">
        <v>164</v>
      </c>
      <c r="C214" s="39">
        <v>67</v>
      </c>
      <c r="D214" s="39">
        <v>146</v>
      </c>
    </row>
    <row r="215" spans="2:4">
      <c r="B215" s="95" t="s">
        <v>165</v>
      </c>
      <c r="C215" s="39">
        <v>67</v>
      </c>
      <c r="D215" s="39">
        <v>115</v>
      </c>
    </row>
    <row r="216" spans="2:4">
      <c r="B216" s="95" t="s">
        <v>166</v>
      </c>
      <c r="C216" s="39">
        <v>67</v>
      </c>
      <c r="D216" s="39">
        <v>94</v>
      </c>
    </row>
    <row r="217" spans="2:4">
      <c r="B217" s="95" t="s">
        <v>167</v>
      </c>
      <c r="C217" s="39">
        <v>67</v>
      </c>
      <c r="D217" s="39">
        <v>77</v>
      </c>
    </row>
    <row r="218" spans="2:4">
      <c r="B218" s="95" t="s">
        <v>168</v>
      </c>
      <c r="C218" s="34">
        <v>526</v>
      </c>
      <c r="D218" s="34">
        <v>477</v>
      </c>
    </row>
    <row r="219" spans="2:4">
      <c r="B219" s="95" t="s">
        <v>169</v>
      </c>
      <c r="C219" s="90">
        <v>861</v>
      </c>
      <c r="D219" s="90">
        <v>1120</v>
      </c>
    </row>
    <row r="220" spans="2:4">
      <c r="B220" s="95" t="s">
        <v>170</v>
      </c>
      <c r="C220" s="34">
        <v>-263</v>
      </c>
    </row>
    <row r="221" spans="2:4">
      <c r="B221" s="95" t="s">
        <v>171</v>
      </c>
      <c r="C221" s="35">
        <v>598</v>
      </c>
    </row>
    <row r="222" spans="2:4">
      <c r="B222" s="95" t="s">
        <v>172</v>
      </c>
      <c r="C222" s="34">
        <v>-39</v>
      </c>
    </row>
    <row r="223" spans="2:4">
      <c r="B223" s="96" t="s">
        <v>173</v>
      </c>
      <c r="C223" s="84">
        <v>559</v>
      </c>
      <c r="D223" s="85"/>
    </row>
    <row r="224" spans="2:4">
      <c r="B224" s="371"/>
      <c r="C224" s="371"/>
      <c r="D224" s="371"/>
    </row>
    <row r="225" spans="2:8">
      <c r="B225" s="368" t="s">
        <v>174</v>
      </c>
      <c r="C225" s="368"/>
      <c r="D225" s="368"/>
    </row>
    <row r="227" spans="2:8">
      <c r="B227" s="369" t="s">
        <v>175</v>
      </c>
      <c r="C227" s="369"/>
      <c r="D227" s="369"/>
      <c r="E227" s="369"/>
      <c r="F227" s="369"/>
      <c r="G227" s="369"/>
      <c r="H227" s="369"/>
    </row>
    <row r="228" spans="2:8">
      <c r="B228" s="377"/>
      <c r="C228" s="377"/>
      <c r="D228" s="377"/>
      <c r="E228" s="377"/>
      <c r="F228" s="377"/>
      <c r="G228" s="377"/>
      <c r="H228" s="377"/>
    </row>
    <row r="229" spans="2:8" ht="45">
      <c r="B229" s="97"/>
      <c r="C229" s="98" t="s">
        <v>176</v>
      </c>
      <c r="D229" s="98" t="s">
        <v>177</v>
      </c>
      <c r="E229" s="98" t="s">
        <v>178</v>
      </c>
      <c r="F229" s="99" t="s">
        <v>179</v>
      </c>
      <c r="G229" s="98" t="s">
        <v>180</v>
      </c>
      <c r="H229" s="98" t="s">
        <v>181</v>
      </c>
    </row>
    <row r="230" spans="2:8">
      <c r="B230" s="100"/>
      <c r="C230" s="101"/>
      <c r="D230" s="101"/>
      <c r="E230" s="101"/>
      <c r="F230" s="100"/>
      <c r="G230" s="101"/>
      <c r="H230" s="101"/>
    </row>
    <row r="231" spans="2:8">
      <c r="B231" s="102" t="s">
        <v>182</v>
      </c>
      <c r="C231" s="82">
        <v>68.5</v>
      </c>
      <c r="D231" s="39">
        <v>100.8</v>
      </c>
      <c r="E231" s="32">
        <v>1979</v>
      </c>
      <c r="F231" s="103">
        <v>0.25</v>
      </c>
      <c r="G231" s="39">
        <v>50.9</v>
      </c>
      <c r="H231" s="39">
        <v>12.7</v>
      </c>
    </row>
    <row r="232" spans="2:8">
      <c r="B232" s="95" t="s">
        <v>183</v>
      </c>
      <c r="C232" s="82">
        <v>49.31</v>
      </c>
      <c r="D232" s="39">
        <v>18.899999999999999</v>
      </c>
      <c r="E232" s="39">
        <v>556</v>
      </c>
      <c r="F232" s="103">
        <v>0.17</v>
      </c>
      <c r="G232" s="39">
        <v>34.1</v>
      </c>
      <c r="H232" s="39">
        <v>5.8</v>
      </c>
    </row>
    <row r="233" spans="2:8">
      <c r="B233" s="102" t="s">
        <v>184</v>
      </c>
      <c r="C233" s="82">
        <v>49.94</v>
      </c>
      <c r="D233" s="39">
        <v>124.7</v>
      </c>
      <c r="E233" s="32">
        <v>3174</v>
      </c>
      <c r="F233" s="103">
        <v>0.4</v>
      </c>
      <c r="G233" s="39">
        <v>39.299999999999997</v>
      </c>
      <c r="H233" s="39">
        <v>15.6</v>
      </c>
    </row>
    <row r="234" spans="2:8">
      <c r="B234" s="95" t="s">
        <v>185</v>
      </c>
      <c r="C234" s="82">
        <v>32.19</v>
      </c>
      <c r="D234" s="39">
        <v>48.9</v>
      </c>
      <c r="E234" s="32">
        <v>1921</v>
      </c>
      <c r="F234" s="103">
        <v>0.31</v>
      </c>
      <c r="G234" s="39">
        <v>25.5</v>
      </c>
      <c r="H234" s="39">
        <v>7.9</v>
      </c>
    </row>
    <row r="235" spans="2:8">
      <c r="B235" s="102" t="s">
        <v>186</v>
      </c>
      <c r="C235" s="82">
        <v>50.81</v>
      </c>
      <c r="D235" s="39">
        <v>227.4</v>
      </c>
      <c r="E235" s="32">
        <v>4927</v>
      </c>
      <c r="F235" s="103">
        <v>0.25</v>
      </c>
      <c r="G235" s="39">
        <v>46.1</v>
      </c>
      <c r="H235" s="39">
        <v>11.6</v>
      </c>
    </row>
    <row r="236" spans="2:8">
      <c r="B236" s="95" t="s">
        <v>187</v>
      </c>
      <c r="C236" s="82">
        <v>64.31</v>
      </c>
      <c r="D236" s="39">
        <v>28.4</v>
      </c>
      <c r="E236" s="32">
        <v>1052</v>
      </c>
      <c r="F236" s="103">
        <v>0.22</v>
      </c>
      <c r="G236" s="39">
        <v>27</v>
      </c>
      <c r="H236" s="39">
        <v>6</v>
      </c>
    </row>
    <row r="237" spans="2:8">
      <c r="B237" s="377"/>
      <c r="C237" s="377"/>
      <c r="D237" s="377"/>
      <c r="E237" s="377"/>
      <c r="F237" s="377"/>
      <c r="G237" s="377"/>
      <c r="H237" s="377"/>
    </row>
    <row r="238" spans="2:8">
      <c r="B238" s="371"/>
      <c r="C238" s="371"/>
      <c r="D238" s="371"/>
      <c r="E238" s="371"/>
      <c r="F238" s="371"/>
      <c r="G238" s="371"/>
      <c r="H238" s="371"/>
    </row>
    <row r="239" spans="2:8">
      <c r="B239" s="376" t="s">
        <v>188</v>
      </c>
      <c r="C239" s="376"/>
      <c r="D239" s="376"/>
      <c r="E239" s="376"/>
      <c r="F239" s="376"/>
      <c r="G239" s="376"/>
      <c r="H239" s="376"/>
    </row>
    <row r="240" spans="2:8">
      <c r="B240" s="378"/>
      <c r="C240" s="378"/>
      <c r="D240" s="378"/>
      <c r="E240" s="378"/>
      <c r="F240" s="378"/>
      <c r="G240" s="378"/>
      <c r="H240" s="378"/>
    </row>
    <row r="241" spans="2:8">
      <c r="B241" s="367" t="s">
        <v>189</v>
      </c>
      <c r="C241" s="368"/>
      <c r="D241" s="368"/>
      <c r="E241" s="368"/>
      <c r="F241" s="368"/>
      <c r="G241" s="368"/>
      <c r="H241" s="368"/>
    </row>
    <row r="243" spans="2:8">
      <c r="B243" s="369" t="s">
        <v>190</v>
      </c>
      <c r="C243" s="369"/>
      <c r="D243" s="369"/>
      <c r="E243" s="369"/>
      <c r="F243" s="369"/>
    </row>
    <row r="244" spans="2:8">
      <c r="B244" s="379"/>
      <c r="C244" s="379"/>
      <c r="D244" s="379"/>
      <c r="E244" s="379"/>
      <c r="F244" s="379"/>
    </row>
    <row r="245" spans="2:8">
      <c r="B245" s="380" t="s">
        <v>191</v>
      </c>
      <c r="C245" s="380"/>
      <c r="D245" s="380"/>
      <c r="E245" s="380"/>
      <c r="F245" s="380"/>
    </row>
    <row r="246" spans="2:8">
      <c r="B246" s="380" t="s">
        <v>192</v>
      </c>
      <c r="C246" s="380"/>
      <c r="D246" s="380"/>
      <c r="E246" s="380"/>
      <c r="F246" s="380"/>
    </row>
    <row r="247" spans="2:8">
      <c r="B247" s="370"/>
      <c r="C247" s="370"/>
      <c r="D247" s="370"/>
      <c r="E247" s="370"/>
      <c r="F247" s="370"/>
    </row>
    <row r="248" spans="2:8">
      <c r="B248" s="31" t="s">
        <v>193</v>
      </c>
      <c r="C248" s="31"/>
      <c r="D248" s="31"/>
      <c r="E248" s="31"/>
      <c r="F248" s="31"/>
    </row>
    <row r="249" spans="2:8">
      <c r="B249" s="33" t="s">
        <v>194</v>
      </c>
      <c r="C249" s="34" t="s">
        <v>195</v>
      </c>
      <c r="D249" s="104" t="s">
        <v>196</v>
      </c>
      <c r="E249" s="104" t="s">
        <v>197</v>
      </c>
      <c r="F249" s="104" t="s">
        <v>163</v>
      </c>
    </row>
    <row r="250" spans="2:8">
      <c r="B250" s="37" t="s">
        <v>198</v>
      </c>
      <c r="C250" s="41" t="s">
        <v>199</v>
      </c>
      <c r="D250" s="41" t="s">
        <v>200</v>
      </c>
      <c r="E250" s="41" t="s">
        <v>201</v>
      </c>
      <c r="F250" s="41" t="s">
        <v>202</v>
      </c>
    </row>
    <row r="251" spans="2:8">
      <c r="B251" s="25" t="s">
        <v>203</v>
      </c>
      <c r="C251" s="25"/>
      <c r="D251" s="25"/>
      <c r="E251" s="25"/>
      <c r="F251" s="25"/>
    </row>
    <row r="252" spans="2:8">
      <c r="B252" s="31" t="s">
        <v>204</v>
      </c>
      <c r="C252" s="39" t="s">
        <v>205</v>
      </c>
      <c r="D252" s="39" t="s">
        <v>206</v>
      </c>
      <c r="E252" s="39" t="s">
        <v>207</v>
      </c>
      <c r="F252" s="39" t="s">
        <v>208</v>
      </c>
    </row>
    <row r="253" spans="2:8">
      <c r="B253" s="31" t="s">
        <v>209</v>
      </c>
      <c r="C253" s="39" t="s">
        <v>210</v>
      </c>
      <c r="D253" s="39" t="s">
        <v>211</v>
      </c>
      <c r="E253" s="39" t="s">
        <v>212</v>
      </c>
      <c r="F253" s="39" t="s">
        <v>213</v>
      </c>
    </row>
    <row r="254" spans="2:8">
      <c r="B254" s="31" t="s">
        <v>214</v>
      </c>
      <c r="C254" s="39" t="s">
        <v>215</v>
      </c>
      <c r="D254" s="39" t="s">
        <v>216</v>
      </c>
      <c r="E254" s="39" t="s">
        <v>217</v>
      </c>
      <c r="F254" s="39" t="s">
        <v>218</v>
      </c>
    </row>
    <row r="255" spans="2:8">
      <c r="B255" s="31" t="s">
        <v>219</v>
      </c>
      <c r="C255" s="39" t="s">
        <v>220</v>
      </c>
      <c r="D255" s="39" t="s">
        <v>221</v>
      </c>
      <c r="E255" s="39" t="s">
        <v>222</v>
      </c>
      <c r="F255" s="39" t="s">
        <v>223</v>
      </c>
    </row>
    <row r="256" spans="2:8">
      <c r="B256" s="31" t="s">
        <v>224</v>
      </c>
      <c r="C256" s="39" t="s">
        <v>225</v>
      </c>
      <c r="D256" s="39" t="s">
        <v>226</v>
      </c>
      <c r="E256" s="39" t="s">
        <v>227</v>
      </c>
      <c r="F256" s="39" t="s">
        <v>228</v>
      </c>
    </row>
    <row r="257" spans="2:6">
      <c r="B257" s="31" t="s">
        <v>229</v>
      </c>
      <c r="C257" s="39" t="s">
        <v>230</v>
      </c>
      <c r="D257" s="39" t="s">
        <v>231</v>
      </c>
      <c r="E257" s="39" t="s">
        <v>232</v>
      </c>
      <c r="F257" s="39" t="s">
        <v>233</v>
      </c>
    </row>
    <row r="258" spans="2:6">
      <c r="B258" s="31" t="s">
        <v>234</v>
      </c>
      <c r="C258" s="40" t="s">
        <v>235</v>
      </c>
      <c r="D258" s="40" t="s">
        <v>235</v>
      </c>
      <c r="E258" s="39" t="s">
        <v>236</v>
      </c>
      <c r="F258" s="40" t="s">
        <v>235</v>
      </c>
    </row>
    <row r="259" spans="2:6">
      <c r="B259" s="31" t="s">
        <v>237</v>
      </c>
      <c r="C259" s="40" t="s">
        <v>235</v>
      </c>
      <c r="D259" s="39" t="s">
        <v>238</v>
      </c>
      <c r="E259" s="39" t="s">
        <v>239</v>
      </c>
      <c r="F259" s="40" t="s">
        <v>235</v>
      </c>
    </row>
    <row r="260" spans="2:6">
      <c r="B260" s="33" t="s">
        <v>32</v>
      </c>
      <c r="C260" s="34" t="s">
        <v>240</v>
      </c>
      <c r="D260" s="34" t="s">
        <v>241</v>
      </c>
      <c r="E260" s="34" t="s">
        <v>242</v>
      </c>
      <c r="F260" s="34" t="s">
        <v>243</v>
      </c>
    </row>
    <row r="261" spans="2:6">
      <c r="B261" s="37"/>
      <c r="C261" s="41" t="s">
        <v>244</v>
      </c>
      <c r="D261" s="41" t="s">
        <v>245</v>
      </c>
      <c r="E261" s="41" t="s">
        <v>246</v>
      </c>
      <c r="F261" s="41" t="s">
        <v>247</v>
      </c>
    </row>
    <row r="262" spans="2:6">
      <c r="B262" s="37" t="s">
        <v>248</v>
      </c>
      <c r="C262" s="41" t="s">
        <v>249</v>
      </c>
      <c r="D262" s="41" t="s">
        <v>250</v>
      </c>
      <c r="E262" s="41" t="s">
        <v>251</v>
      </c>
      <c r="F262" s="41" t="s">
        <v>252</v>
      </c>
    </row>
    <row r="263" spans="2:6">
      <c r="B263" s="25" t="s">
        <v>253</v>
      </c>
      <c r="C263" s="25"/>
      <c r="D263" s="25"/>
      <c r="E263" s="25"/>
      <c r="F263" s="25"/>
    </row>
    <row r="264" spans="2:6">
      <c r="B264" s="31" t="s">
        <v>254</v>
      </c>
      <c r="C264" s="39" t="s">
        <v>255</v>
      </c>
      <c r="D264" s="39" t="s">
        <v>256</v>
      </c>
      <c r="E264" s="39" t="s">
        <v>257</v>
      </c>
      <c r="F264" s="39" t="s">
        <v>258</v>
      </c>
    </row>
    <row r="265" spans="2:6">
      <c r="B265" s="33" t="s">
        <v>259</v>
      </c>
      <c r="C265" s="34" t="s">
        <v>260</v>
      </c>
      <c r="D265" s="34" t="s">
        <v>261</v>
      </c>
      <c r="E265" s="34" t="s">
        <v>262</v>
      </c>
      <c r="F265" s="34" t="s">
        <v>263</v>
      </c>
    </row>
    <row r="266" spans="2:6">
      <c r="B266" s="37"/>
      <c r="C266" s="41" t="s">
        <v>264</v>
      </c>
      <c r="D266" s="41" t="s">
        <v>265</v>
      </c>
      <c r="E266" s="41" t="s">
        <v>266</v>
      </c>
      <c r="F266" s="41" t="s">
        <v>267</v>
      </c>
    </row>
    <row r="267" spans="2:6">
      <c r="B267" s="25" t="s">
        <v>268</v>
      </c>
      <c r="C267" s="25"/>
      <c r="D267" s="25"/>
      <c r="E267" s="25"/>
      <c r="F267" s="25"/>
    </row>
    <row r="268" spans="2:6">
      <c r="B268" s="31" t="s">
        <v>269</v>
      </c>
      <c r="C268" s="39" t="s">
        <v>270</v>
      </c>
      <c r="D268" s="39" t="s">
        <v>271</v>
      </c>
      <c r="E268" s="39" t="s">
        <v>272</v>
      </c>
      <c r="F268" s="39" t="s">
        <v>273</v>
      </c>
    </row>
    <row r="269" spans="2:6">
      <c r="B269" s="33" t="s">
        <v>274</v>
      </c>
      <c r="C269" s="34" t="s">
        <v>275</v>
      </c>
      <c r="D269" s="34" t="s">
        <v>276</v>
      </c>
      <c r="E269" s="34" t="s">
        <v>277</v>
      </c>
      <c r="F269" s="34" t="s">
        <v>278</v>
      </c>
    </row>
    <row r="270" spans="2:6">
      <c r="B270" s="37" t="s">
        <v>268</v>
      </c>
      <c r="C270" s="41" t="s">
        <v>279</v>
      </c>
      <c r="D270" s="41" t="s">
        <v>280</v>
      </c>
      <c r="E270" s="41" t="s">
        <v>281</v>
      </c>
      <c r="F270" s="41" t="s">
        <v>282</v>
      </c>
    </row>
    <row r="271" spans="2:6">
      <c r="B271" s="25" t="s">
        <v>283</v>
      </c>
      <c r="C271" s="25"/>
      <c r="D271" s="25"/>
      <c r="E271" s="25"/>
      <c r="F271" s="25"/>
    </row>
    <row r="272" spans="2:6">
      <c r="B272" s="33" t="s">
        <v>284</v>
      </c>
      <c r="C272" s="36" t="s">
        <v>235</v>
      </c>
      <c r="D272" s="36" t="s">
        <v>235</v>
      </c>
      <c r="E272" s="34" t="s">
        <v>285</v>
      </c>
      <c r="F272" s="36" t="s">
        <v>235</v>
      </c>
    </row>
    <row r="273" spans="2:6">
      <c r="B273" s="37" t="s">
        <v>47</v>
      </c>
      <c r="C273" s="41" t="s">
        <v>286</v>
      </c>
      <c r="D273" s="105" t="s">
        <v>287</v>
      </c>
      <c r="E273" s="105" t="s">
        <v>288</v>
      </c>
      <c r="F273" s="105" t="s">
        <v>289</v>
      </c>
    </row>
    <row r="274" spans="2:6">
      <c r="B274" s="25" t="s">
        <v>290</v>
      </c>
      <c r="C274" s="25"/>
      <c r="D274" s="25"/>
      <c r="E274" s="25"/>
      <c r="F274" s="25"/>
    </row>
    <row r="275" spans="2:6">
      <c r="B275" s="81" t="s">
        <v>291</v>
      </c>
      <c r="C275" s="39" t="s">
        <v>292</v>
      </c>
      <c r="D275" s="106" t="s">
        <v>293</v>
      </c>
      <c r="E275" s="106" t="s">
        <v>294</v>
      </c>
      <c r="F275" s="106" t="s">
        <v>295</v>
      </c>
    </row>
    <row r="276" spans="2:6">
      <c r="B276" s="107" t="s">
        <v>296</v>
      </c>
      <c r="C276" s="33"/>
      <c r="D276" s="36" t="s">
        <v>235</v>
      </c>
      <c r="E276" s="34" t="s">
        <v>297</v>
      </c>
      <c r="F276" s="36" t="s">
        <v>235</v>
      </c>
    </row>
    <row r="277" spans="2:6">
      <c r="B277" s="37"/>
      <c r="C277" s="41" t="s">
        <v>292</v>
      </c>
      <c r="D277" s="105" t="s">
        <v>293</v>
      </c>
      <c r="E277" s="105" t="s">
        <v>298</v>
      </c>
      <c r="F277" s="105" t="s">
        <v>295</v>
      </c>
    </row>
    <row r="278" spans="2:6">
      <c r="B278" s="25" t="s">
        <v>299</v>
      </c>
      <c r="C278" s="25"/>
      <c r="D278" s="25"/>
      <c r="E278" s="25"/>
      <c r="F278" s="25"/>
    </row>
    <row r="279" spans="2:6">
      <c r="B279" s="31" t="s">
        <v>300</v>
      </c>
      <c r="C279" s="31"/>
      <c r="D279" s="31"/>
      <c r="E279" s="31"/>
      <c r="F279" s="31"/>
    </row>
    <row r="280" spans="2:6">
      <c r="B280" s="81" t="s">
        <v>291</v>
      </c>
      <c r="C280" s="39" t="s">
        <v>301</v>
      </c>
      <c r="D280" s="106" t="s">
        <v>293</v>
      </c>
      <c r="E280" s="106" t="s">
        <v>302</v>
      </c>
      <c r="F280" s="106" t="s">
        <v>303</v>
      </c>
    </row>
    <row r="281" spans="2:6">
      <c r="B281" s="107" t="s">
        <v>296</v>
      </c>
      <c r="C281" s="36" t="s">
        <v>235</v>
      </c>
      <c r="D281" s="36" t="s">
        <v>235</v>
      </c>
      <c r="E281" s="34" t="s">
        <v>297</v>
      </c>
      <c r="F281" s="36" t="s">
        <v>235</v>
      </c>
    </row>
    <row r="282" spans="2:6">
      <c r="B282" s="37"/>
      <c r="C282" s="41" t="s">
        <v>292</v>
      </c>
      <c r="D282" s="105" t="s">
        <v>293</v>
      </c>
      <c r="E282" s="105" t="s">
        <v>304</v>
      </c>
      <c r="F282" s="105" t="s">
        <v>303</v>
      </c>
    </row>
    <row r="283" spans="2:6">
      <c r="B283" s="371"/>
      <c r="C283" s="371"/>
      <c r="D283" s="371"/>
      <c r="E283" s="371"/>
      <c r="F283" s="371"/>
    </row>
    <row r="284" spans="2:6">
      <c r="B284" s="368" t="s">
        <v>305</v>
      </c>
      <c r="C284" s="368"/>
      <c r="D284" s="368"/>
      <c r="E284" s="368"/>
      <c r="F284" s="368"/>
    </row>
    <row r="285" spans="2:6">
      <c r="B285" s="368"/>
      <c r="C285" s="368"/>
      <c r="D285" s="368"/>
      <c r="E285" s="368"/>
      <c r="F285" s="368"/>
    </row>
    <row r="286" spans="2:6">
      <c r="B286" s="367" t="s">
        <v>306</v>
      </c>
      <c r="C286" s="368"/>
      <c r="D286" s="368"/>
      <c r="E286" s="368"/>
      <c r="F286" s="368"/>
    </row>
    <row r="288" spans="2:6">
      <c r="B288" s="369" t="s">
        <v>307</v>
      </c>
      <c r="C288" s="370"/>
      <c r="D288" s="370"/>
      <c r="E288" s="370"/>
      <c r="F288" s="370"/>
    </row>
    <row r="290" spans="2:7">
      <c r="B290" t="s">
        <v>308</v>
      </c>
    </row>
    <row r="291" spans="2:7">
      <c r="B291" t="s">
        <v>192</v>
      </c>
    </row>
    <row r="293" spans="2:7">
      <c r="B293" s="31" t="s">
        <v>309</v>
      </c>
      <c r="C293" s="31"/>
      <c r="D293" s="31"/>
      <c r="E293" s="31"/>
      <c r="F293" s="31"/>
      <c r="G293" s="31"/>
    </row>
    <row r="294" spans="2:7">
      <c r="B294" s="33" t="s">
        <v>310</v>
      </c>
      <c r="C294" s="34" t="s">
        <v>311</v>
      </c>
      <c r="D294" s="34" t="s">
        <v>195</v>
      </c>
      <c r="E294" s="34" t="s">
        <v>196</v>
      </c>
      <c r="F294" s="34" t="s">
        <v>197</v>
      </c>
      <c r="G294" s="34" t="s">
        <v>163</v>
      </c>
    </row>
    <row r="295" spans="2:7">
      <c r="B295" s="25" t="s">
        <v>60</v>
      </c>
      <c r="C295" s="35"/>
      <c r="D295" s="35"/>
      <c r="E295" s="35"/>
      <c r="F295" s="35"/>
      <c r="G295" s="35"/>
    </row>
    <row r="296" spans="2:7">
      <c r="B296" s="31" t="s">
        <v>61</v>
      </c>
      <c r="C296" s="39"/>
      <c r="D296" s="39"/>
      <c r="E296" s="39"/>
      <c r="F296" s="39"/>
      <c r="G296" s="39"/>
    </row>
    <row r="297" spans="2:7">
      <c r="B297" s="31" t="s">
        <v>62</v>
      </c>
      <c r="C297" s="39" t="s">
        <v>312</v>
      </c>
      <c r="D297" s="39" t="s">
        <v>313</v>
      </c>
      <c r="E297" s="39" t="s">
        <v>314</v>
      </c>
      <c r="F297" s="39" t="s">
        <v>315</v>
      </c>
      <c r="G297" s="39" t="s">
        <v>316</v>
      </c>
    </row>
    <row r="298" spans="2:7">
      <c r="B298" s="31" t="s">
        <v>317</v>
      </c>
      <c r="C298" s="39" t="s">
        <v>318</v>
      </c>
      <c r="D298" s="39" t="s">
        <v>319</v>
      </c>
      <c r="E298" s="39" t="s">
        <v>320</v>
      </c>
      <c r="F298" s="39" t="s">
        <v>321</v>
      </c>
      <c r="G298" s="39" t="s">
        <v>322</v>
      </c>
    </row>
    <row r="299" spans="2:7">
      <c r="B299" s="31" t="s">
        <v>323</v>
      </c>
      <c r="C299" s="39" t="s">
        <v>324</v>
      </c>
      <c r="D299" s="39" t="s">
        <v>325</v>
      </c>
      <c r="E299" s="39" t="s">
        <v>326</v>
      </c>
      <c r="F299" s="39" t="s">
        <v>327</v>
      </c>
      <c r="G299" s="39" t="s">
        <v>328</v>
      </c>
    </row>
    <row r="300" spans="2:7">
      <c r="B300" s="31" t="s">
        <v>86</v>
      </c>
      <c r="C300" s="39" t="s">
        <v>329</v>
      </c>
      <c r="D300" s="39" t="s">
        <v>330</v>
      </c>
      <c r="E300" s="39" t="s">
        <v>331</v>
      </c>
      <c r="F300" s="39" t="s">
        <v>332</v>
      </c>
      <c r="G300" s="39" t="s">
        <v>333</v>
      </c>
    </row>
    <row r="301" spans="2:7">
      <c r="B301" s="33" t="s">
        <v>334</v>
      </c>
      <c r="C301" s="34" t="s">
        <v>335</v>
      </c>
      <c r="D301" s="34" t="s">
        <v>336</v>
      </c>
      <c r="E301" s="34" t="s">
        <v>337</v>
      </c>
      <c r="F301" s="34" t="s">
        <v>338</v>
      </c>
      <c r="G301" s="34" t="s">
        <v>339</v>
      </c>
    </row>
    <row r="302" spans="2:7">
      <c r="B302" s="108" t="s">
        <v>340</v>
      </c>
      <c r="C302" s="41" t="s">
        <v>341</v>
      </c>
      <c r="D302" s="41" t="s">
        <v>342</v>
      </c>
      <c r="E302" s="41" t="s">
        <v>343</v>
      </c>
      <c r="F302" s="41" t="s">
        <v>344</v>
      </c>
      <c r="G302" s="41" t="s">
        <v>345</v>
      </c>
    </row>
    <row r="303" spans="2:7">
      <c r="B303" s="25" t="s">
        <v>346</v>
      </c>
      <c r="C303" s="35"/>
      <c r="D303" s="35"/>
      <c r="E303" s="35"/>
      <c r="F303" s="35"/>
      <c r="G303" s="35"/>
    </row>
    <row r="304" spans="2:7">
      <c r="B304" s="31" t="s">
        <v>347</v>
      </c>
      <c r="C304" s="39" t="s">
        <v>348</v>
      </c>
      <c r="D304" s="39" t="s">
        <v>349</v>
      </c>
      <c r="E304" s="39" t="s">
        <v>350</v>
      </c>
      <c r="F304" s="39" t="s">
        <v>351</v>
      </c>
      <c r="G304" s="39" t="s">
        <v>352</v>
      </c>
    </row>
    <row r="305" spans="2:7">
      <c r="B305" s="31" t="s">
        <v>353</v>
      </c>
      <c r="C305" s="39" t="s">
        <v>354</v>
      </c>
      <c r="D305" s="39" t="s">
        <v>355</v>
      </c>
      <c r="E305" s="39" t="s">
        <v>356</v>
      </c>
      <c r="F305" s="39" t="s">
        <v>357</v>
      </c>
      <c r="G305" s="39" t="s">
        <v>358</v>
      </c>
    </row>
    <row r="306" spans="2:7">
      <c r="B306" s="31" t="s">
        <v>359</v>
      </c>
      <c r="C306" s="39" t="s">
        <v>360</v>
      </c>
      <c r="D306" s="39" t="s">
        <v>361</v>
      </c>
      <c r="E306" s="39" t="s">
        <v>362</v>
      </c>
      <c r="F306" s="39" t="s">
        <v>363</v>
      </c>
      <c r="G306" s="39" t="s">
        <v>364</v>
      </c>
    </row>
    <row r="307" spans="2:7">
      <c r="B307" s="33" t="s">
        <v>32</v>
      </c>
      <c r="C307" s="34" t="s">
        <v>365</v>
      </c>
      <c r="D307" s="34" t="s">
        <v>366</v>
      </c>
      <c r="E307" s="34" t="s">
        <v>367</v>
      </c>
      <c r="F307" s="34" t="s">
        <v>368</v>
      </c>
      <c r="G307" s="34" t="s">
        <v>369</v>
      </c>
    </row>
    <row r="308" spans="2:7">
      <c r="B308" s="25"/>
      <c r="C308" s="35" t="s">
        <v>370</v>
      </c>
      <c r="D308" s="35" t="s">
        <v>371</v>
      </c>
      <c r="E308" s="35" t="s">
        <v>372</v>
      </c>
      <c r="F308" s="35" t="s">
        <v>373</v>
      </c>
      <c r="G308" s="35" t="s">
        <v>374</v>
      </c>
    </row>
    <row r="309" spans="2:7">
      <c r="B309" s="33" t="s">
        <v>77</v>
      </c>
      <c r="C309" s="34" t="s">
        <v>375</v>
      </c>
      <c r="D309" s="34" t="s">
        <v>376</v>
      </c>
      <c r="E309" s="34" t="s">
        <v>377</v>
      </c>
      <c r="F309" s="34" t="s">
        <v>378</v>
      </c>
      <c r="G309" s="34" t="s">
        <v>379</v>
      </c>
    </row>
    <row r="310" spans="2:7">
      <c r="B310" s="108" t="s">
        <v>380</v>
      </c>
      <c r="C310" s="41" t="s">
        <v>381</v>
      </c>
      <c r="D310" s="41" t="s">
        <v>382</v>
      </c>
      <c r="E310" s="41" t="s">
        <v>383</v>
      </c>
      <c r="F310" s="41" t="s">
        <v>384</v>
      </c>
      <c r="G310" s="41" t="s">
        <v>385</v>
      </c>
    </row>
    <row r="311" spans="2:7">
      <c r="B311" s="25" t="s">
        <v>386</v>
      </c>
      <c r="C311" s="35"/>
      <c r="D311" s="35"/>
      <c r="E311" s="35"/>
      <c r="F311" s="35"/>
      <c r="G311" s="35"/>
    </row>
    <row r="312" spans="2:7">
      <c r="B312" s="31" t="s">
        <v>387</v>
      </c>
      <c r="C312" s="39" t="s">
        <v>388</v>
      </c>
      <c r="D312" s="39" t="s">
        <v>389</v>
      </c>
      <c r="E312" s="39" t="s">
        <v>390</v>
      </c>
      <c r="F312" s="39" t="s">
        <v>391</v>
      </c>
      <c r="G312" s="39" t="s">
        <v>392</v>
      </c>
    </row>
    <row r="313" spans="2:7">
      <c r="B313" s="33" t="s">
        <v>393</v>
      </c>
      <c r="C313" s="34" t="s">
        <v>394</v>
      </c>
      <c r="D313" s="34" t="s">
        <v>395</v>
      </c>
      <c r="E313" s="34" t="s">
        <v>396</v>
      </c>
      <c r="F313" s="34" t="s">
        <v>397</v>
      </c>
      <c r="G313" s="34" t="s">
        <v>398</v>
      </c>
    </row>
    <row r="314" spans="2:7">
      <c r="B314" s="108" t="s">
        <v>399</v>
      </c>
      <c r="C314" s="41" t="s">
        <v>400</v>
      </c>
      <c r="D314" s="41" t="s">
        <v>401</v>
      </c>
      <c r="E314" s="41" t="s">
        <v>402</v>
      </c>
      <c r="F314" s="41" t="s">
        <v>403</v>
      </c>
      <c r="G314" s="41" t="s">
        <v>404</v>
      </c>
    </row>
    <row r="315" spans="2:7">
      <c r="B315" s="37"/>
      <c r="C315" s="41" t="s">
        <v>405</v>
      </c>
      <c r="D315" s="41" t="s">
        <v>406</v>
      </c>
      <c r="E315" s="41" t="s">
        <v>407</v>
      </c>
      <c r="F315" s="41" t="s">
        <v>408</v>
      </c>
      <c r="G315" s="41" t="s">
        <v>409</v>
      </c>
    </row>
    <row r="316" spans="2:7">
      <c r="B316" s="25" t="s">
        <v>410</v>
      </c>
      <c r="C316" s="35"/>
      <c r="D316" s="35"/>
      <c r="E316" s="35"/>
      <c r="F316" s="35"/>
      <c r="G316" s="35"/>
    </row>
    <row r="317" spans="2:7">
      <c r="B317" s="31" t="s">
        <v>82</v>
      </c>
      <c r="C317" s="39"/>
      <c r="D317" s="39"/>
      <c r="E317" s="39"/>
      <c r="F317" s="39"/>
      <c r="G317" s="39"/>
    </row>
    <row r="318" spans="2:7">
      <c r="B318" s="31" t="s">
        <v>411</v>
      </c>
      <c r="C318" s="39" t="s">
        <v>412</v>
      </c>
      <c r="D318" s="39" t="s">
        <v>413</v>
      </c>
      <c r="E318" s="39" t="s">
        <v>414</v>
      </c>
      <c r="F318" s="39" t="s">
        <v>415</v>
      </c>
      <c r="G318" s="39" t="s">
        <v>416</v>
      </c>
    </row>
    <row r="319" spans="2:7">
      <c r="B319" s="31" t="s">
        <v>83</v>
      </c>
      <c r="C319" s="39" t="s">
        <v>417</v>
      </c>
      <c r="D319" s="39" t="s">
        <v>418</v>
      </c>
      <c r="E319" s="39" t="s">
        <v>419</v>
      </c>
      <c r="F319" s="39" t="s">
        <v>420</v>
      </c>
      <c r="G319" s="39" t="s">
        <v>421</v>
      </c>
    </row>
    <row r="320" spans="2:7">
      <c r="B320" s="31" t="s">
        <v>422</v>
      </c>
      <c r="C320" s="39" t="s">
        <v>423</v>
      </c>
      <c r="D320" s="39" t="s">
        <v>424</v>
      </c>
      <c r="E320" s="39" t="s">
        <v>425</v>
      </c>
      <c r="F320" s="39" t="s">
        <v>426</v>
      </c>
      <c r="G320" s="39" t="s">
        <v>427</v>
      </c>
    </row>
    <row r="321" spans="2:7">
      <c r="B321" s="33" t="s">
        <v>428</v>
      </c>
      <c r="C321" s="36" t="s">
        <v>235</v>
      </c>
      <c r="D321" s="36" t="s">
        <v>235</v>
      </c>
      <c r="E321" s="36" t="s">
        <v>235</v>
      </c>
      <c r="F321" s="36" t="s">
        <v>235</v>
      </c>
      <c r="G321" s="34" t="s">
        <v>429</v>
      </c>
    </row>
    <row r="322" spans="2:7">
      <c r="B322" s="108" t="s">
        <v>430</v>
      </c>
      <c r="C322" s="41" t="s">
        <v>431</v>
      </c>
      <c r="D322" s="41" t="s">
        <v>432</v>
      </c>
      <c r="E322" s="41" t="s">
        <v>433</v>
      </c>
      <c r="F322" s="41" t="s">
        <v>434</v>
      </c>
      <c r="G322" s="41" t="s">
        <v>435</v>
      </c>
    </row>
    <row r="323" spans="2:7">
      <c r="B323" s="37" t="s">
        <v>436</v>
      </c>
      <c r="C323" s="41" t="s">
        <v>437</v>
      </c>
      <c r="D323" s="41" t="s">
        <v>438</v>
      </c>
      <c r="E323" s="41" t="s">
        <v>439</v>
      </c>
      <c r="F323" s="41" t="s">
        <v>440</v>
      </c>
      <c r="G323" s="41" t="s">
        <v>441</v>
      </c>
    </row>
    <row r="324" spans="2:7">
      <c r="B324" s="37" t="s">
        <v>442</v>
      </c>
      <c r="C324" s="41" t="s">
        <v>443</v>
      </c>
      <c r="D324" s="41" t="s">
        <v>444</v>
      </c>
      <c r="E324" s="41" t="s">
        <v>445</v>
      </c>
      <c r="F324" s="41" t="s">
        <v>446</v>
      </c>
      <c r="G324" s="41" t="s">
        <v>447</v>
      </c>
    </row>
    <row r="325" spans="2:7">
      <c r="B325" s="37" t="s">
        <v>448</v>
      </c>
      <c r="C325" s="41" t="s">
        <v>449</v>
      </c>
      <c r="D325" s="41" t="s">
        <v>450</v>
      </c>
      <c r="E325" s="41" t="s">
        <v>451</v>
      </c>
      <c r="F325" s="41" t="s">
        <v>452</v>
      </c>
      <c r="G325" s="41" t="s">
        <v>453</v>
      </c>
    </row>
    <row r="326" spans="2:7">
      <c r="B326" s="25" t="s">
        <v>454</v>
      </c>
      <c r="C326" s="35"/>
      <c r="D326" s="35"/>
      <c r="E326" s="35"/>
      <c r="F326" s="35"/>
      <c r="G326" s="35"/>
    </row>
    <row r="327" spans="2:7">
      <c r="B327" s="31" t="s">
        <v>455</v>
      </c>
      <c r="C327" s="39"/>
      <c r="D327" s="39"/>
      <c r="E327" s="39"/>
      <c r="F327" s="39"/>
      <c r="G327" s="39"/>
    </row>
    <row r="328" spans="2:7">
      <c r="B328" s="31" t="s">
        <v>456</v>
      </c>
      <c r="C328" s="39" t="s">
        <v>457</v>
      </c>
      <c r="D328" s="39" t="s">
        <v>458</v>
      </c>
      <c r="E328" s="39" t="s">
        <v>459</v>
      </c>
      <c r="F328" s="39" t="s">
        <v>460</v>
      </c>
      <c r="G328" s="39" t="s">
        <v>461</v>
      </c>
    </row>
    <row r="329" spans="2:7">
      <c r="B329" s="31" t="s">
        <v>97</v>
      </c>
      <c r="C329" s="39" t="s">
        <v>462</v>
      </c>
      <c r="D329" s="39" t="s">
        <v>463</v>
      </c>
      <c r="E329" s="39" t="s">
        <v>464</v>
      </c>
      <c r="F329" s="39" t="s">
        <v>465</v>
      </c>
      <c r="G329" s="39" t="s">
        <v>466</v>
      </c>
    </row>
    <row r="330" spans="2:7">
      <c r="B330" s="31" t="s">
        <v>98</v>
      </c>
      <c r="C330" s="39" t="s">
        <v>467</v>
      </c>
      <c r="D330" s="39" t="s">
        <v>468</v>
      </c>
      <c r="E330" s="39" t="s">
        <v>469</v>
      </c>
      <c r="F330" s="39" t="s">
        <v>470</v>
      </c>
      <c r="G330" s="39" t="s">
        <v>471</v>
      </c>
    </row>
    <row r="331" spans="2:7">
      <c r="B331" s="33" t="s">
        <v>472</v>
      </c>
      <c r="C331" s="34" t="s">
        <v>473</v>
      </c>
      <c r="D331" s="34" t="s">
        <v>473</v>
      </c>
      <c r="E331" s="34" t="s">
        <v>473</v>
      </c>
      <c r="F331" s="34" t="s">
        <v>474</v>
      </c>
      <c r="G331" s="34" t="s">
        <v>475</v>
      </c>
    </row>
    <row r="332" spans="2:7">
      <c r="B332" s="25"/>
      <c r="C332" s="35" t="s">
        <v>476</v>
      </c>
      <c r="D332" s="35" t="s">
        <v>477</v>
      </c>
      <c r="E332" s="35" t="s">
        <v>478</v>
      </c>
      <c r="F332" s="35" t="s">
        <v>479</v>
      </c>
      <c r="G332" s="35" t="s">
        <v>480</v>
      </c>
    </row>
    <row r="333" spans="2:7">
      <c r="B333" s="33" t="s">
        <v>481</v>
      </c>
      <c r="C333" s="34" t="s">
        <v>482</v>
      </c>
      <c r="D333" s="34" t="s">
        <v>483</v>
      </c>
      <c r="E333" s="34" t="s">
        <v>484</v>
      </c>
      <c r="F333" s="34" t="s">
        <v>485</v>
      </c>
      <c r="G333" s="34" t="s">
        <v>486</v>
      </c>
    </row>
    <row r="334" spans="2:7">
      <c r="B334" s="108" t="s">
        <v>487</v>
      </c>
      <c r="C334" s="41" t="s">
        <v>488</v>
      </c>
      <c r="D334" s="41" t="s">
        <v>489</v>
      </c>
      <c r="E334" s="41" t="s">
        <v>490</v>
      </c>
      <c r="F334" s="41" t="s">
        <v>491</v>
      </c>
      <c r="G334" s="41" t="s">
        <v>492</v>
      </c>
    </row>
    <row r="335" spans="2:7">
      <c r="B335" s="37"/>
      <c r="C335" s="41" t="s">
        <v>405</v>
      </c>
      <c r="D335" s="41" t="s">
        <v>406</v>
      </c>
      <c r="E335" s="41" t="s">
        <v>407</v>
      </c>
      <c r="F335" s="41" t="s">
        <v>408</v>
      </c>
      <c r="G335" s="41" t="s">
        <v>409</v>
      </c>
    </row>
    <row r="336" spans="2:7">
      <c r="B336" s="371"/>
      <c r="C336" s="371"/>
      <c r="D336" s="371"/>
      <c r="E336" s="371"/>
      <c r="F336" s="371"/>
      <c r="G336" s="371"/>
    </row>
    <row r="337" spans="2:7">
      <c r="B337" s="368" t="s">
        <v>305</v>
      </c>
      <c r="C337" s="368"/>
      <c r="D337" s="368"/>
      <c r="E337" s="368"/>
      <c r="F337" s="368"/>
      <c r="G337" s="368"/>
    </row>
    <row r="338" spans="2:7">
      <c r="B338" s="368"/>
      <c r="C338" s="368"/>
      <c r="D338" s="368"/>
      <c r="E338" s="368"/>
      <c r="F338" s="368"/>
      <c r="G338" s="368"/>
    </row>
    <row r="339" spans="2:7">
      <c r="B339" s="367" t="s">
        <v>493</v>
      </c>
      <c r="C339" s="368"/>
      <c r="D339" s="368"/>
      <c r="E339" s="368"/>
      <c r="F339" s="368"/>
      <c r="G339" s="368"/>
    </row>
    <row r="340" spans="2:7">
      <c r="B340" s="368" t="s">
        <v>494</v>
      </c>
      <c r="C340" s="368"/>
      <c r="D340" s="368"/>
      <c r="E340" s="368"/>
      <c r="F340" s="368"/>
      <c r="G340" s="368"/>
    </row>
    <row r="342" spans="2:7">
      <c r="B342" s="372" t="s">
        <v>495</v>
      </c>
      <c r="C342" s="372"/>
    </row>
    <row r="343" spans="2:7">
      <c r="B343" s="373"/>
      <c r="C343" s="373"/>
    </row>
    <row r="344" spans="2:7">
      <c r="B344" s="374" t="s">
        <v>496</v>
      </c>
      <c r="C344" s="374"/>
    </row>
    <row r="345" spans="2:7">
      <c r="B345" s="109"/>
      <c r="C345" s="109"/>
    </row>
    <row r="346" spans="2:7">
      <c r="B346" s="110" t="s">
        <v>497</v>
      </c>
      <c r="C346" s="111" t="s">
        <v>498</v>
      </c>
    </row>
    <row r="347" spans="2:7">
      <c r="B347" s="110" t="s">
        <v>499</v>
      </c>
      <c r="C347" s="112">
        <v>41.5</v>
      </c>
    </row>
    <row r="348" spans="2:7">
      <c r="B348" s="110" t="s">
        <v>500</v>
      </c>
      <c r="C348" s="111">
        <v>19.8</v>
      </c>
    </row>
    <row r="349" spans="2:7">
      <c r="B349" s="110" t="s">
        <v>501</v>
      </c>
      <c r="C349" s="111">
        <v>0.74</v>
      </c>
      <c r="E349" s="113"/>
    </row>
    <row r="350" spans="2:7">
      <c r="B350" s="110" t="s">
        <v>502</v>
      </c>
      <c r="C350" s="111">
        <v>2.68</v>
      </c>
    </row>
    <row r="351" spans="2:7">
      <c r="B351" s="110" t="s">
        <v>503</v>
      </c>
      <c r="C351" s="111">
        <v>1.1599999999999999</v>
      </c>
    </row>
    <row r="352" spans="2:7">
      <c r="B352" s="114"/>
      <c r="C352" s="115"/>
    </row>
    <row r="353" spans="2:7">
      <c r="B353" s="375"/>
      <c r="C353" s="375"/>
    </row>
    <row r="354" spans="2:7">
      <c r="B354" s="366" t="s">
        <v>504</v>
      </c>
      <c r="C354" s="366"/>
      <c r="D354" s="58"/>
      <c r="E354" s="58"/>
      <c r="F354" s="58"/>
      <c r="G354" s="58"/>
    </row>
  </sheetData>
  <mergeCells count="55">
    <mergeCell ref="B3:M3"/>
    <mergeCell ref="B4:M4"/>
    <mergeCell ref="B24:M24"/>
    <mergeCell ref="B25:M25"/>
    <mergeCell ref="B27:I27"/>
    <mergeCell ref="B178:F178"/>
    <mergeCell ref="B181:D181"/>
    <mergeCell ref="B28:I28"/>
    <mergeCell ref="B117:D117"/>
    <mergeCell ref="C122:G122"/>
    <mergeCell ref="F68:H68"/>
    <mergeCell ref="B129:H129"/>
    <mergeCell ref="B177:F177"/>
    <mergeCell ref="B29:I29"/>
    <mergeCell ref="B30:I30"/>
    <mergeCell ref="B63:I63"/>
    <mergeCell ref="B130:H130"/>
    <mergeCell ref="B132:F132"/>
    <mergeCell ref="B133:F133"/>
    <mergeCell ref="D134:E134"/>
    <mergeCell ref="B182:D182"/>
    <mergeCell ref="B201:D201"/>
    <mergeCell ref="B202:D202"/>
    <mergeCell ref="B246:F246"/>
    <mergeCell ref="B247:F247"/>
    <mergeCell ref="B228:H228"/>
    <mergeCell ref="B203:D203"/>
    <mergeCell ref="B205:C205"/>
    <mergeCell ref="B224:D224"/>
    <mergeCell ref="B225:D225"/>
    <mergeCell ref="B227:H227"/>
    <mergeCell ref="B283:F283"/>
    <mergeCell ref="B284:F284"/>
    <mergeCell ref="B237:H237"/>
    <mergeCell ref="B240:H240"/>
    <mergeCell ref="B241:H241"/>
    <mergeCell ref="B243:F243"/>
    <mergeCell ref="B244:F244"/>
    <mergeCell ref="B245:F245"/>
    <mergeCell ref="B1:M1"/>
    <mergeCell ref="B354:C354"/>
    <mergeCell ref="B286:F286"/>
    <mergeCell ref="B288:F288"/>
    <mergeCell ref="B336:G336"/>
    <mergeCell ref="B337:G337"/>
    <mergeCell ref="B338:G338"/>
    <mergeCell ref="B339:G339"/>
    <mergeCell ref="B340:G340"/>
    <mergeCell ref="B342:C342"/>
    <mergeCell ref="B343:C343"/>
    <mergeCell ref="B344:C344"/>
    <mergeCell ref="B353:C353"/>
    <mergeCell ref="B285:F285"/>
    <mergeCell ref="B238:H238"/>
    <mergeCell ref="B239:H2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455A-C65E-2D4D-898E-D3EECB2B0958}">
  <sheetPr>
    <tabColor theme="8" tint="0.79998168889431442"/>
  </sheetPr>
  <dimension ref="B1:I53"/>
  <sheetViews>
    <sheetView topLeftCell="A16" zoomScaleNormal="100" workbookViewId="0">
      <selection activeCell="G15" sqref="G15"/>
    </sheetView>
  </sheetViews>
  <sheetFormatPr baseColWidth="10" defaultRowHeight="16"/>
  <cols>
    <col min="1" max="1" width="4.6640625" style="143" customWidth="1"/>
    <col min="2" max="2" width="26.6640625" style="143" customWidth="1"/>
    <col min="3" max="3" width="12.1640625" style="143" customWidth="1"/>
    <col min="4" max="6" width="10.83203125" style="143"/>
    <col min="7" max="7" width="40.1640625" style="143" customWidth="1"/>
    <col min="8" max="9" width="20.1640625" style="143" customWidth="1"/>
    <col min="10" max="16384" width="10.83203125" style="143"/>
  </cols>
  <sheetData>
    <row r="1" spans="2:9" ht="20">
      <c r="B1" s="389" t="s">
        <v>627</v>
      </c>
      <c r="C1" s="389"/>
      <c r="D1" s="389"/>
      <c r="E1" s="389"/>
      <c r="F1" s="389"/>
      <c r="G1" s="389"/>
      <c r="H1" s="389"/>
      <c r="I1" s="389"/>
    </row>
    <row r="3" spans="2:9">
      <c r="B3" s="390" t="s">
        <v>507</v>
      </c>
      <c r="C3" s="391"/>
      <c r="D3" s="391"/>
      <c r="E3" s="392"/>
      <c r="G3" s="390" t="s">
        <v>526</v>
      </c>
      <c r="H3" s="391"/>
      <c r="I3" s="392"/>
    </row>
    <row r="4" spans="2:9">
      <c r="B4" s="144" t="s">
        <v>510</v>
      </c>
      <c r="C4" s="145"/>
      <c r="D4" s="145" t="s">
        <v>508</v>
      </c>
      <c r="E4" s="146" t="s">
        <v>509</v>
      </c>
      <c r="G4" s="193" t="s">
        <v>160</v>
      </c>
      <c r="H4" s="192" t="s">
        <v>161</v>
      </c>
      <c r="I4" s="194" t="s">
        <v>162</v>
      </c>
    </row>
    <row r="5" spans="2:9">
      <c r="B5" s="144"/>
      <c r="C5" s="145"/>
      <c r="D5" s="145">
        <v>1999</v>
      </c>
      <c r="E5" s="146">
        <v>2004</v>
      </c>
      <c r="G5" s="149" t="s">
        <v>163</v>
      </c>
      <c r="H5" s="184">
        <v>67</v>
      </c>
      <c r="I5" s="190">
        <v>211</v>
      </c>
    </row>
    <row r="6" spans="2:9">
      <c r="B6" s="144" t="s">
        <v>513</v>
      </c>
      <c r="C6" s="145">
        <f>E5-D5</f>
        <v>5</v>
      </c>
      <c r="E6" s="146"/>
      <c r="G6" s="149" t="s">
        <v>164</v>
      </c>
      <c r="H6" s="150">
        <v>67</v>
      </c>
      <c r="I6" s="151">
        <v>146</v>
      </c>
    </row>
    <row r="7" spans="2:9">
      <c r="B7" s="152" t="s">
        <v>512</v>
      </c>
      <c r="C7" s="153">
        <v>254</v>
      </c>
      <c r="D7" s="153"/>
      <c r="E7" s="154"/>
      <c r="G7" s="149" t="s">
        <v>165</v>
      </c>
      <c r="H7" s="150">
        <v>67</v>
      </c>
      <c r="I7" s="151">
        <v>115</v>
      </c>
    </row>
    <row r="8" spans="2:9">
      <c r="G8" s="149" t="s">
        <v>166</v>
      </c>
      <c r="H8" s="150">
        <v>67</v>
      </c>
      <c r="I8" s="151">
        <v>94</v>
      </c>
    </row>
    <row r="9" spans="2:9">
      <c r="B9" s="396" t="s">
        <v>525</v>
      </c>
      <c r="C9" s="397"/>
      <c r="D9" s="397"/>
      <c r="E9" s="398"/>
      <c r="F9" s="155"/>
      <c r="G9" s="149" t="s">
        <v>167</v>
      </c>
      <c r="H9" s="150">
        <v>67</v>
      </c>
      <c r="I9" s="151">
        <v>77</v>
      </c>
    </row>
    <row r="10" spans="2:9">
      <c r="B10" s="156" t="s">
        <v>117</v>
      </c>
      <c r="C10" s="145"/>
      <c r="D10" s="145"/>
      <c r="E10" s="146"/>
      <c r="G10" s="149" t="s">
        <v>168</v>
      </c>
      <c r="H10" s="157">
        <v>526</v>
      </c>
      <c r="I10" s="158">
        <v>477</v>
      </c>
    </row>
    <row r="11" spans="2:9" ht="17">
      <c r="B11" s="159" t="s">
        <v>118</v>
      </c>
      <c r="C11" s="145"/>
      <c r="D11" s="145"/>
      <c r="E11" s="160">
        <f>'Data Source'!M141</f>
        <v>0.1201409065592723</v>
      </c>
      <c r="G11" s="161" t="s">
        <v>169</v>
      </c>
      <c r="H11" s="147">
        <v>861</v>
      </c>
      <c r="I11" s="148">
        <v>1120</v>
      </c>
    </row>
    <row r="12" spans="2:9">
      <c r="B12" s="159" t="s">
        <v>9</v>
      </c>
      <c r="C12" s="145"/>
      <c r="D12" s="145"/>
      <c r="E12" s="160">
        <f>'Data Source'!M142</f>
        <v>3.0563862783769807E-2</v>
      </c>
      <c r="G12" s="149" t="s">
        <v>170</v>
      </c>
      <c r="H12" s="157">
        <v>-263</v>
      </c>
      <c r="I12" s="146"/>
    </row>
    <row r="13" spans="2:9" ht="17">
      <c r="B13" s="159" t="s">
        <v>14</v>
      </c>
      <c r="C13" s="145"/>
      <c r="D13" s="145"/>
      <c r="E13" s="160">
        <f>'Data Source'!M143</f>
        <v>-9.8894454680467838E-3</v>
      </c>
      <c r="G13" s="161" t="s">
        <v>516</v>
      </c>
      <c r="H13" s="162">
        <v>598</v>
      </c>
      <c r="I13" s="146"/>
    </row>
    <row r="14" spans="2:9">
      <c r="B14" s="149" t="s">
        <v>120</v>
      </c>
      <c r="C14" s="145"/>
      <c r="D14" s="145"/>
      <c r="E14" s="160">
        <f>'Data Source'!M145</f>
        <v>0</v>
      </c>
      <c r="G14" s="149" t="s">
        <v>172</v>
      </c>
      <c r="H14" s="157">
        <v>-39</v>
      </c>
      <c r="I14" s="146"/>
    </row>
    <row r="15" spans="2:9" ht="18" customHeight="1">
      <c r="B15" s="159" t="s">
        <v>121</v>
      </c>
      <c r="C15" s="145"/>
      <c r="D15" s="145"/>
      <c r="E15" s="160">
        <f>'Data Source'!M146</f>
        <v>5.1196334921447635E-3</v>
      </c>
      <c r="G15" s="174" t="s">
        <v>173</v>
      </c>
      <c r="H15" s="163">
        <v>559</v>
      </c>
      <c r="I15" s="154"/>
    </row>
    <row r="16" spans="2:9">
      <c r="B16" s="196" t="s">
        <v>122</v>
      </c>
      <c r="C16" s="153"/>
      <c r="D16" s="153"/>
      <c r="E16" s="165">
        <f>'Data Source'!M147</f>
        <v>0.13561721063550128</v>
      </c>
    </row>
    <row r="17" spans="2:9" ht="16" customHeight="1">
      <c r="B17" s="167"/>
      <c r="C17" s="168"/>
      <c r="G17" s="393" t="s">
        <v>528</v>
      </c>
      <c r="H17" s="394"/>
      <c r="I17" s="395"/>
    </row>
    <row r="18" spans="2:9">
      <c r="B18" s="396" t="s">
        <v>524</v>
      </c>
      <c r="C18" s="397"/>
      <c r="D18" s="397"/>
      <c r="E18" s="398"/>
      <c r="G18" s="164" t="s">
        <v>518</v>
      </c>
      <c r="H18" s="145"/>
      <c r="I18" s="146"/>
    </row>
    <row r="19" spans="2:9" ht="22" customHeight="1">
      <c r="B19" s="156" t="s">
        <v>117</v>
      </c>
      <c r="C19" s="145"/>
      <c r="D19" s="145"/>
      <c r="E19" s="146"/>
      <c r="G19" s="144" t="s">
        <v>70</v>
      </c>
      <c r="H19" s="145"/>
      <c r="I19" s="166">
        <f>'Data Source'!H81</f>
        <v>0.14858184419641315</v>
      </c>
    </row>
    <row r="20" spans="2:9">
      <c r="B20" s="159" t="s">
        <v>118</v>
      </c>
      <c r="C20" s="145"/>
      <c r="D20" s="145"/>
      <c r="E20" s="160">
        <f>'Data Source'!M152</f>
        <v>6.0058729593606879E-3</v>
      </c>
      <c r="G20" s="144" t="s">
        <v>519</v>
      </c>
      <c r="H20" s="145"/>
      <c r="I20" s="166">
        <f>'Data Source'!H82</f>
        <v>0.30685182293484337</v>
      </c>
    </row>
    <row r="21" spans="2:9" ht="17">
      <c r="B21" s="159" t="s">
        <v>9</v>
      </c>
      <c r="C21" s="145"/>
      <c r="D21" s="145"/>
      <c r="E21" s="160">
        <f>'Data Source'!M153</f>
        <v>3.2200010412684131E-2</v>
      </c>
      <c r="G21" s="169" t="s">
        <v>520</v>
      </c>
      <c r="H21" s="145"/>
      <c r="I21" s="166">
        <f>'Data Source'!H86</f>
        <v>0.17404657664956799</v>
      </c>
    </row>
    <row r="22" spans="2:9">
      <c r="B22" s="159" t="s">
        <v>14</v>
      </c>
      <c r="C22" s="145"/>
      <c r="D22" s="145"/>
      <c r="E22" s="160">
        <f>'Data Source'!M154</f>
        <v>3.6528742153507952E-2</v>
      </c>
      <c r="G22" s="164" t="s">
        <v>522</v>
      </c>
      <c r="H22" s="145"/>
      <c r="I22" s="146"/>
    </row>
    <row r="23" spans="2:9">
      <c r="B23" s="149" t="s">
        <v>120</v>
      </c>
      <c r="C23" s="145"/>
      <c r="D23" s="145"/>
      <c r="E23" s="160">
        <f>'Data Source'!M156</f>
        <v>0</v>
      </c>
      <c r="G23" s="144" t="s">
        <v>73</v>
      </c>
      <c r="H23" s="170"/>
      <c r="I23" s="160">
        <v>0.01</v>
      </c>
    </row>
    <row r="24" spans="2:9" ht="18" customHeight="1">
      <c r="B24" s="159" t="s">
        <v>121</v>
      </c>
      <c r="C24" s="145"/>
      <c r="D24" s="145"/>
      <c r="E24" s="160">
        <f>'Data Source'!M157</f>
        <v>-6.0549618676948934E-2</v>
      </c>
      <c r="G24" s="144" t="s">
        <v>74</v>
      </c>
      <c r="H24" s="171"/>
      <c r="I24" s="160">
        <v>0.01</v>
      </c>
    </row>
    <row r="25" spans="2:9">
      <c r="B25" s="196" t="s">
        <v>122</v>
      </c>
      <c r="C25" s="153"/>
      <c r="D25" s="153"/>
      <c r="E25" s="165">
        <f>'Data Source'!M158</f>
        <v>-3.4134901881338463E-2</v>
      </c>
      <c r="G25" s="144" t="s">
        <v>521</v>
      </c>
      <c r="H25" s="171"/>
      <c r="I25" s="160">
        <v>0.01</v>
      </c>
    </row>
    <row r="26" spans="2:9">
      <c r="G26" s="152" t="s">
        <v>569</v>
      </c>
      <c r="H26" s="172"/>
      <c r="I26" s="165">
        <v>0</v>
      </c>
    </row>
    <row r="27" spans="2:9">
      <c r="B27" s="390" t="s">
        <v>511</v>
      </c>
      <c r="C27" s="391"/>
      <c r="D27" s="391"/>
      <c r="E27" s="392"/>
      <c r="H27" s="173"/>
    </row>
    <row r="28" spans="2:9">
      <c r="B28" s="149" t="s">
        <v>128</v>
      </c>
      <c r="C28" s="145"/>
      <c r="D28" s="145"/>
      <c r="E28" s="160">
        <f>'Data Source'!M170</f>
        <v>0.15906941395354476</v>
      </c>
      <c r="G28" s="393" t="s">
        <v>523</v>
      </c>
      <c r="H28" s="394"/>
      <c r="I28" s="395"/>
    </row>
    <row r="29" spans="2:9">
      <c r="B29" s="174" t="s">
        <v>28</v>
      </c>
      <c r="C29" s="153"/>
      <c r="D29" s="153"/>
      <c r="E29" s="165">
        <f>'Data Source'!M172</f>
        <v>0.33154412063852345</v>
      </c>
      <c r="G29" s="144" t="s">
        <v>529</v>
      </c>
      <c r="H29" s="145"/>
      <c r="I29" s="176" t="s">
        <v>531</v>
      </c>
    </row>
    <row r="30" spans="2:9">
      <c r="G30" s="144" t="s">
        <v>70</v>
      </c>
      <c r="H30" s="145"/>
      <c r="I30" s="146">
        <v>15</v>
      </c>
    </row>
    <row r="31" spans="2:9">
      <c r="B31" s="390" t="s">
        <v>527</v>
      </c>
      <c r="C31" s="391"/>
      <c r="D31" s="391"/>
      <c r="E31" s="392"/>
      <c r="G31" s="177" t="s">
        <v>530</v>
      </c>
      <c r="H31" s="145"/>
      <c r="I31" s="146">
        <v>35</v>
      </c>
    </row>
    <row r="32" spans="2:9">
      <c r="B32" s="144" t="s">
        <v>31</v>
      </c>
      <c r="C32" s="145"/>
      <c r="D32" s="145"/>
      <c r="E32" s="166">
        <f>'Data Source'!P39</f>
        <v>5.2206976319970511E-2</v>
      </c>
      <c r="G32" s="144" t="s">
        <v>73</v>
      </c>
      <c r="H32" s="145"/>
      <c r="I32" s="146">
        <v>40</v>
      </c>
    </row>
    <row r="33" spans="2:9">
      <c r="B33" s="152" t="s">
        <v>514</v>
      </c>
      <c r="C33" s="153"/>
      <c r="D33" s="153"/>
      <c r="E33" s="175">
        <f>'Data Source'!P40</f>
        <v>4.0314255820568301E-2</v>
      </c>
      <c r="G33" s="144" t="s">
        <v>74</v>
      </c>
      <c r="H33" s="171"/>
      <c r="I33" s="146">
        <v>25</v>
      </c>
    </row>
    <row r="34" spans="2:9" ht="17">
      <c r="G34" s="169" t="s">
        <v>520</v>
      </c>
      <c r="H34" s="178"/>
      <c r="I34" s="146">
        <v>30</v>
      </c>
    </row>
    <row r="35" spans="2:9">
      <c r="B35" s="390" t="s">
        <v>537</v>
      </c>
      <c r="C35" s="391"/>
      <c r="D35" s="391"/>
      <c r="E35" s="392"/>
      <c r="G35" s="152" t="s">
        <v>521</v>
      </c>
      <c r="H35" s="179"/>
      <c r="I35" s="154">
        <v>25</v>
      </c>
    </row>
    <row r="36" spans="2:9">
      <c r="B36" s="164" t="s">
        <v>538</v>
      </c>
      <c r="C36" s="145"/>
      <c r="D36" s="145"/>
      <c r="E36" s="146"/>
    </row>
    <row r="37" spans="2:9">
      <c r="B37" s="186" t="s">
        <v>539</v>
      </c>
      <c r="C37" s="145"/>
      <c r="D37" s="145"/>
      <c r="E37" s="166">
        <f>'Data Source'!H75</f>
        <v>0.10826845400891985</v>
      </c>
      <c r="G37" s="390" t="s">
        <v>532</v>
      </c>
      <c r="H37" s="391"/>
      <c r="I37" s="392"/>
    </row>
    <row r="38" spans="2:9">
      <c r="B38" s="186" t="s">
        <v>541</v>
      </c>
      <c r="C38" s="145"/>
      <c r="D38" s="145"/>
      <c r="E38" s="166">
        <f>'Data Source'!H76</f>
        <v>2.907471818407216E-2</v>
      </c>
      <c r="G38" s="144" t="s">
        <v>533</v>
      </c>
      <c r="H38" s="145"/>
      <c r="I38" s="180">
        <f>'Data Source'!F102</f>
        <v>2387</v>
      </c>
    </row>
    <row r="39" spans="2:9">
      <c r="B39" s="186" t="s">
        <v>540</v>
      </c>
      <c r="C39" s="145"/>
      <c r="D39" s="145"/>
      <c r="E39" s="166">
        <f>'Data Source'!H77</f>
        <v>1.6948995987173476E-2</v>
      </c>
      <c r="G39" s="144" t="s">
        <v>534</v>
      </c>
      <c r="H39" s="145"/>
      <c r="I39" s="181">
        <v>0.01</v>
      </c>
    </row>
    <row r="40" spans="2:9">
      <c r="B40" s="186" t="s">
        <v>542</v>
      </c>
      <c r="C40" s="145"/>
      <c r="D40" s="145"/>
      <c r="E40" s="166">
        <f>'Data Source'!H95</f>
        <v>5.3538512777685968E-2</v>
      </c>
      <c r="G40" s="144" t="s">
        <v>535</v>
      </c>
      <c r="H40" s="145"/>
      <c r="I40" s="182">
        <v>5.0000000000000001E-3</v>
      </c>
    </row>
    <row r="41" spans="2:9">
      <c r="B41" s="186" t="s">
        <v>543</v>
      </c>
      <c r="C41" s="145"/>
      <c r="D41" s="145"/>
      <c r="E41" s="166">
        <f>'Data Source'!H96</f>
        <v>4.8609742004126599E-2</v>
      </c>
      <c r="G41" s="152" t="s">
        <v>536</v>
      </c>
      <c r="H41" s="153"/>
      <c r="I41" s="183">
        <v>7.0000000000000007E-2</v>
      </c>
    </row>
    <row r="42" spans="2:9">
      <c r="B42" s="186" t="s">
        <v>88</v>
      </c>
      <c r="C42" s="145"/>
      <c r="D42" s="145"/>
      <c r="E42" s="166">
        <f>'Data Source'!H100</f>
        <v>2.69453619287515E-2</v>
      </c>
    </row>
    <row r="43" spans="2:9">
      <c r="B43" s="144"/>
      <c r="C43" s="145"/>
      <c r="D43" s="145"/>
      <c r="E43" s="146"/>
      <c r="G43" s="390" t="s">
        <v>546</v>
      </c>
      <c r="H43" s="391"/>
      <c r="I43" s="392"/>
    </row>
    <row r="44" spans="2:9">
      <c r="B44" s="187" t="s">
        <v>544</v>
      </c>
      <c r="C44" s="188"/>
      <c r="D44" s="188"/>
      <c r="E44" s="189"/>
      <c r="G44" s="152" t="s">
        <v>545</v>
      </c>
      <c r="H44" s="153"/>
      <c r="I44" s="183">
        <v>0.35</v>
      </c>
    </row>
    <row r="46" spans="2:9">
      <c r="G46" s="390" t="s">
        <v>623</v>
      </c>
      <c r="H46" s="391"/>
      <c r="I46" s="392"/>
    </row>
    <row r="47" spans="2:9">
      <c r="G47" s="202" t="s">
        <v>624</v>
      </c>
      <c r="H47" s="153"/>
      <c r="I47" s="154"/>
    </row>
    <row r="48" spans="2:9">
      <c r="B48" s="185"/>
      <c r="C48" s="185"/>
      <c r="D48" s="185"/>
      <c r="E48" s="185"/>
      <c r="G48" s="201"/>
    </row>
    <row r="53" ht="16" customHeight="1"/>
  </sheetData>
  <mergeCells count="13">
    <mergeCell ref="B1:I1"/>
    <mergeCell ref="G46:I46"/>
    <mergeCell ref="B35:E35"/>
    <mergeCell ref="G43:I43"/>
    <mergeCell ref="G3:I3"/>
    <mergeCell ref="B31:E31"/>
    <mergeCell ref="G28:I28"/>
    <mergeCell ref="G17:I17"/>
    <mergeCell ref="G37:I37"/>
    <mergeCell ref="B3:E3"/>
    <mergeCell ref="B9:E9"/>
    <mergeCell ref="B18:E18"/>
    <mergeCell ref="B27:E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9A5F-3DA5-3142-86D3-E04AEE3D372A}">
  <sheetPr>
    <tabColor theme="5" tint="0.79998168889431442"/>
  </sheetPr>
  <dimension ref="A1:K305"/>
  <sheetViews>
    <sheetView topLeftCell="A272" zoomScaleNormal="100" workbookViewId="0">
      <selection activeCell="G82" sqref="G82"/>
    </sheetView>
  </sheetViews>
  <sheetFormatPr baseColWidth="10" defaultRowHeight="16"/>
  <cols>
    <col min="1" max="1" width="3.5" style="143" customWidth="1"/>
    <col min="2" max="2" width="24.5" style="143" customWidth="1"/>
    <col min="3" max="3" width="16" style="143" customWidth="1"/>
    <col min="4" max="4" width="13.5" style="228" bestFit="1" customWidth="1"/>
    <col min="5" max="6" width="12.33203125" style="276" bestFit="1" customWidth="1"/>
    <col min="7" max="7" width="16.1640625" style="310" customWidth="1"/>
    <col min="8" max="11" width="15.6640625" style="310" bestFit="1" customWidth="1"/>
    <col min="12" max="16384" width="10.83203125" style="143"/>
  </cols>
  <sheetData>
    <row r="1" spans="1:11" ht="20">
      <c r="A1" s="327"/>
      <c r="B1" s="389" t="s">
        <v>567</v>
      </c>
      <c r="C1" s="389"/>
      <c r="D1" s="389"/>
      <c r="E1" s="389"/>
      <c r="F1" s="389"/>
      <c r="G1" s="389"/>
      <c r="H1" s="389"/>
      <c r="I1" s="389"/>
      <c r="J1" s="389"/>
      <c r="K1" s="389"/>
    </row>
    <row r="2" spans="1:11">
      <c r="B2" s="203"/>
      <c r="C2" s="203"/>
      <c r="D2" s="219"/>
      <c r="E2" s="261"/>
      <c r="F2" s="261"/>
      <c r="G2" s="290"/>
      <c r="H2" s="290"/>
      <c r="I2" s="290"/>
      <c r="J2" s="290"/>
      <c r="K2" s="290"/>
    </row>
    <row r="3" spans="1:11">
      <c r="B3" s="399" t="s">
        <v>547</v>
      </c>
      <c r="C3" s="399"/>
      <c r="D3" s="399"/>
      <c r="E3" s="399"/>
      <c r="F3" s="399"/>
      <c r="G3" s="399"/>
      <c r="H3" s="399"/>
      <c r="I3" s="399"/>
      <c r="J3" s="399"/>
      <c r="K3" s="399"/>
    </row>
    <row r="4" spans="1:11" s="204" customFormat="1">
      <c r="B4" s="200"/>
      <c r="C4" s="200"/>
      <c r="D4" s="220">
        <v>1996</v>
      </c>
      <c r="E4" s="262">
        <f>D4+1</f>
        <v>1997</v>
      </c>
      <c r="F4" s="262">
        <f t="shared" ref="F4:J4" si="0">E4+1</f>
        <v>1998</v>
      </c>
      <c r="G4" s="291">
        <f>F4+1</f>
        <v>1999</v>
      </c>
      <c r="H4" s="291">
        <f t="shared" si="0"/>
        <v>2000</v>
      </c>
      <c r="I4" s="291">
        <f t="shared" si="0"/>
        <v>2001</v>
      </c>
      <c r="J4" s="291">
        <f t="shared" si="0"/>
        <v>2002</v>
      </c>
      <c r="K4" s="291">
        <f>J4+1</f>
        <v>2003</v>
      </c>
    </row>
    <row r="5" spans="1:11" s="204" customFormat="1">
      <c r="B5" s="200" t="s">
        <v>549</v>
      </c>
      <c r="C5" s="200"/>
      <c r="D5" s="221">
        <v>35430</v>
      </c>
      <c r="E5" s="263">
        <v>35795</v>
      </c>
      <c r="F5" s="263">
        <v>36160</v>
      </c>
      <c r="G5" s="292">
        <v>36525</v>
      </c>
      <c r="H5" s="292">
        <v>36891</v>
      </c>
      <c r="I5" s="292">
        <v>37256</v>
      </c>
      <c r="J5" s="292">
        <v>37621</v>
      </c>
      <c r="K5" s="292">
        <v>37986</v>
      </c>
    </row>
    <row r="6" spans="1:11">
      <c r="B6" s="191" t="s">
        <v>116</v>
      </c>
      <c r="C6" s="145"/>
      <c r="D6" s="207"/>
      <c r="E6" s="264"/>
      <c r="F6" s="264"/>
      <c r="G6" s="293"/>
      <c r="H6" s="293"/>
      <c r="I6" s="293"/>
      <c r="J6" s="293"/>
      <c r="K6" s="293"/>
    </row>
    <row r="7" spans="1:11">
      <c r="B7" s="170" t="s">
        <v>117</v>
      </c>
      <c r="C7" s="145"/>
      <c r="D7" s="207"/>
      <c r="E7" s="264"/>
      <c r="F7" s="264"/>
      <c r="G7" s="293"/>
      <c r="H7" s="293"/>
      <c r="I7" s="293"/>
      <c r="J7" s="293"/>
      <c r="K7" s="293"/>
    </row>
    <row r="8" spans="1:11">
      <c r="B8" s="171" t="s">
        <v>118</v>
      </c>
      <c r="C8" s="145"/>
      <c r="D8" s="207">
        <v>760</v>
      </c>
      <c r="E8" s="264">
        <v>822</v>
      </c>
      <c r="F8" s="264">
        <v>938</v>
      </c>
      <c r="G8" s="294">
        <f>F8*(1+Assumptions!$E$11)</f>
        <v>1050.6921703525973</v>
      </c>
      <c r="H8" s="294">
        <f>G8*(1+Assumptions!$E$11)</f>
        <v>1176.9232802134875</v>
      </c>
      <c r="I8" s="294">
        <f>H8*(1+Assumptions!$E$11)</f>
        <v>1318.3199100490483</v>
      </c>
      <c r="J8" s="294">
        <f>I8*(1+Assumptions!$E$11)</f>
        <v>1476.7040591774792</v>
      </c>
      <c r="K8" s="294">
        <f>J8*(1+Assumptions!$E$11)</f>
        <v>1654.1166235668186</v>
      </c>
    </row>
    <row r="9" spans="1:11">
      <c r="B9" s="171" t="s">
        <v>9</v>
      </c>
      <c r="C9" s="145"/>
      <c r="D9" s="207">
        <v>763</v>
      </c>
      <c r="E9" s="264">
        <v>771</v>
      </c>
      <c r="F9" s="264">
        <v>783</v>
      </c>
      <c r="G9" s="294">
        <f>F9*(1+Assumptions!$E$12)</f>
        <v>806.9315045596918</v>
      </c>
      <c r="H9" s="294">
        <f>G9*(1+Assumptions!$E$12)</f>
        <v>831.59444834095518</v>
      </c>
      <c r="I9" s="294">
        <f>H9*(1+Assumptions!$E$12)</f>
        <v>857.01118695179298</v>
      </c>
      <c r="J9" s="294">
        <f>I9*(1+Assumptions!$E$12)</f>
        <v>883.2047592739433</v>
      </c>
      <c r="K9" s="294">
        <f>J9*(1+Assumptions!$E$12)</f>
        <v>910.19890834636465</v>
      </c>
    </row>
    <row r="10" spans="1:11">
      <c r="B10" s="171" t="s">
        <v>14</v>
      </c>
      <c r="C10" s="145"/>
      <c r="D10" s="208">
        <v>10015</v>
      </c>
      <c r="E10" s="265">
        <v>9521</v>
      </c>
      <c r="F10" s="265">
        <v>9645</v>
      </c>
      <c r="G10" s="294">
        <f>F10*(1+Assumptions!$E$13)</f>
        <v>9549.616298460689</v>
      </c>
      <c r="H10" s="294">
        <f>G10*(1+Assumptions!$E$13)</f>
        <v>9455.1758888362911</v>
      </c>
      <c r="I10" s="294">
        <f>H10*(1+Assumptions!$E$13)</f>
        <v>9361.6694424928537</v>
      </c>
      <c r="J10" s="294">
        <f>I10*(1+Assumptions!$E$13)</f>
        <v>9269.0877230514398</v>
      </c>
      <c r="K10" s="294">
        <f>J10*(1+Assumptions!$E$13)</f>
        <v>9177.4215854757804</v>
      </c>
    </row>
    <row r="11" spans="1:11">
      <c r="B11" s="197" t="s">
        <v>120</v>
      </c>
      <c r="C11" s="145"/>
      <c r="D11" s="207"/>
      <c r="E11" s="264"/>
      <c r="F11" s="264"/>
      <c r="G11" s="294"/>
      <c r="H11" s="294"/>
      <c r="I11" s="294"/>
      <c r="J11" s="294"/>
      <c r="K11" s="294"/>
    </row>
    <row r="12" spans="1:11">
      <c r="B12" s="171" t="s">
        <v>121</v>
      </c>
      <c r="C12" s="145"/>
      <c r="D12" s="207">
        <v>683</v>
      </c>
      <c r="E12" s="264">
        <v>678</v>
      </c>
      <c r="F12" s="264">
        <v>730</v>
      </c>
      <c r="G12" s="294">
        <f>F12*(1+Assumptions!$E$15)</f>
        <v>733.73733244926575</v>
      </c>
      <c r="H12" s="294">
        <f>G12*(1+Assumptions!$E$15)</f>
        <v>737.49379867091</v>
      </c>
      <c r="I12" s="294">
        <f>H12*(1+Assumptions!$E$15)</f>
        <v>741.26949662283471</v>
      </c>
      <c r="J12" s="294">
        <f>I12*(1+Assumptions!$E$15)</f>
        <v>745.06452476445031</v>
      </c>
      <c r="K12" s="294">
        <f>J12*(1+Assumptions!$E$15)</f>
        <v>748.87898205924341</v>
      </c>
    </row>
    <row r="13" spans="1:11">
      <c r="B13" s="171" t="s">
        <v>122</v>
      </c>
      <c r="C13" s="145"/>
      <c r="D13" s="207">
        <v>194</v>
      </c>
      <c r="E13" s="264">
        <v>217</v>
      </c>
      <c r="F13" s="264">
        <v>256</v>
      </c>
      <c r="G13" s="294">
        <f>F13*(1+Assumptions!$E$16)</f>
        <v>290.71800592268835</v>
      </c>
      <c r="H13" s="294">
        <f>G13*(1+Assumptions!$E$16)</f>
        <v>330.14437096743853</v>
      </c>
      <c r="I13" s="294">
        <f>H13*(1+Assumptions!$E$16)</f>
        <v>374.91762966505473</v>
      </c>
      <c r="J13" s="294">
        <f>I13*(1+Assumptions!$E$16)</f>
        <v>425.76291281830333</v>
      </c>
      <c r="K13" s="294">
        <f>J13*(1+Assumptions!$E$16)</f>
        <v>483.50369144676779</v>
      </c>
    </row>
    <row r="14" spans="1:11">
      <c r="B14" s="145"/>
      <c r="C14" s="145"/>
      <c r="D14" s="222"/>
      <c r="E14" s="264"/>
      <c r="F14" s="264"/>
      <c r="G14" s="293"/>
      <c r="H14" s="293"/>
      <c r="I14" s="293"/>
      <c r="J14" s="293"/>
      <c r="K14" s="293"/>
    </row>
    <row r="15" spans="1:11">
      <c r="B15" s="191" t="s">
        <v>125</v>
      </c>
      <c r="C15" s="145"/>
      <c r="D15" s="207"/>
      <c r="E15" s="264"/>
      <c r="F15" s="264"/>
      <c r="G15" s="293"/>
      <c r="H15" s="293"/>
      <c r="I15" s="293"/>
      <c r="J15" s="293"/>
      <c r="K15" s="293"/>
    </row>
    <row r="16" spans="1:11">
      <c r="B16" s="170" t="s">
        <v>117</v>
      </c>
      <c r="C16" s="145"/>
      <c r="D16" s="207"/>
      <c r="E16" s="264"/>
      <c r="F16" s="264"/>
      <c r="G16" s="293"/>
      <c r="H16" s="293"/>
      <c r="I16" s="293"/>
      <c r="J16" s="293"/>
      <c r="K16" s="293"/>
    </row>
    <row r="17" spans="2:11">
      <c r="B17" s="171" t="s">
        <v>118</v>
      </c>
      <c r="C17" s="145"/>
      <c r="D17" s="209">
        <v>19.34</v>
      </c>
      <c r="E17" s="266">
        <v>19.489999999999998</v>
      </c>
      <c r="F17" s="266">
        <v>19.690000000000001</v>
      </c>
      <c r="G17" s="295">
        <f>F17*(1+Assumptions!$E$20)</f>
        <v>19.808255638569811</v>
      </c>
      <c r="H17" s="295">
        <f>G17*(1+Assumptions!$E$20)</f>
        <v>19.927221505481601</v>
      </c>
      <c r="I17" s="295">
        <f>H17*(1+Assumptions!$E$20)</f>
        <v>20.046901866276563</v>
      </c>
      <c r="J17" s="295">
        <f>I17*(1+Assumptions!$E$20)</f>
        <v>20.167301012114191</v>
      </c>
      <c r="K17" s="295">
        <f>J17*(1+Assumptions!$E$20)</f>
        <v>20.288423259926134</v>
      </c>
    </row>
    <row r="18" spans="2:11">
      <c r="B18" s="171" t="s">
        <v>9</v>
      </c>
      <c r="C18" s="145"/>
      <c r="D18" s="207">
        <v>11.39</v>
      </c>
      <c r="E18" s="264">
        <v>11.86</v>
      </c>
      <c r="F18" s="264">
        <v>12.39</v>
      </c>
      <c r="G18" s="296">
        <f>F18*(1+Assumptions!$E$21)</f>
        <v>12.788958129013157</v>
      </c>
      <c r="H18" s="296">
        <f>G18*(1+Assumptions!$E$21)</f>
        <v>13.200762713934761</v>
      </c>
      <c r="I18" s="296">
        <f>H18*(1+Assumptions!$E$21)</f>
        <v>13.625827410778832</v>
      </c>
      <c r="J18" s="296">
        <f>I18*(1+Assumptions!$E$21)</f>
        <v>14.064579195287347</v>
      </c>
      <c r="K18" s="296">
        <f>J18*(1+Assumptions!$E$21)</f>
        <v>14.51745879182562</v>
      </c>
    </row>
    <row r="19" spans="2:11">
      <c r="B19" s="171" t="s">
        <v>14</v>
      </c>
      <c r="C19" s="145"/>
      <c r="D19" s="207">
        <v>5.09</v>
      </c>
      <c r="E19" s="264">
        <v>5.19</v>
      </c>
      <c r="F19" s="264">
        <v>5.51</v>
      </c>
      <c r="G19" s="296">
        <f>F19*(1+Assumptions!$E$22)</f>
        <v>5.711273369265828</v>
      </c>
      <c r="H19" s="296">
        <f>G19*(1+Assumptions!$E$22)</f>
        <v>5.9198990015399353</v>
      </c>
      <c r="I19" s="296">
        <f>H19*(1+Assumptions!$E$22)</f>
        <v>6.136145465741996</v>
      </c>
      <c r="J19" s="296">
        <f>I19*(1+Assumptions!$E$22)</f>
        <v>6.3602911412765017</v>
      </c>
      <c r="K19" s="296">
        <f>J19*(1+Assumptions!$E$22)</f>
        <v>6.5926245763974318</v>
      </c>
    </row>
    <row r="20" spans="2:11">
      <c r="B20" s="198" t="s">
        <v>120</v>
      </c>
      <c r="C20" s="145"/>
      <c r="D20" s="207"/>
      <c r="E20" s="264"/>
      <c r="F20" s="264"/>
      <c r="G20" s="296"/>
      <c r="H20" s="296"/>
      <c r="I20" s="296"/>
      <c r="J20" s="296"/>
      <c r="K20" s="296"/>
    </row>
    <row r="21" spans="2:11">
      <c r="B21" s="171" t="s">
        <v>121</v>
      </c>
      <c r="C21" s="145"/>
      <c r="D21" s="207">
        <v>6.1</v>
      </c>
      <c r="E21" s="264">
        <v>5.36</v>
      </c>
      <c r="F21" s="264">
        <v>5.14</v>
      </c>
      <c r="G21" s="296">
        <f>F21*(1+Assumptions!$E$24)</f>
        <v>4.8287749600004819</v>
      </c>
      <c r="H21" s="296">
        <f>G21*(1+Assumptions!$E$24)</f>
        <v>4.5363944774956533</v>
      </c>
      <c r="I21" s="296">
        <f>H21*(1+Assumptions!$E$24)</f>
        <v>4.2617175217150747</v>
      </c>
      <c r="J21" s="296">
        <f>I21*(1+Assumptions!$E$24)</f>
        <v>4.0036721508663549</v>
      </c>
      <c r="K21" s="296">
        <f>J21*(1+Assumptions!$E$24)</f>
        <v>3.7612513288238771</v>
      </c>
    </row>
    <row r="22" spans="2:11">
      <c r="B22" s="171" t="s">
        <v>122</v>
      </c>
      <c r="C22" s="145"/>
      <c r="D22" s="207">
        <v>37.32</v>
      </c>
      <c r="E22" s="264">
        <v>35.01</v>
      </c>
      <c r="F22" s="264">
        <v>33.46</v>
      </c>
      <c r="G22" s="296">
        <f>F22*(1+Assumptions!$E$25)</f>
        <v>32.317846183050413</v>
      </c>
      <c r="H22" s="296">
        <f>G22*(1+Assumptions!$E$25)</f>
        <v>31.214679674575798</v>
      </c>
      <c r="I22" s="296">
        <f>H22*(1+Assumptions!$E$25)</f>
        <v>30.149169646626742</v>
      </c>
      <c r="J22" s="296">
        <f>I22*(1+Assumptions!$E$25)</f>
        <v>29.120030698935309</v>
      </c>
      <c r="K22" s="296">
        <f>J22*(1+Assumptions!$E$25)</f>
        <v>28.126021308245587</v>
      </c>
    </row>
    <row r="23" spans="2:11">
      <c r="B23" s="145"/>
      <c r="C23" s="145"/>
      <c r="D23" s="222"/>
      <c r="E23" s="264"/>
      <c r="F23" s="264"/>
      <c r="G23" s="293"/>
      <c r="H23" s="293"/>
      <c r="I23" s="293"/>
      <c r="J23" s="293"/>
      <c r="K23" s="293"/>
    </row>
    <row r="24" spans="2:11">
      <c r="B24" s="170" t="s">
        <v>130</v>
      </c>
      <c r="C24" s="150"/>
      <c r="D24" s="207">
        <v>254</v>
      </c>
      <c r="E24" s="264">
        <v>253</v>
      </c>
      <c r="F24" s="264">
        <v>254</v>
      </c>
      <c r="G24" s="293">
        <f>Assumptions!$C$7</f>
        <v>254</v>
      </c>
      <c r="H24" s="293">
        <f>Assumptions!$C$7</f>
        <v>254</v>
      </c>
      <c r="I24" s="293">
        <f>Assumptions!$C$7</f>
        <v>254</v>
      </c>
      <c r="J24" s="293">
        <f>Assumptions!$C$7</f>
        <v>254</v>
      </c>
      <c r="K24" s="293">
        <f>Assumptions!$C$7</f>
        <v>254</v>
      </c>
    </row>
    <row r="25" spans="2:11">
      <c r="B25" s="145"/>
      <c r="C25" s="145"/>
      <c r="D25" s="222"/>
      <c r="E25" s="264"/>
      <c r="F25" s="264"/>
      <c r="G25" s="293"/>
      <c r="H25" s="293"/>
      <c r="I25" s="293"/>
      <c r="J25" s="293"/>
      <c r="K25" s="293"/>
    </row>
    <row r="26" spans="2:11">
      <c r="B26" s="200" t="s">
        <v>548</v>
      </c>
      <c r="C26" s="145"/>
      <c r="D26" s="222"/>
      <c r="E26" s="264"/>
      <c r="F26" s="264"/>
      <c r="G26" s="293"/>
      <c r="H26" s="293"/>
      <c r="I26" s="293"/>
      <c r="J26" s="293"/>
      <c r="K26" s="293"/>
    </row>
    <row r="27" spans="2:11">
      <c r="B27" s="170" t="s">
        <v>117</v>
      </c>
      <c r="C27" s="145"/>
      <c r="D27" s="222"/>
      <c r="E27" s="264"/>
      <c r="F27" s="264"/>
      <c r="G27" s="293"/>
      <c r="H27" s="293"/>
      <c r="I27" s="293"/>
      <c r="J27" s="293"/>
      <c r="K27" s="293"/>
    </row>
    <row r="28" spans="2:11">
      <c r="B28" s="171" t="s">
        <v>118</v>
      </c>
      <c r="C28" s="145"/>
      <c r="D28" s="223">
        <f t="shared" ref="D28:K30" si="1">D8*D17*D$24/1000</f>
        <v>3733.3935999999999</v>
      </c>
      <c r="E28" s="267">
        <f t="shared" si="1"/>
        <v>4053.2573399999997</v>
      </c>
      <c r="F28" s="267">
        <f t="shared" si="1"/>
        <v>4691.1818800000001</v>
      </c>
      <c r="G28" s="297">
        <f t="shared" si="1"/>
        <v>5286.344293378148</v>
      </c>
      <c r="H28" s="297">
        <f t="shared" si="1"/>
        <v>5957.0139685421282</v>
      </c>
      <c r="I28" s="297">
        <f t="shared" si="1"/>
        <v>6712.7703857384013</v>
      </c>
      <c r="J28" s="297">
        <f t="shared" si="1"/>
        <v>7564.4083578797499</v>
      </c>
      <c r="K28" s="297">
        <f t="shared" si="1"/>
        <v>8524.0922177716966</v>
      </c>
    </row>
    <row r="29" spans="2:11">
      <c r="B29" s="171" t="s">
        <v>9</v>
      </c>
      <c r="C29" s="145"/>
      <c r="D29" s="224">
        <f t="shared" si="1"/>
        <v>2207.4047799999998</v>
      </c>
      <c r="E29" s="268">
        <f t="shared" si="1"/>
        <v>2313.4471799999997</v>
      </c>
      <c r="F29" s="268">
        <f t="shared" si="1"/>
        <v>2464.1479800000002</v>
      </c>
      <c r="G29" s="298">
        <f t="shared" si="1"/>
        <v>2621.2325590980536</v>
      </c>
      <c r="H29" s="298">
        <f t="shared" si="1"/>
        <v>2788.3309706407049</v>
      </c>
      <c r="I29" s="298">
        <f t="shared" si="1"/>
        <v>2966.0815767180084</v>
      </c>
      <c r="J29" s="298">
        <f t="shared" si="1"/>
        <v>3155.1634337456203</v>
      </c>
      <c r="K29" s="298">
        <f t="shared" si="1"/>
        <v>3356.2988866478854</v>
      </c>
    </row>
    <row r="30" spans="2:11">
      <c r="B30" s="171" t="s">
        <v>14</v>
      </c>
      <c r="C30" s="145"/>
      <c r="D30" s="224">
        <f t="shared" si="1"/>
        <v>12947.992900000001</v>
      </c>
      <c r="E30" s="268">
        <f t="shared" si="1"/>
        <v>12501.73947</v>
      </c>
      <c r="F30" s="268">
        <f t="shared" si="1"/>
        <v>13498.563299999998</v>
      </c>
      <c r="G30" s="298">
        <f t="shared" si="1"/>
        <v>13853.279190034782</v>
      </c>
      <c r="H30" s="298">
        <f t="shared" si="1"/>
        <v>14217.316321141432</v>
      </c>
      <c r="I30" s="298">
        <f t="shared" si="1"/>
        <v>14590.919637337294</v>
      </c>
      <c r="J30" s="298">
        <f t="shared" si="1"/>
        <v>14974.340519290268</v>
      </c>
      <c r="K30" s="298">
        <f t="shared" si="1"/>
        <v>15367.836953461452</v>
      </c>
    </row>
    <row r="31" spans="2:11" s="204" customFormat="1" ht="17" thickBot="1">
      <c r="B31" s="248" t="s">
        <v>119</v>
      </c>
      <c r="C31" s="249"/>
      <c r="D31" s="250">
        <f>SUM(D28:D30)</f>
        <v>18888.791280000001</v>
      </c>
      <c r="E31" s="269">
        <f t="shared" ref="E31:K31" si="2">SUM(E28:E30)</f>
        <v>18868.44399</v>
      </c>
      <c r="F31" s="269">
        <f t="shared" si="2"/>
        <v>20653.89316</v>
      </c>
      <c r="G31" s="299">
        <f t="shared" si="2"/>
        <v>21760.856042510983</v>
      </c>
      <c r="H31" s="299">
        <f t="shared" si="2"/>
        <v>22962.661260324265</v>
      </c>
      <c r="I31" s="299">
        <f t="shared" si="2"/>
        <v>24269.771599793705</v>
      </c>
      <c r="J31" s="299">
        <f t="shared" si="2"/>
        <v>25693.912310915639</v>
      </c>
      <c r="K31" s="299">
        <f t="shared" si="2"/>
        <v>27248.228057881031</v>
      </c>
    </row>
    <row r="32" spans="2:11">
      <c r="B32" s="198" t="s">
        <v>120</v>
      </c>
      <c r="C32" s="145"/>
      <c r="D32" s="223"/>
      <c r="E32" s="267"/>
      <c r="F32" s="267"/>
      <c r="G32" s="297"/>
      <c r="H32" s="297"/>
      <c r="I32" s="297"/>
      <c r="J32" s="297"/>
      <c r="K32" s="297"/>
    </row>
    <row r="33" spans="2:11">
      <c r="B33" s="171" t="s">
        <v>121</v>
      </c>
      <c r="C33" s="145"/>
      <c r="D33" s="224">
        <f t="shared" ref="D33:K34" si="3">D12*D21*D$24/1000</f>
        <v>1058.2402</v>
      </c>
      <c r="E33" s="268">
        <f t="shared" si="3"/>
        <v>919.4222400000001</v>
      </c>
      <c r="F33" s="268">
        <f t="shared" si="3"/>
        <v>953.05879999999991</v>
      </c>
      <c r="G33" s="298">
        <f t="shared" si="3"/>
        <v>899.9353243697351</v>
      </c>
      <c r="H33" s="298">
        <f t="shared" si="3"/>
        <v>849.77295005141377</v>
      </c>
      <c r="I33" s="298">
        <f t="shared" si="3"/>
        <v>802.40662532589374</v>
      </c>
      <c r="J33" s="298">
        <f t="shared" si="3"/>
        <v>757.68049845306791</v>
      </c>
      <c r="K33" s="298">
        <f t="shared" si="3"/>
        <v>715.44740486524483</v>
      </c>
    </row>
    <row r="34" spans="2:11">
      <c r="B34" s="171" t="s">
        <v>122</v>
      </c>
      <c r="C34" s="145"/>
      <c r="D34" s="224">
        <f t="shared" si="3"/>
        <v>1838.9803200000001</v>
      </c>
      <c r="E34" s="268">
        <f t="shared" si="3"/>
        <v>1922.0840099999998</v>
      </c>
      <c r="F34" s="268">
        <f t="shared" si="3"/>
        <v>2175.7030399999999</v>
      </c>
      <c r="G34" s="298">
        <f t="shared" si="3"/>
        <v>2386.4264687053555</v>
      </c>
      <c r="H34" s="298">
        <f t="shared" si="3"/>
        <v>2617.5590996726805</v>
      </c>
      <c r="I34" s="298">
        <f t="shared" si="3"/>
        <v>2871.0776259518602</v>
      </c>
      <c r="J34" s="298">
        <f t="shared" si="3"/>
        <v>3149.150189301226</v>
      </c>
      <c r="K34" s="298">
        <f t="shared" si="3"/>
        <v>3454.1549225747863</v>
      </c>
    </row>
    <row r="35" spans="2:11">
      <c r="B35" s="171" t="s">
        <v>128</v>
      </c>
      <c r="C35" s="145"/>
      <c r="D35" s="224">
        <f>'Data Source'!D170</f>
        <v>177</v>
      </c>
      <c r="E35" s="268">
        <f>'Data Source'!E170</f>
        <v>226</v>
      </c>
      <c r="F35" s="268">
        <f>'Data Source'!F170</f>
        <v>270</v>
      </c>
      <c r="G35" s="298">
        <f>F35*(1+Assumptions!$E$28)</f>
        <v>312.94874176745708</v>
      </c>
      <c r="H35" s="298">
        <f>G35*(1+Assumptions!$E$28)</f>
        <v>362.72931471790565</v>
      </c>
      <c r="I35" s="298">
        <f>H35*(1+Assumptions!$E$28)</f>
        <v>420.42845423385376</v>
      </c>
      <c r="J35" s="298">
        <f>I35*(1+Assumptions!$E$28)</f>
        <v>487.30576205822757</v>
      </c>
      <c r="K35" s="298">
        <f>J35*(1+Assumptions!$E$28)</f>
        <v>564.82120404501529</v>
      </c>
    </row>
    <row r="36" spans="2:11" s="204" customFormat="1" ht="17" thickBot="1">
      <c r="B36" s="248" t="s">
        <v>123</v>
      </c>
      <c r="C36" s="249"/>
      <c r="D36" s="250">
        <f>SUM(D33:D35)</f>
        <v>3074.2205199999999</v>
      </c>
      <c r="E36" s="269">
        <f t="shared" ref="E36:K36" si="4">SUM(E33:E35)</f>
        <v>3067.5062499999999</v>
      </c>
      <c r="F36" s="269">
        <f t="shared" si="4"/>
        <v>3398.7618399999997</v>
      </c>
      <c r="G36" s="299">
        <f t="shared" si="4"/>
        <v>3599.3105348425479</v>
      </c>
      <c r="H36" s="299">
        <f t="shared" si="4"/>
        <v>3830.061364442</v>
      </c>
      <c r="I36" s="299">
        <f t="shared" si="4"/>
        <v>4093.9127055116078</v>
      </c>
      <c r="J36" s="299">
        <f t="shared" si="4"/>
        <v>4394.1364498125213</v>
      </c>
      <c r="K36" s="299">
        <f t="shared" si="4"/>
        <v>4734.4235314850466</v>
      </c>
    </row>
    <row r="37" spans="2:11">
      <c r="B37" s="170" t="s">
        <v>28</v>
      </c>
      <c r="C37" s="145"/>
      <c r="D37" s="225">
        <f>'Data Source'!D172</f>
        <v>413</v>
      </c>
      <c r="E37" s="270">
        <f>'Data Source'!E172</f>
        <v>523</v>
      </c>
      <c r="F37" s="270">
        <f>'Data Source'!F172</f>
        <v>739</v>
      </c>
      <c r="G37" s="300">
        <f>F37*(1+Assumptions!$E$29)</f>
        <v>984.01110515186883</v>
      </c>
      <c r="H37" s="300">
        <f>G37*(1+Assumptions!$E$29)</f>
        <v>1310.2542017079868</v>
      </c>
      <c r="I37" s="300">
        <f>H37*(1+Assumptions!$E$29)</f>
        <v>1744.6612788261918</v>
      </c>
      <c r="J37" s="300">
        <f>I37*(1+Assumptions!$E$29)</f>
        <v>2323.0934683267033</v>
      </c>
      <c r="K37" s="300">
        <f>J37*(1+Assumptions!$E$29)</f>
        <v>3093.3014494441777</v>
      </c>
    </row>
    <row r="38" spans="2:11" s="204" customFormat="1" ht="17" thickBot="1">
      <c r="B38" s="246" t="s">
        <v>129</v>
      </c>
      <c r="C38" s="238"/>
      <c r="D38" s="247">
        <f>SUM(D36:D37,D31)</f>
        <v>22376.0118</v>
      </c>
      <c r="E38" s="271">
        <f t="shared" ref="E38:K38" si="5">SUM(E36:E37,E31)</f>
        <v>22458.950239999998</v>
      </c>
      <c r="F38" s="271">
        <f t="shared" si="5"/>
        <v>24791.654999999999</v>
      </c>
      <c r="G38" s="301">
        <f t="shared" si="5"/>
        <v>26344.1776825054</v>
      </c>
      <c r="H38" s="301">
        <f t="shared" si="5"/>
        <v>28102.976826474252</v>
      </c>
      <c r="I38" s="301">
        <f t="shared" si="5"/>
        <v>30108.345584131504</v>
      </c>
      <c r="J38" s="301">
        <f t="shared" si="5"/>
        <v>32411.142229054865</v>
      </c>
      <c r="K38" s="301">
        <f t="shared" si="5"/>
        <v>35075.953038810258</v>
      </c>
    </row>
    <row r="39" spans="2:11" s="204" customFormat="1" ht="17" thickTop="1">
      <c r="B39" s="191"/>
      <c r="C39" s="200"/>
      <c r="D39" s="226"/>
      <c r="E39" s="272"/>
      <c r="F39" s="272"/>
      <c r="G39" s="302"/>
      <c r="H39" s="302"/>
      <c r="I39" s="302"/>
      <c r="J39" s="302"/>
      <c r="K39" s="302"/>
    </row>
    <row r="41" spans="2:11">
      <c r="B41" s="399" t="s">
        <v>550</v>
      </c>
      <c r="C41" s="399"/>
      <c r="D41" s="399"/>
      <c r="E41" s="399"/>
      <c r="F41" s="399"/>
      <c r="G41" s="399"/>
      <c r="H41" s="399"/>
      <c r="I41" s="399"/>
      <c r="J41" s="399"/>
      <c r="K41" s="399"/>
    </row>
    <row r="42" spans="2:11">
      <c r="B42" s="145"/>
      <c r="C42" s="145"/>
      <c r="D42" s="220">
        <v>1996</v>
      </c>
      <c r="E42" s="262">
        <f>D42+1</f>
        <v>1997</v>
      </c>
      <c r="F42" s="262">
        <f t="shared" ref="F42:J42" si="6">E42+1</f>
        <v>1998</v>
      </c>
      <c r="G42" s="291">
        <f>F42+1</f>
        <v>1999</v>
      </c>
      <c r="H42" s="291">
        <f t="shared" si="6"/>
        <v>2000</v>
      </c>
      <c r="I42" s="291">
        <f t="shared" si="6"/>
        <v>2001</v>
      </c>
      <c r="J42" s="291">
        <f t="shared" si="6"/>
        <v>2002</v>
      </c>
      <c r="K42" s="291">
        <f>J42+1</f>
        <v>2003</v>
      </c>
    </row>
    <row r="43" spans="2:11">
      <c r="B43" s="200" t="s">
        <v>551</v>
      </c>
      <c r="C43" s="145"/>
      <c r="D43" s="220"/>
      <c r="E43" s="262"/>
      <c r="F43" s="262"/>
      <c r="G43" s="291"/>
      <c r="H43" s="291"/>
      <c r="I43" s="291"/>
      <c r="J43" s="291"/>
      <c r="K43" s="291"/>
    </row>
    <row r="44" spans="2:11">
      <c r="B44" s="145" t="s">
        <v>31</v>
      </c>
      <c r="C44" s="145"/>
      <c r="D44" s="227">
        <f>'Data Source'!E39</f>
        <v>13326</v>
      </c>
      <c r="E44" s="265">
        <f>'Data Source'!F39</f>
        <v>13289</v>
      </c>
      <c r="F44" s="265">
        <f>'Data Source'!G39</f>
        <v>14346</v>
      </c>
      <c r="G44" s="303">
        <f>F44*(1+Assumptions!$E$32)</f>
        <v>15094.961282286298</v>
      </c>
      <c r="H44" s="303">
        <f>G44*(1+Assumptions!$E$32)</f>
        <v>15883.023568501492</v>
      </c>
      <c r="I44" s="303">
        <f>H44*(1+Assumptions!$E$32)</f>
        <v>16712.228203831786</v>
      </c>
      <c r="J44" s="303">
        <f>I44*(1+Assumptions!$E$32)</f>
        <v>17584.723105923178</v>
      </c>
      <c r="K44" s="303">
        <f>J44*(1+Assumptions!$E$32)</f>
        <v>18502.768328707349</v>
      </c>
    </row>
    <row r="45" spans="2:11">
      <c r="B45" s="145" t="s">
        <v>574</v>
      </c>
      <c r="C45" s="200"/>
      <c r="D45" s="227"/>
      <c r="E45" s="265"/>
      <c r="F45" s="265"/>
      <c r="G45" s="303">
        <f>Assumptions!I5</f>
        <v>211</v>
      </c>
      <c r="H45" s="303">
        <f>Assumptions!I6</f>
        <v>146</v>
      </c>
      <c r="I45" s="303">
        <f>Assumptions!I7</f>
        <v>115</v>
      </c>
      <c r="J45" s="303">
        <f>Assumptions!I8</f>
        <v>94</v>
      </c>
      <c r="K45" s="303">
        <f>Assumptions!I9</f>
        <v>77</v>
      </c>
    </row>
    <row r="46" spans="2:11">
      <c r="B46" s="145" t="s">
        <v>573</v>
      </c>
      <c r="C46" s="145"/>
      <c r="D46" s="222"/>
      <c r="E46" s="264"/>
      <c r="F46" s="264"/>
      <c r="G46" s="294">
        <f>G203</f>
        <v>710.73095238095243</v>
      </c>
      <c r="H46" s="294">
        <f t="shared" ref="H46:K46" si="7">H203</f>
        <v>765.29627290599183</v>
      </c>
      <c r="I46" s="294">
        <f t="shared" si="7"/>
        <v>809.55412855608608</v>
      </c>
      <c r="J46" s="294">
        <f t="shared" si="7"/>
        <v>859.85142152649632</v>
      </c>
      <c r="K46" s="294">
        <f t="shared" si="7"/>
        <v>917.4402001119455</v>
      </c>
    </row>
    <row r="47" spans="2:11" s="145" customFormat="1">
      <c r="B47" s="145" t="s">
        <v>553</v>
      </c>
      <c r="D47" s="227">
        <f>'Data Source'!E40</f>
        <v>7013</v>
      </c>
      <c r="E47" s="265">
        <f>'Data Source'!F40</f>
        <v>7461</v>
      </c>
      <c r="F47" s="265">
        <f>'Data Source'!G40</f>
        <v>7352</v>
      </c>
      <c r="G47" s="303">
        <f>F47*(1+Assumptions!$E$33)</f>
        <v>7648.3904087928177</v>
      </c>
      <c r="H47" s="303">
        <f>G47*(1+Assumptions!$E$33)</f>
        <v>7956.7295763484717</v>
      </c>
      <c r="I47" s="303">
        <f>H47*(1+Assumptions!$E$33)</f>
        <v>8277.4992079844651</v>
      </c>
      <c r="J47" s="303">
        <f>I47*(1+Assumptions!$E$33)</f>
        <v>8611.2004286097017</v>
      </c>
      <c r="K47" s="303">
        <f>J47*(1+Assumptions!$E$33)</f>
        <v>8958.3545656108599</v>
      </c>
    </row>
    <row r="48" spans="2:11" s="204" customFormat="1" ht="17" thickBot="1">
      <c r="B48" s="238" t="s">
        <v>560</v>
      </c>
      <c r="C48" s="238"/>
      <c r="D48" s="240"/>
      <c r="E48" s="273"/>
      <c r="F48" s="273"/>
      <c r="G48" s="304">
        <f>SUM(G44:G47)</f>
        <v>23665.082643460068</v>
      </c>
      <c r="H48" s="304">
        <f>SUM(H44:H47)</f>
        <v>24751.049417755956</v>
      </c>
      <c r="I48" s="304">
        <f>SUM(I44:I47)</f>
        <v>25914.281540372336</v>
      </c>
      <c r="J48" s="304">
        <f>SUM(J44:J47)</f>
        <v>27149.774956059373</v>
      </c>
      <c r="K48" s="304">
        <f>SUM(K44:K47)</f>
        <v>28455.563094430152</v>
      </c>
    </row>
    <row r="49" spans="2:11" ht="17" thickTop="1">
      <c r="B49" s="145"/>
      <c r="C49" s="145"/>
      <c r="D49" s="227"/>
      <c r="E49" s="265"/>
      <c r="F49" s="265"/>
      <c r="G49" s="303"/>
      <c r="H49" s="303"/>
      <c r="I49" s="303"/>
      <c r="J49" s="303"/>
      <c r="K49" s="303"/>
    </row>
    <row r="51" spans="2:11">
      <c r="B51" s="399" t="s">
        <v>552</v>
      </c>
      <c r="C51" s="399"/>
      <c r="D51" s="399"/>
      <c r="E51" s="399"/>
      <c r="F51" s="399"/>
      <c r="G51" s="399"/>
      <c r="H51" s="399"/>
      <c r="I51" s="399"/>
      <c r="J51" s="399"/>
      <c r="K51" s="399"/>
    </row>
    <row r="52" spans="2:11">
      <c r="B52" s="200" t="s">
        <v>554</v>
      </c>
      <c r="C52" s="145"/>
      <c r="D52" s="220">
        <v>1996</v>
      </c>
      <c r="E52" s="262">
        <f>D52+1</f>
        <v>1997</v>
      </c>
      <c r="F52" s="262">
        <f t="shared" ref="F52:J52" si="8">E52+1</f>
        <v>1998</v>
      </c>
      <c r="G52" s="291">
        <f>F52+1</f>
        <v>1999</v>
      </c>
      <c r="H52" s="291">
        <f t="shared" si="8"/>
        <v>2000</v>
      </c>
      <c r="I52" s="291">
        <f t="shared" si="8"/>
        <v>2001</v>
      </c>
      <c r="J52" s="291">
        <f t="shared" si="8"/>
        <v>2002</v>
      </c>
      <c r="K52" s="291">
        <f>J52+1</f>
        <v>2003</v>
      </c>
    </row>
    <row r="53" spans="2:11">
      <c r="B53" s="200" t="s">
        <v>555</v>
      </c>
      <c r="C53" s="145"/>
      <c r="D53" s="222"/>
      <c r="E53" s="264"/>
      <c r="F53" s="264"/>
      <c r="G53" s="293"/>
      <c r="H53" s="293"/>
      <c r="I53" s="293"/>
      <c r="J53" s="293"/>
      <c r="K53" s="293"/>
    </row>
    <row r="54" spans="2:11">
      <c r="B54" s="145" t="s">
        <v>556</v>
      </c>
      <c r="C54" s="145"/>
      <c r="D54" s="222"/>
      <c r="E54" s="265">
        <f>'Data Source'!C102</f>
        <v>2583</v>
      </c>
      <c r="F54" s="265">
        <f>'Data Source'!D102</f>
        <v>2191</v>
      </c>
      <c r="G54" s="305">
        <f>Assumptions!I38</f>
        <v>2387</v>
      </c>
      <c r="H54" s="294">
        <f>G54*(1+Assumptions!$I$39)</f>
        <v>2410.87</v>
      </c>
      <c r="I54" s="294">
        <f>H54*(1+Assumptions!$I$39)</f>
        <v>2434.9787000000001</v>
      </c>
      <c r="J54" s="294">
        <f>I54*(1+Assumptions!$I$39)</f>
        <v>2459.3284870000002</v>
      </c>
      <c r="K54" s="294">
        <f>J54*(1+Assumptions!$I$39)</f>
        <v>2483.9217718700002</v>
      </c>
    </row>
    <row r="55" spans="2:11">
      <c r="B55" s="145" t="s">
        <v>557</v>
      </c>
      <c r="C55" s="145"/>
      <c r="D55" s="222"/>
      <c r="E55" s="264"/>
      <c r="F55" s="264"/>
      <c r="G55" s="306">
        <f>G54*Assumptions!$I$40</f>
        <v>11.935</v>
      </c>
      <c r="H55" s="306">
        <f>H54*Assumptions!$I$40</f>
        <v>12.054349999999999</v>
      </c>
      <c r="I55" s="306">
        <f>I54*Assumptions!$I$40</f>
        <v>12.174893500000001</v>
      </c>
      <c r="J55" s="306">
        <f>J54*Assumptions!$I$40</f>
        <v>12.296642435000001</v>
      </c>
      <c r="K55" s="306">
        <f>K54*Assumptions!$I$40</f>
        <v>12.419608859350001</v>
      </c>
    </row>
    <row r="56" spans="2:11" s="204" customFormat="1">
      <c r="B56" s="232" t="s">
        <v>558</v>
      </c>
      <c r="C56" s="232"/>
      <c r="D56" s="233"/>
      <c r="E56" s="274"/>
      <c r="F56" s="274"/>
      <c r="G56" s="307">
        <f>G54-G55</f>
        <v>2375.0650000000001</v>
      </c>
      <c r="H56" s="307">
        <f t="shared" ref="H56:K56" si="9">H54-H55</f>
        <v>2398.81565</v>
      </c>
      <c r="I56" s="307">
        <f t="shared" si="9"/>
        <v>2422.8038065000001</v>
      </c>
      <c r="J56" s="307">
        <f t="shared" si="9"/>
        <v>2447.031844565</v>
      </c>
      <c r="K56" s="307">
        <f t="shared" si="9"/>
        <v>2471.5021630106503</v>
      </c>
    </row>
    <row r="57" spans="2:11" s="204" customFormat="1">
      <c r="B57" s="200" t="s">
        <v>612</v>
      </c>
      <c r="C57" s="200"/>
      <c r="D57" s="219"/>
      <c r="E57" s="261"/>
      <c r="F57" s="261"/>
      <c r="G57" s="308">
        <f>G54-F54</f>
        <v>196</v>
      </c>
      <c r="H57" s="308">
        <f t="shared" ref="H57:K57" si="10">H54-G54</f>
        <v>23.869999999999891</v>
      </c>
      <c r="I57" s="308">
        <f t="shared" si="10"/>
        <v>24.108700000000226</v>
      </c>
      <c r="J57" s="308">
        <f t="shared" si="10"/>
        <v>24.349787000000106</v>
      </c>
      <c r="K57" s="308">
        <f t="shared" si="10"/>
        <v>24.593284869999934</v>
      </c>
    </row>
    <row r="58" spans="2:11" s="204" customFormat="1" ht="17" thickBot="1">
      <c r="B58" s="238" t="s">
        <v>41</v>
      </c>
      <c r="C58" s="238"/>
      <c r="D58" s="239">
        <f>'Data Source'!E51</f>
        <v>-95</v>
      </c>
      <c r="E58" s="275">
        <f>'Data Source'!F51</f>
        <v>-187</v>
      </c>
      <c r="F58" s="275">
        <f>'Data Source'!G51</f>
        <v>-227</v>
      </c>
      <c r="G58" s="309">
        <f>G56*Assumptions!$I$41</f>
        <v>166.25455000000002</v>
      </c>
      <c r="H58" s="309">
        <f>H56*Assumptions!$I$41</f>
        <v>167.91709550000002</v>
      </c>
      <c r="I58" s="309">
        <f>I56*Assumptions!$I$41</f>
        <v>169.59626645500003</v>
      </c>
      <c r="J58" s="309">
        <f>J56*Assumptions!$I$41</f>
        <v>171.29222911955003</v>
      </c>
      <c r="K58" s="309">
        <f>K56*Assumptions!$I$41</f>
        <v>173.00515141074553</v>
      </c>
    </row>
    <row r="59" spans="2:11" ht="17" thickTop="1"/>
    <row r="61" spans="2:11">
      <c r="B61" s="399" t="s">
        <v>559</v>
      </c>
      <c r="C61" s="399"/>
      <c r="D61" s="399"/>
      <c r="E61" s="399"/>
      <c r="F61" s="399"/>
      <c r="G61" s="399"/>
      <c r="H61" s="399"/>
      <c r="I61" s="399"/>
      <c r="J61" s="399"/>
      <c r="K61" s="399"/>
    </row>
    <row r="62" spans="2:11">
      <c r="B62" s="200" t="s">
        <v>554</v>
      </c>
      <c r="C62" s="145"/>
      <c r="D62" s="220">
        <v>1996</v>
      </c>
      <c r="E62" s="262">
        <f>D62+1</f>
        <v>1997</v>
      </c>
      <c r="F62" s="262">
        <f t="shared" ref="F62:J62" si="11">E62+1</f>
        <v>1998</v>
      </c>
      <c r="G62" s="291">
        <f>F62+1</f>
        <v>1999</v>
      </c>
      <c r="H62" s="291">
        <f t="shared" si="11"/>
        <v>2000</v>
      </c>
      <c r="I62" s="291">
        <f t="shared" si="11"/>
        <v>2001</v>
      </c>
      <c r="J62" s="291">
        <f t="shared" si="11"/>
        <v>2002</v>
      </c>
      <c r="K62" s="291">
        <f>J62+1</f>
        <v>2003</v>
      </c>
    </row>
    <row r="63" spans="2:11" s="204" customFormat="1">
      <c r="B63" s="200" t="s">
        <v>561</v>
      </c>
      <c r="C63" s="200"/>
      <c r="D63" s="219"/>
      <c r="E63" s="261"/>
      <c r="F63" s="261"/>
      <c r="G63" s="290"/>
      <c r="H63" s="290"/>
      <c r="I63" s="290"/>
      <c r="J63" s="290"/>
      <c r="K63" s="290"/>
    </row>
    <row r="64" spans="2:11">
      <c r="B64" s="170" t="s">
        <v>62</v>
      </c>
      <c r="C64" s="145"/>
      <c r="D64" s="222"/>
      <c r="E64" s="264">
        <v>460</v>
      </c>
      <c r="F64" s="265">
        <v>1240</v>
      </c>
      <c r="G64" s="305">
        <f>G257</f>
        <v>2586.7877632146265</v>
      </c>
      <c r="H64" s="305">
        <f t="shared" ref="H64:K64" si="12">H257</f>
        <v>4258.2590850514989</v>
      </c>
      <c r="I64" s="305">
        <f t="shared" si="12"/>
        <v>6358.7418850593986</v>
      </c>
      <c r="J64" s="305">
        <f t="shared" si="12"/>
        <v>9007.3259405851113</v>
      </c>
      <c r="K64" s="305">
        <f t="shared" si="12"/>
        <v>12358.624874198016</v>
      </c>
    </row>
    <row r="65" spans="2:11">
      <c r="B65" s="170" t="s">
        <v>63</v>
      </c>
      <c r="C65" s="145"/>
      <c r="D65" s="222"/>
      <c r="E65" s="261" t="s">
        <v>34</v>
      </c>
      <c r="F65" s="264">
        <v>389</v>
      </c>
      <c r="G65" s="305">
        <f>F65</f>
        <v>389</v>
      </c>
      <c r="H65" s="305">
        <f t="shared" ref="H65:K65" si="13">G65</f>
        <v>389</v>
      </c>
      <c r="I65" s="305">
        <f t="shared" si="13"/>
        <v>389</v>
      </c>
      <c r="J65" s="305">
        <f t="shared" si="13"/>
        <v>389</v>
      </c>
      <c r="K65" s="305">
        <f t="shared" si="13"/>
        <v>389</v>
      </c>
    </row>
    <row r="66" spans="2:11">
      <c r="B66" s="170" t="s">
        <v>64</v>
      </c>
      <c r="C66" s="145"/>
      <c r="D66" s="222"/>
      <c r="E66" s="265">
        <v>2405</v>
      </c>
      <c r="F66" s="265">
        <v>2713</v>
      </c>
      <c r="G66" s="300">
        <f>Assumptions!$E$37*G38</f>
        <v>2852.2433898211489</v>
      </c>
      <c r="H66" s="300">
        <f>Assumptions!$E$37*Model!H38</f>
        <v>3042.6658540508679</v>
      </c>
      <c r="I66" s="300">
        <f>Assumptions!$E$37*Model!I38</f>
        <v>3259.784029160207</v>
      </c>
      <c r="J66" s="300">
        <f>Assumptions!$E$37*Model!J38</f>
        <v>3509.1042618029869</v>
      </c>
      <c r="K66" s="300">
        <f>Assumptions!$E$37*Model!K38</f>
        <v>3797.619208401461</v>
      </c>
    </row>
    <row r="67" spans="2:11">
      <c r="B67" s="170" t="s">
        <v>65</v>
      </c>
      <c r="C67" s="145"/>
      <c r="D67" s="222"/>
      <c r="E67" s="264">
        <v>669</v>
      </c>
      <c r="F67" s="264">
        <v>703</v>
      </c>
      <c r="G67" s="300">
        <f>Assumptions!$E$38*G38</f>
        <v>765.94954190996771</v>
      </c>
      <c r="H67" s="300">
        <f>Assumptions!$E$38*H38</f>
        <v>817.08613136324948</v>
      </c>
      <c r="I67" s="300">
        <f>Assumptions!$E$38*I38</f>
        <v>875.39166284727696</v>
      </c>
      <c r="J67" s="300">
        <f>Assumptions!$E$38*J38</f>
        <v>942.34482633365053</v>
      </c>
      <c r="K67" s="300">
        <f>Assumptions!$E$38*K38</f>
        <v>1019.8234496411577</v>
      </c>
    </row>
    <row r="68" spans="2:11">
      <c r="B68" s="170" t="s">
        <v>66</v>
      </c>
      <c r="C68" s="145"/>
      <c r="D68" s="222"/>
      <c r="E68" s="264">
        <v>417</v>
      </c>
      <c r="F68" s="264">
        <v>380</v>
      </c>
      <c r="G68" s="300">
        <f>Assumptions!$E$39*G38</f>
        <v>446.50736182616907</v>
      </c>
      <c r="H68" s="300">
        <f>Assumptions!$E$39*H38</f>
        <v>476.31724145954132</v>
      </c>
      <c r="I68" s="300">
        <f>Assumptions!$E$39*I38</f>
        <v>510.30622848587711</v>
      </c>
      <c r="J68" s="300">
        <f>Assumptions!$E$39*J38</f>
        <v>549.33631957995976</v>
      </c>
      <c r="K68" s="300">
        <f>Assumptions!$E$39*K38</f>
        <v>594.50218730108031</v>
      </c>
    </row>
    <row r="69" spans="2:11">
      <c r="B69" s="170" t="s">
        <v>67</v>
      </c>
      <c r="C69" s="145"/>
      <c r="D69" s="222"/>
      <c r="E69" s="264">
        <v>526</v>
      </c>
      <c r="F69" s="261" t="s">
        <v>34</v>
      </c>
      <c r="G69" s="302" t="s">
        <v>34</v>
      </c>
      <c r="H69" s="302" t="s">
        <v>34</v>
      </c>
      <c r="I69" s="302" t="s">
        <v>34</v>
      </c>
      <c r="J69" s="302" t="s">
        <v>34</v>
      </c>
      <c r="K69" s="302" t="s">
        <v>34</v>
      </c>
    </row>
    <row r="70" spans="2:11" s="204" customFormat="1" ht="17" thickBot="1">
      <c r="B70" s="211" t="s">
        <v>563</v>
      </c>
      <c r="C70" s="205"/>
      <c r="D70" s="229"/>
      <c r="E70" s="277">
        <f>SUM(E64:E69)</f>
        <v>4477</v>
      </c>
      <c r="F70" s="277">
        <f t="shared" ref="F70:K70" si="14">SUM(F64:F69)</f>
        <v>5425</v>
      </c>
      <c r="G70" s="311">
        <f t="shared" si="14"/>
        <v>7040.4880567719129</v>
      </c>
      <c r="H70" s="311">
        <f t="shared" si="14"/>
        <v>8983.3283119251573</v>
      </c>
      <c r="I70" s="311">
        <f t="shared" si="14"/>
        <v>11393.223805552758</v>
      </c>
      <c r="J70" s="311">
        <f t="shared" si="14"/>
        <v>14397.111348301709</v>
      </c>
      <c r="K70" s="311">
        <f t="shared" si="14"/>
        <v>18159.569719541716</v>
      </c>
    </row>
    <row r="71" spans="2:11">
      <c r="B71" s="145"/>
      <c r="C71" s="145"/>
      <c r="D71" s="222"/>
      <c r="E71" s="264"/>
      <c r="F71" s="264"/>
      <c r="G71" s="297"/>
      <c r="H71" s="297"/>
      <c r="I71" s="297"/>
      <c r="J71" s="297"/>
      <c r="K71" s="297"/>
    </row>
    <row r="72" spans="2:11" s="204" customFormat="1">
      <c r="B72" s="191" t="s">
        <v>562</v>
      </c>
      <c r="C72" s="192"/>
      <c r="D72" s="210"/>
      <c r="E72" s="278"/>
      <c r="F72" s="278"/>
      <c r="G72" s="302"/>
      <c r="H72" s="302"/>
      <c r="I72" s="302"/>
      <c r="J72" s="302"/>
      <c r="K72" s="302"/>
    </row>
    <row r="73" spans="2:11">
      <c r="B73" s="170" t="s">
        <v>83</v>
      </c>
      <c r="C73" s="145"/>
      <c r="D73" s="222"/>
      <c r="E73" s="265">
        <v>1207</v>
      </c>
      <c r="F73" s="265">
        <v>1322</v>
      </c>
      <c r="G73" s="300">
        <f>Assumptions!$E$40*Model!G38</f>
        <v>1410.428093472445</v>
      </c>
      <c r="H73" s="300">
        <f>Assumptions!$E$40*Model!H38</f>
        <v>1504.5915839152044</v>
      </c>
      <c r="I73" s="300">
        <f>Assumptions!$E$40*Model!I38</f>
        <v>1611.9560447710094</v>
      </c>
      <c r="J73" s="300">
        <f>Assumptions!$E$40*Model!J38</f>
        <v>1735.2443523696511</v>
      </c>
      <c r="K73" s="300">
        <f>Assumptions!$E$40*Model!K38</f>
        <v>1877.9143599578558</v>
      </c>
    </row>
    <row r="74" spans="2:11">
      <c r="B74" s="170" t="s">
        <v>84</v>
      </c>
      <c r="C74" s="145"/>
      <c r="D74" s="222"/>
      <c r="E74" s="265">
        <v>1194</v>
      </c>
      <c r="F74" s="265">
        <v>1092</v>
      </c>
      <c r="G74" s="300">
        <f>Assumptions!$E$41*Model!G38</f>
        <v>1280.5836804574574</v>
      </c>
      <c r="H74" s="300">
        <f>Assumptions!$E$41*Model!H38</f>
        <v>1366.0784530828619</v>
      </c>
      <c r="I74" s="300">
        <f>Assumptions!$E$41*Model!I38</f>
        <v>1463.5589110157168</v>
      </c>
      <c r="J74" s="300">
        <f>Assumptions!$E$41*Model!J38</f>
        <v>1575.4972618134098</v>
      </c>
      <c r="K74" s="300">
        <f>Assumptions!$E$41*Model!K38</f>
        <v>1705.0330277654271</v>
      </c>
    </row>
    <row r="75" spans="2:11">
      <c r="B75" s="170" t="s">
        <v>85</v>
      </c>
      <c r="C75" s="145"/>
      <c r="D75" s="222"/>
      <c r="E75" s="264">
        <v>191</v>
      </c>
      <c r="F75" s="264">
        <v>247</v>
      </c>
      <c r="G75" s="300">
        <f>F75</f>
        <v>247</v>
      </c>
      <c r="H75" s="300">
        <f t="shared" ref="H75:K75" si="15">G75</f>
        <v>247</v>
      </c>
      <c r="I75" s="300">
        <f t="shared" si="15"/>
        <v>247</v>
      </c>
      <c r="J75" s="300">
        <f t="shared" si="15"/>
        <v>247</v>
      </c>
      <c r="K75" s="300">
        <f t="shared" si="15"/>
        <v>247</v>
      </c>
    </row>
    <row r="76" spans="2:11">
      <c r="B76" s="170" t="s">
        <v>86</v>
      </c>
      <c r="C76" s="145"/>
      <c r="D76" s="222"/>
      <c r="E76" s="264">
        <v>140</v>
      </c>
      <c r="F76" s="261" t="s">
        <v>34</v>
      </c>
      <c r="G76" s="300" t="str">
        <f>F76</f>
        <v>—</v>
      </c>
      <c r="H76" s="300" t="str">
        <f t="shared" ref="H76:K76" si="16">G76</f>
        <v>—</v>
      </c>
      <c r="I76" s="300" t="str">
        <f t="shared" si="16"/>
        <v>—</v>
      </c>
      <c r="J76" s="300" t="str">
        <f t="shared" si="16"/>
        <v>—</v>
      </c>
      <c r="K76" s="300" t="str">
        <f t="shared" si="16"/>
        <v>—</v>
      </c>
    </row>
    <row r="77" spans="2:11">
      <c r="B77" s="170" t="s">
        <v>87</v>
      </c>
      <c r="C77" s="145"/>
      <c r="D77" s="222"/>
      <c r="E77" s="264">
        <v>41</v>
      </c>
      <c r="F77" s="264">
        <v>410</v>
      </c>
      <c r="G77" s="300">
        <f>F77</f>
        <v>410</v>
      </c>
      <c r="H77" s="300">
        <f t="shared" ref="H77:K77" si="17">G77</f>
        <v>410</v>
      </c>
      <c r="I77" s="300">
        <f t="shared" si="17"/>
        <v>410</v>
      </c>
      <c r="J77" s="300">
        <f t="shared" si="17"/>
        <v>410</v>
      </c>
      <c r="K77" s="300">
        <f t="shared" si="17"/>
        <v>410</v>
      </c>
    </row>
    <row r="78" spans="2:11">
      <c r="B78" s="170" t="s">
        <v>88</v>
      </c>
      <c r="C78" s="145"/>
      <c r="D78" s="222"/>
      <c r="E78" s="264">
        <v>625</v>
      </c>
      <c r="F78" s="264">
        <v>646</v>
      </c>
      <c r="G78" s="300">
        <f>Assumptions!$E$42*Model!G38</f>
        <v>709.85340237044591</v>
      </c>
      <c r="H78" s="300">
        <f>Assumptions!$E$42*Model!H38</f>
        <v>757.24488186466499</v>
      </c>
      <c r="I78" s="300">
        <f>Assumptions!$E$42*Model!I38</f>
        <v>811.28026884035035</v>
      </c>
      <c r="J78" s="300">
        <f>Assumptions!$E$42*Model!J38</f>
        <v>873.32995788612504</v>
      </c>
      <c r="K78" s="300">
        <f>Assumptions!$E$42*Model!K38</f>
        <v>945.13424962663339</v>
      </c>
    </row>
    <row r="79" spans="2:11" s="204" customFormat="1" ht="17" thickBot="1">
      <c r="B79" s="211" t="s">
        <v>430</v>
      </c>
      <c r="C79" s="205"/>
      <c r="D79" s="229"/>
      <c r="E79" s="279">
        <f>SUM(E73:E78)</f>
        <v>3398</v>
      </c>
      <c r="F79" s="279">
        <f t="shared" ref="F79:K79" si="18">SUM(F73:F78)</f>
        <v>3717</v>
      </c>
      <c r="G79" s="312">
        <f t="shared" si="18"/>
        <v>4057.8651763003481</v>
      </c>
      <c r="H79" s="312">
        <f t="shared" si="18"/>
        <v>4284.9149188627316</v>
      </c>
      <c r="I79" s="312">
        <f t="shared" si="18"/>
        <v>4543.7952246270761</v>
      </c>
      <c r="J79" s="312">
        <f t="shared" si="18"/>
        <v>4841.071572069186</v>
      </c>
      <c r="K79" s="312">
        <f t="shared" si="18"/>
        <v>5185.0816373499165</v>
      </c>
    </row>
    <row r="80" spans="2:11" s="200" customFormat="1">
      <c r="B80" s="212" t="s">
        <v>108</v>
      </c>
      <c r="D80" s="219"/>
      <c r="E80" s="278">
        <f>E70-E79</f>
        <v>1079</v>
      </c>
      <c r="F80" s="278">
        <f t="shared" ref="F80:K80" si="19">F70-F79</f>
        <v>1708</v>
      </c>
      <c r="G80" s="308">
        <f t="shared" si="19"/>
        <v>2982.6228804715647</v>
      </c>
      <c r="H80" s="308">
        <f t="shared" si="19"/>
        <v>4698.4133930624257</v>
      </c>
      <c r="I80" s="308">
        <f t="shared" si="19"/>
        <v>6849.4285809256817</v>
      </c>
      <c r="J80" s="308">
        <f t="shared" si="19"/>
        <v>9556.0397762325229</v>
      </c>
      <c r="K80" s="308">
        <f t="shared" si="19"/>
        <v>12974.4880821918</v>
      </c>
    </row>
    <row r="81" spans="2:11" s="200" customFormat="1">
      <c r="B81" s="212" t="s">
        <v>564</v>
      </c>
      <c r="D81" s="219"/>
      <c r="E81" s="278">
        <f>E66+E67+E68-E73-E74-E78</f>
        <v>465</v>
      </c>
      <c r="F81" s="278">
        <f t="shared" ref="F81:K81" si="20">F66+F67+F68-F73-F74-F78</f>
        <v>736</v>
      </c>
      <c r="G81" s="308">
        <f>G66+G67+G68-G73-G74-G78</f>
        <v>663.83511725693745</v>
      </c>
      <c r="H81" s="308">
        <f t="shared" si="20"/>
        <v>708.15430801092714</v>
      </c>
      <c r="I81" s="308">
        <f t="shared" si="20"/>
        <v>758.68669586628471</v>
      </c>
      <c r="J81" s="308">
        <f t="shared" si="20"/>
        <v>816.71383564741166</v>
      </c>
      <c r="K81" s="308">
        <f t="shared" si="20"/>
        <v>883.86320799378291</v>
      </c>
    </row>
    <row r="82" spans="2:11" s="204" customFormat="1" ht="17" thickBot="1">
      <c r="B82" s="238" t="s">
        <v>565</v>
      </c>
      <c r="C82" s="238"/>
      <c r="D82" s="239"/>
      <c r="E82" s="275"/>
      <c r="F82" s="273">
        <f>F81-E81</f>
        <v>271</v>
      </c>
      <c r="G82" s="304">
        <f t="shared" ref="G82:K82" si="21">G81-F81</f>
        <v>-72.164882743062549</v>
      </c>
      <c r="H82" s="304">
        <f t="shared" si="21"/>
        <v>44.319190753989687</v>
      </c>
      <c r="I82" s="304">
        <f t="shared" si="21"/>
        <v>50.53238785535757</v>
      </c>
      <c r="J82" s="304">
        <f t="shared" si="21"/>
        <v>58.027139781126948</v>
      </c>
      <c r="K82" s="304">
        <f t="shared" si="21"/>
        <v>67.149372346371251</v>
      </c>
    </row>
    <row r="83" spans="2:11" ht="17" thickTop="1"/>
    <row r="84" spans="2:11">
      <c r="B84" s="145"/>
      <c r="C84" s="145"/>
      <c r="D84" s="222"/>
      <c r="E84" s="264"/>
      <c r="F84" s="264"/>
    </row>
    <row r="85" spans="2:11">
      <c r="B85" s="399" t="s">
        <v>568</v>
      </c>
      <c r="C85" s="399"/>
      <c r="D85" s="399"/>
      <c r="E85" s="399"/>
      <c r="F85" s="399"/>
      <c r="G85" s="399"/>
      <c r="H85" s="399"/>
      <c r="I85" s="399"/>
      <c r="J85" s="399"/>
      <c r="K85" s="399"/>
    </row>
    <row r="86" spans="2:11">
      <c r="B86" s="200" t="s">
        <v>554</v>
      </c>
      <c r="C86" s="145"/>
      <c r="D86" s="220">
        <v>1996</v>
      </c>
      <c r="E86" s="262">
        <f>D86+1</f>
        <v>1997</v>
      </c>
      <c r="F86" s="262">
        <f t="shared" ref="F86:J86" si="22">E86+1</f>
        <v>1998</v>
      </c>
      <c r="G86" s="291">
        <f>F86+1</f>
        <v>1999</v>
      </c>
      <c r="H86" s="291">
        <f t="shared" si="22"/>
        <v>2000</v>
      </c>
      <c r="I86" s="291">
        <f t="shared" si="22"/>
        <v>2001</v>
      </c>
      <c r="J86" s="291">
        <f t="shared" si="22"/>
        <v>2002</v>
      </c>
      <c r="K86" s="291">
        <f>J86+1</f>
        <v>2003</v>
      </c>
    </row>
    <row r="87" spans="2:11">
      <c r="B87" s="145" t="s">
        <v>70</v>
      </c>
      <c r="C87" s="145"/>
      <c r="D87" s="222"/>
      <c r="E87" s="265">
        <f>'Data Source'!C81</f>
        <v>3519</v>
      </c>
      <c r="F87" s="265">
        <f>'Data Source'!D81</f>
        <v>3482</v>
      </c>
      <c r="G87" s="300">
        <f>Assumptions!$I$19*Model!G38</f>
        <v>3914.2665039046419</v>
      </c>
      <c r="H87" s="300">
        <f>Assumptions!$I$19*Model!H38</f>
        <v>4175.592124286607</v>
      </c>
      <c r="I87" s="300">
        <f>Assumptions!$I$19*Model!I38</f>
        <v>4473.553512593191</v>
      </c>
      <c r="J87" s="300">
        <f>Assumptions!$I$19*Model!J38</f>
        <v>4815.7072849052165</v>
      </c>
      <c r="K87" s="300">
        <f>Assumptions!$I$19*Model!K38</f>
        <v>5211.6497894532104</v>
      </c>
    </row>
    <row r="88" spans="2:11">
      <c r="B88" s="200" t="s">
        <v>515</v>
      </c>
      <c r="C88" s="145"/>
      <c r="D88" s="222"/>
      <c r="E88" s="265"/>
      <c r="F88" s="265"/>
      <c r="G88" s="300">
        <f>G87-F87</f>
        <v>432.26650390464192</v>
      </c>
      <c r="H88" s="300">
        <f t="shared" ref="H88:K88" si="23">H87-G87</f>
        <v>261.32562038196511</v>
      </c>
      <c r="I88" s="300">
        <f t="shared" si="23"/>
        <v>297.96138830658401</v>
      </c>
      <c r="J88" s="300">
        <f t="shared" si="23"/>
        <v>342.15377231202547</v>
      </c>
      <c r="K88" s="300">
        <f t="shared" si="23"/>
        <v>395.94250454799385</v>
      </c>
    </row>
    <row r="89" spans="2:11">
      <c r="B89" s="200"/>
      <c r="C89" s="145"/>
      <c r="D89" s="222"/>
      <c r="E89" s="265"/>
      <c r="F89" s="265"/>
      <c r="G89" s="300"/>
      <c r="H89" s="300"/>
      <c r="I89" s="300"/>
      <c r="J89" s="300"/>
      <c r="K89" s="300"/>
    </row>
    <row r="90" spans="2:11">
      <c r="B90" s="145" t="s">
        <v>519</v>
      </c>
      <c r="C90" s="145"/>
      <c r="D90" s="222"/>
      <c r="E90" s="265">
        <f>'Data Source'!C82</f>
        <v>6771</v>
      </c>
      <c r="F90" s="265">
        <f>'Data Source'!D82</f>
        <v>7739</v>
      </c>
      <c r="G90" s="300">
        <f>Assumptions!$I$20*Model!G38</f>
        <v>8083.7589455961997</v>
      </c>
      <c r="H90" s="300">
        <f>Assumptions!$I$20*Model!H38</f>
        <v>8623.4496690992837</v>
      </c>
      <c r="I90" s="300">
        <f>Assumptions!$I$20*Model!I38</f>
        <v>9238.8007280429938</v>
      </c>
      <c r="J90" s="300">
        <f>Assumptions!$I$20*Model!J38</f>
        <v>9945.4180763859677</v>
      </c>
      <c r="K90" s="300">
        <f>Assumptions!$I$20*Model!K38</f>
        <v>10763.120131135885</v>
      </c>
    </row>
    <row r="91" spans="2:11">
      <c r="B91" s="200" t="s">
        <v>515</v>
      </c>
      <c r="C91" s="145"/>
      <c r="D91" s="222"/>
      <c r="E91" s="265"/>
      <c r="F91" s="265"/>
      <c r="G91" s="300">
        <f>G90-F90</f>
        <v>344.75894559619974</v>
      </c>
      <c r="H91" s="300">
        <f t="shared" ref="H91:K91" si="24">H90-G90</f>
        <v>539.69072350308397</v>
      </c>
      <c r="I91" s="300">
        <f t="shared" si="24"/>
        <v>615.35105894371009</v>
      </c>
      <c r="J91" s="300">
        <f t="shared" si="24"/>
        <v>706.61734834297386</v>
      </c>
      <c r="K91" s="300">
        <f t="shared" si="24"/>
        <v>817.70205474991781</v>
      </c>
    </row>
    <row r="92" spans="2:11">
      <c r="B92" s="200"/>
      <c r="C92" s="145"/>
      <c r="D92" s="222"/>
      <c r="E92" s="265"/>
      <c r="F92" s="265"/>
      <c r="G92" s="300"/>
      <c r="H92" s="300"/>
      <c r="I92" s="300"/>
      <c r="J92" s="300"/>
      <c r="K92" s="300"/>
    </row>
    <row r="93" spans="2:11" ht="17">
      <c r="B93" s="199" t="s">
        <v>570</v>
      </c>
      <c r="C93" s="145"/>
      <c r="D93" s="222"/>
      <c r="E93" s="265">
        <f>'Data Source'!C86</f>
        <v>4063</v>
      </c>
      <c r="F93" s="265">
        <f>'Data Source'!D86</f>
        <v>4144</v>
      </c>
      <c r="G93" s="300">
        <f>Assumptions!$I$21*Model!G38</f>
        <v>4585.1139402880144</v>
      </c>
      <c r="H93" s="300">
        <f>Assumptions!$I$21*Model!H38</f>
        <v>4891.2269103099843</v>
      </c>
      <c r="I93" s="300">
        <f>Assumptions!$I$21*Model!I38</f>
        <v>5240.2544775002261</v>
      </c>
      <c r="J93" s="300">
        <f>Assumptions!$I$21*Model!J38</f>
        <v>5641.0483502692477</v>
      </c>
      <c r="K93" s="300">
        <f>Assumptions!$I$21*Model!K38</f>
        <v>6104.8495491259364</v>
      </c>
    </row>
    <row r="94" spans="2:11">
      <c r="B94" s="200" t="s">
        <v>515</v>
      </c>
      <c r="C94" s="145"/>
      <c r="D94" s="222"/>
      <c r="E94" s="265"/>
      <c r="F94" s="265"/>
      <c r="G94" s="300">
        <f>G93-F93</f>
        <v>441.11394028801442</v>
      </c>
      <c r="H94" s="300">
        <f t="shared" ref="H94:K94" si="25">H93-G93</f>
        <v>306.11297002196989</v>
      </c>
      <c r="I94" s="300">
        <f t="shared" si="25"/>
        <v>349.02756719024183</v>
      </c>
      <c r="J94" s="300">
        <f t="shared" si="25"/>
        <v>400.79387276902162</v>
      </c>
      <c r="K94" s="300">
        <f t="shared" si="25"/>
        <v>463.80119885668864</v>
      </c>
    </row>
    <row r="95" spans="2:11">
      <c r="B95" s="200"/>
      <c r="C95" s="145"/>
      <c r="D95" s="222"/>
      <c r="E95" s="265"/>
      <c r="F95" s="265"/>
      <c r="G95" s="300"/>
      <c r="H95" s="300"/>
      <c r="I95" s="300"/>
      <c r="J95" s="300"/>
      <c r="K95" s="300"/>
    </row>
    <row r="96" spans="2:11">
      <c r="B96" s="145" t="s">
        <v>73</v>
      </c>
      <c r="C96" s="145"/>
      <c r="D96" s="222"/>
      <c r="E96" s="265">
        <f>'Data Source'!C84</f>
        <v>1433</v>
      </c>
      <c r="F96" s="265">
        <f>'Data Source'!D84</f>
        <v>1478</v>
      </c>
      <c r="G96" s="300">
        <f>F96*(1+Assumptions!$I$23)</f>
        <v>1492.78</v>
      </c>
      <c r="H96" s="300">
        <f>G96*(1+Assumptions!$I$23)</f>
        <v>1507.7077999999999</v>
      </c>
      <c r="I96" s="300">
        <f>H96*(1+Assumptions!$I$23)</f>
        <v>1522.7848779999999</v>
      </c>
      <c r="J96" s="300">
        <f>I96*(1+Assumptions!$I$23)</f>
        <v>1538.0127267799999</v>
      </c>
      <c r="K96" s="300">
        <f>J96*(1+Assumptions!$I$23)</f>
        <v>1553.3928540477998</v>
      </c>
    </row>
    <row r="97" spans="2:11">
      <c r="B97" s="200" t="s">
        <v>515</v>
      </c>
      <c r="C97" s="145"/>
      <c r="D97" s="222"/>
      <c r="E97" s="265"/>
      <c r="F97" s="265"/>
      <c r="G97" s="300">
        <f>G96-F96</f>
        <v>14.779999999999973</v>
      </c>
      <c r="H97" s="300">
        <f t="shared" ref="H97:K97" si="26">H96-G96</f>
        <v>14.927799999999934</v>
      </c>
      <c r="I97" s="300">
        <f t="shared" si="26"/>
        <v>15.077078000000029</v>
      </c>
      <c r="J97" s="300">
        <f t="shared" si="26"/>
        <v>15.227848779999931</v>
      </c>
      <c r="K97" s="300">
        <f t="shared" si="26"/>
        <v>15.380127267799935</v>
      </c>
    </row>
    <row r="98" spans="2:11">
      <c r="B98" s="200"/>
      <c r="C98" s="145"/>
      <c r="D98" s="222"/>
      <c r="E98" s="265"/>
      <c r="F98" s="265"/>
      <c r="G98" s="300"/>
      <c r="H98" s="300"/>
      <c r="I98" s="300"/>
      <c r="J98" s="300"/>
      <c r="K98" s="300"/>
    </row>
    <row r="99" spans="2:11">
      <c r="B99" s="145" t="s">
        <v>74</v>
      </c>
      <c r="C99" s="145"/>
      <c r="D99" s="222"/>
      <c r="E99" s="265">
        <f>'Data Source'!C85</f>
        <v>1734</v>
      </c>
      <c r="F99" s="265">
        <f>'Data Source'!D85</f>
        <v>1803</v>
      </c>
      <c r="G99" s="300">
        <f>F99*(1+Assumptions!$I$24)</f>
        <v>1821.03</v>
      </c>
      <c r="H99" s="300">
        <f>G99*(1+Assumptions!$I$24)</f>
        <v>1839.2402999999999</v>
      </c>
      <c r="I99" s="300">
        <f>H99*(1+Assumptions!$I$24)</f>
        <v>1857.632703</v>
      </c>
      <c r="J99" s="300">
        <f>I99*(1+Assumptions!$I$24)</f>
        <v>1876.2090300300001</v>
      </c>
      <c r="K99" s="300">
        <f>J99*(1+Assumptions!$I$24)</f>
        <v>1894.9711203303002</v>
      </c>
    </row>
    <row r="100" spans="2:11">
      <c r="B100" s="200" t="s">
        <v>515</v>
      </c>
      <c r="C100" s="145"/>
      <c r="D100" s="222"/>
      <c r="E100" s="265"/>
      <c r="F100" s="265"/>
      <c r="G100" s="300">
        <f>G99-F99</f>
        <v>18.029999999999973</v>
      </c>
      <c r="H100" s="300">
        <f t="shared" ref="H100:K100" si="27">H99-G99</f>
        <v>18.210299999999961</v>
      </c>
      <c r="I100" s="300">
        <f t="shared" si="27"/>
        <v>18.392403000000058</v>
      </c>
      <c r="J100" s="300">
        <f t="shared" si="27"/>
        <v>18.57632703000013</v>
      </c>
      <c r="K100" s="300">
        <f t="shared" si="27"/>
        <v>18.762090300300088</v>
      </c>
    </row>
    <row r="101" spans="2:11">
      <c r="B101" s="200"/>
      <c r="C101" s="145"/>
      <c r="D101" s="222"/>
      <c r="E101" s="265"/>
      <c r="F101" s="265"/>
      <c r="G101" s="300"/>
      <c r="H101" s="300"/>
      <c r="I101" s="300"/>
      <c r="J101" s="300"/>
      <c r="K101" s="300"/>
    </row>
    <row r="102" spans="2:11">
      <c r="B102" s="145" t="s">
        <v>521</v>
      </c>
      <c r="C102" s="145"/>
      <c r="D102" s="222"/>
      <c r="E102" s="264">
        <f>'Data Source'!C87</f>
        <v>328</v>
      </c>
      <c r="F102" s="264">
        <f>'Data Source'!D87</f>
        <v>257</v>
      </c>
      <c r="G102" s="300">
        <f>F102*(1+Assumptions!$I$25)</f>
        <v>259.57</v>
      </c>
      <c r="H102" s="300">
        <f>G102*(1+Assumptions!$I$25)</f>
        <v>262.16570000000002</v>
      </c>
      <c r="I102" s="300">
        <f>H102*(1+Assumptions!$I$25)</f>
        <v>264.78735700000004</v>
      </c>
      <c r="J102" s="300">
        <f>I102*(1+Assumptions!$I$25)</f>
        <v>267.43523057000004</v>
      </c>
      <c r="K102" s="300">
        <f>J102*(1+Assumptions!$I$25)</f>
        <v>270.10958287570003</v>
      </c>
    </row>
    <row r="103" spans="2:11">
      <c r="B103" s="200" t="s">
        <v>515</v>
      </c>
      <c r="C103" s="145"/>
      <c r="D103" s="222"/>
      <c r="E103" s="264"/>
      <c r="F103" s="264"/>
      <c r="G103" s="300">
        <f>G102-F102</f>
        <v>2.5699999999999932</v>
      </c>
      <c r="H103" s="300">
        <f t="shared" ref="H103:K103" si="28">H102-G102</f>
        <v>2.5957000000000221</v>
      </c>
      <c r="I103" s="300">
        <f t="shared" si="28"/>
        <v>2.6216570000000274</v>
      </c>
      <c r="J103" s="300">
        <f t="shared" si="28"/>
        <v>2.6478735700000016</v>
      </c>
      <c r="K103" s="300">
        <f t="shared" si="28"/>
        <v>2.6743523056999834</v>
      </c>
    </row>
    <row r="104" spans="2:11">
      <c r="B104" s="200"/>
      <c r="C104" s="145"/>
      <c r="D104" s="222"/>
      <c r="E104" s="264"/>
      <c r="F104" s="264"/>
      <c r="G104" s="300"/>
      <c r="H104" s="300"/>
      <c r="I104" s="300"/>
      <c r="J104" s="300"/>
      <c r="K104" s="300"/>
    </row>
    <row r="105" spans="2:11" s="145" customFormat="1">
      <c r="B105" s="145" t="s">
        <v>569</v>
      </c>
      <c r="D105" s="222"/>
      <c r="E105" s="265">
        <f>'Data Source'!C83</f>
        <v>654</v>
      </c>
      <c r="F105" s="265">
        <f>'Data Source'!D83</f>
        <v>651</v>
      </c>
      <c r="G105" s="300">
        <f>F105*(1+Assumptions!$I$26)</f>
        <v>651</v>
      </c>
      <c r="H105" s="300">
        <f>G105*(1+Assumptions!$I$26)</f>
        <v>651</v>
      </c>
      <c r="I105" s="300">
        <f>H105*(1+Assumptions!$I$26)</f>
        <v>651</v>
      </c>
      <c r="J105" s="300">
        <f>I105*(1+Assumptions!$I$26)</f>
        <v>651</v>
      </c>
      <c r="K105" s="300">
        <f>J105*(1+Assumptions!$I$26)</f>
        <v>651</v>
      </c>
    </row>
    <row r="106" spans="2:11">
      <c r="B106" s="200" t="s">
        <v>515</v>
      </c>
      <c r="C106" s="145"/>
      <c r="D106" s="222"/>
      <c r="E106" s="265"/>
      <c r="F106" s="265"/>
      <c r="G106" s="300">
        <f>G105-F105</f>
        <v>0</v>
      </c>
      <c r="H106" s="300">
        <f t="shared" ref="H106:K106" si="29">H105-G105</f>
        <v>0</v>
      </c>
      <c r="I106" s="300">
        <f t="shared" si="29"/>
        <v>0</v>
      </c>
      <c r="J106" s="300">
        <f t="shared" si="29"/>
        <v>0</v>
      </c>
      <c r="K106" s="300">
        <f t="shared" si="29"/>
        <v>0</v>
      </c>
    </row>
    <row r="107" spans="2:11" s="200" customFormat="1">
      <c r="B107" s="232" t="s">
        <v>601</v>
      </c>
      <c r="C107" s="232"/>
      <c r="D107" s="233"/>
      <c r="E107" s="280"/>
      <c r="F107" s="280"/>
      <c r="G107" s="313">
        <f>G88+G91+G94+G97+G100+G103</f>
        <v>1253.519389788856</v>
      </c>
      <c r="H107" s="313">
        <f t="shared" ref="H107:K107" si="30">H88+H91+H94+H97+H100+H103</f>
        <v>1142.8631139070189</v>
      </c>
      <c r="I107" s="313">
        <f t="shared" si="30"/>
        <v>1298.4311524405362</v>
      </c>
      <c r="J107" s="313">
        <f t="shared" si="30"/>
        <v>1486.017042804021</v>
      </c>
      <c r="K107" s="313">
        <f t="shared" si="30"/>
        <v>1714.2623280284004</v>
      </c>
    </row>
    <row r="108" spans="2:11" s="200" customFormat="1">
      <c r="B108" s="232" t="s">
        <v>611</v>
      </c>
      <c r="C108" s="232"/>
      <c r="D108" s="233"/>
      <c r="E108" s="280"/>
      <c r="F108" s="280"/>
      <c r="G108" s="313">
        <f>G106</f>
        <v>0</v>
      </c>
      <c r="H108" s="313">
        <f t="shared" ref="H108:K108" si="31">H106</f>
        <v>0</v>
      </c>
      <c r="I108" s="313">
        <f t="shared" si="31"/>
        <v>0</v>
      </c>
      <c r="J108" s="313">
        <f t="shared" si="31"/>
        <v>0</v>
      </c>
      <c r="K108" s="313">
        <f t="shared" si="31"/>
        <v>0</v>
      </c>
    </row>
    <row r="109" spans="2:11" s="351" customFormat="1" ht="17" thickBot="1">
      <c r="B109" s="238" t="s">
        <v>650</v>
      </c>
      <c r="C109" s="238"/>
      <c r="D109" s="239"/>
      <c r="E109" s="273"/>
      <c r="F109" s="273"/>
      <c r="G109" s="314">
        <f>SUM(G107:G108)</f>
        <v>1253.519389788856</v>
      </c>
      <c r="H109" s="314">
        <f t="shared" ref="H109:K109" si="32">SUM(H107:H108)</f>
        <v>1142.8631139070189</v>
      </c>
      <c r="I109" s="314">
        <f t="shared" si="32"/>
        <v>1298.4311524405362</v>
      </c>
      <c r="J109" s="314">
        <f t="shared" si="32"/>
        <v>1486.017042804021</v>
      </c>
      <c r="K109" s="314">
        <f t="shared" si="32"/>
        <v>1714.2623280284004</v>
      </c>
    </row>
    <row r="110" spans="2:11" ht="17" thickTop="1"/>
    <row r="112" spans="2:11">
      <c r="B112" s="399" t="s">
        <v>566</v>
      </c>
      <c r="C112" s="399"/>
      <c r="D112" s="399"/>
      <c r="E112" s="399"/>
      <c r="F112" s="399"/>
      <c r="G112" s="399"/>
      <c r="H112" s="399"/>
      <c r="I112" s="399"/>
      <c r="J112" s="399"/>
      <c r="K112" s="399"/>
    </row>
    <row r="113" spans="2:11">
      <c r="B113" s="206" t="s">
        <v>554</v>
      </c>
      <c r="C113" s="206" t="s">
        <v>531</v>
      </c>
      <c r="D113" s="230"/>
      <c r="E113" s="281"/>
      <c r="F113" s="281"/>
      <c r="G113" s="315"/>
      <c r="H113" s="315"/>
      <c r="I113" s="315"/>
      <c r="J113" s="315"/>
      <c r="K113" s="315"/>
    </row>
    <row r="114" spans="2:11">
      <c r="B114" s="245" t="s">
        <v>70</v>
      </c>
      <c r="C114" s="245">
        <f>Assumptions!I30</f>
        <v>15</v>
      </c>
      <c r="D114" s="222"/>
      <c r="E114" s="264"/>
      <c r="F114" s="264"/>
      <c r="G114" s="293"/>
      <c r="H114" s="293"/>
      <c r="I114" s="293"/>
      <c r="J114" s="293"/>
      <c r="K114" s="293"/>
    </row>
    <row r="115" spans="2:11">
      <c r="B115" s="145"/>
      <c r="C115" s="145"/>
      <c r="D115" s="220">
        <v>1996</v>
      </c>
      <c r="E115" s="262">
        <f>D115+1</f>
        <v>1997</v>
      </c>
      <c r="F115" s="262">
        <f t="shared" ref="F115:J115" si="33">E115+1</f>
        <v>1998</v>
      </c>
      <c r="G115" s="291">
        <f>F115+1</f>
        <v>1999</v>
      </c>
      <c r="H115" s="291">
        <f t="shared" si="33"/>
        <v>2000</v>
      </c>
      <c r="I115" s="291">
        <f t="shared" si="33"/>
        <v>2001</v>
      </c>
      <c r="J115" s="291">
        <f t="shared" si="33"/>
        <v>2002</v>
      </c>
      <c r="K115" s="291">
        <f>J115+1</f>
        <v>2003</v>
      </c>
    </row>
    <row r="116" spans="2:11">
      <c r="B116" s="200" t="s">
        <v>515</v>
      </c>
      <c r="C116" s="145"/>
      <c r="D116" s="222"/>
      <c r="E116" s="264"/>
      <c r="F116" s="264"/>
      <c r="G116" s="293"/>
      <c r="H116" s="293"/>
      <c r="I116" s="293"/>
      <c r="J116" s="293"/>
      <c r="K116" s="293"/>
    </row>
    <row r="117" spans="2:11">
      <c r="B117" s="145" t="s">
        <v>572</v>
      </c>
      <c r="C117" s="145"/>
      <c r="D117" s="222"/>
      <c r="E117" s="264"/>
      <c r="F117" s="265"/>
      <c r="G117" s="305">
        <f>F87</f>
        <v>3482</v>
      </c>
      <c r="H117" s="305"/>
      <c r="I117" s="305"/>
      <c r="J117" s="305"/>
      <c r="K117" s="305"/>
    </row>
    <row r="118" spans="2:11">
      <c r="B118" s="145" t="s">
        <v>571</v>
      </c>
      <c r="C118" s="145"/>
      <c r="D118" s="222"/>
      <c r="E118" s="264"/>
      <c r="F118" s="265"/>
      <c r="G118" s="305">
        <f>G87-F87</f>
        <v>432.26650390464192</v>
      </c>
      <c r="H118" s="305">
        <f>H87-G87</f>
        <v>261.32562038196511</v>
      </c>
      <c r="I118" s="305">
        <f>I87-H87</f>
        <v>297.96138830658401</v>
      </c>
      <c r="J118" s="305">
        <f>J87-I87</f>
        <v>342.15377231202547</v>
      </c>
      <c r="K118" s="305">
        <f>K87-J87</f>
        <v>395.94250454799385</v>
      </c>
    </row>
    <row r="119" spans="2:11">
      <c r="B119" s="145"/>
      <c r="C119" s="145"/>
      <c r="D119" s="222"/>
      <c r="E119" s="264"/>
      <c r="F119" s="264"/>
      <c r="G119" s="293"/>
      <c r="H119" s="293"/>
      <c r="I119" s="293"/>
      <c r="J119" s="293"/>
      <c r="K119" s="293"/>
    </row>
    <row r="120" spans="2:11">
      <c r="B120" s="200" t="s">
        <v>573</v>
      </c>
      <c r="C120" s="145"/>
      <c r="D120" s="222"/>
      <c r="E120" s="264"/>
      <c r="F120" s="264"/>
      <c r="G120" s="293"/>
      <c r="H120" s="293"/>
      <c r="I120" s="293"/>
      <c r="J120" s="293"/>
      <c r="K120" s="293"/>
    </row>
    <row r="121" spans="2:11">
      <c r="B121" s="145" t="s">
        <v>572</v>
      </c>
      <c r="C121" s="145"/>
      <c r="D121" s="222"/>
      <c r="E121" s="264"/>
      <c r="F121" s="264"/>
      <c r="G121" s="294">
        <f>G117/$C$114</f>
        <v>232.13333333333333</v>
      </c>
      <c r="H121" s="294">
        <f>G121</f>
        <v>232.13333333333333</v>
      </c>
      <c r="I121" s="294">
        <f t="shared" ref="I121:K121" si="34">H121</f>
        <v>232.13333333333333</v>
      </c>
      <c r="J121" s="294">
        <f t="shared" si="34"/>
        <v>232.13333333333333</v>
      </c>
      <c r="K121" s="294">
        <f t="shared" si="34"/>
        <v>232.13333333333333</v>
      </c>
    </row>
    <row r="122" spans="2:11" s="204" customFormat="1">
      <c r="B122" s="145" t="s">
        <v>571</v>
      </c>
      <c r="C122" s="145"/>
      <c r="D122" s="222"/>
      <c r="E122" s="264"/>
      <c r="F122" s="264"/>
      <c r="G122" s="294"/>
      <c r="H122" s="294">
        <f>G118/$C$114</f>
        <v>28.817766926976127</v>
      </c>
      <c r="I122" s="294">
        <f>H122</f>
        <v>28.817766926976127</v>
      </c>
      <c r="J122" s="294">
        <f t="shared" ref="J122:K122" si="35">I122</f>
        <v>28.817766926976127</v>
      </c>
      <c r="K122" s="294">
        <f t="shared" si="35"/>
        <v>28.817766926976127</v>
      </c>
    </row>
    <row r="123" spans="2:11" s="204" customFormat="1">
      <c r="B123" s="145"/>
      <c r="C123" s="145"/>
      <c r="D123" s="222"/>
      <c r="E123" s="264"/>
      <c r="F123" s="264"/>
      <c r="G123" s="294"/>
      <c r="H123" s="294"/>
      <c r="I123" s="294">
        <f>H118/$C$114</f>
        <v>17.421708025464341</v>
      </c>
      <c r="J123" s="294">
        <f>I123</f>
        <v>17.421708025464341</v>
      </c>
      <c r="K123" s="294">
        <f>J123</f>
        <v>17.421708025464341</v>
      </c>
    </row>
    <row r="124" spans="2:11" s="204" customFormat="1">
      <c r="B124" s="145"/>
      <c r="C124" s="145"/>
      <c r="D124" s="222"/>
      <c r="E124" s="264"/>
      <c r="F124" s="264"/>
      <c r="G124" s="294"/>
      <c r="H124" s="294"/>
      <c r="I124" s="294"/>
      <c r="J124" s="294">
        <f>I118/$C$114</f>
        <v>19.864092553772267</v>
      </c>
      <c r="K124" s="294">
        <f>J124</f>
        <v>19.864092553772267</v>
      </c>
    </row>
    <row r="125" spans="2:11" s="204" customFormat="1">
      <c r="B125" s="145"/>
      <c r="C125" s="145"/>
      <c r="D125" s="222"/>
      <c r="E125" s="264"/>
      <c r="F125" s="264"/>
      <c r="G125" s="294"/>
      <c r="H125" s="294"/>
      <c r="I125" s="294"/>
      <c r="J125" s="294"/>
      <c r="K125" s="294">
        <f>J118/C114</f>
        <v>22.810251487468364</v>
      </c>
    </row>
    <row r="126" spans="2:11" ht="17" thickBot="1">
      <c r="B126" s="243" t="s">
        <v>575</v>
      </c>
      <c r="C126" s="243"/>
      <c r="D126" s="244"/>
      <c r="E126" s="282"/>
      <c r="F126" s="282"/>
      <c r="G126" s="316">
        <f>SUM(G121:G125)</f>
        <v>232.13333333333333</v>
      </c>
      <c r="H126" s="316">
        <f t="shared" ref="H126:K126" si="36">SUM(H121:H125)</f>
        <v>260.95110026030943</v>
      </c>
      <c r="I126" s="316">
        <f t="shared" si="36"/>
        <v>278.37280828577377</v>
      </c>
      <c r="J126" s="316">
        <f t="shared" si="36"/>
        <v>298.23690083954602</v>
      </c>
      <c r="K126" s="316">
        <f t="shared" si="36"/>
        <v>321.04715232701437</v>
      </c>
    </row>
    <row r="127" spans="2:11">
      <c r="B127" s="145"/>
      <c r="C127" s="145"/>
      <c r="D127" s="222"/>
      <c r="E127" s="264"/>
      <c r="F127" s="264"/>
      <c r="G127" s="293"/>
      <c r="H127" s="293"/>
      <c r="I127" s="293"/>
      <c r="J127" s="293"/>
      <c r="K127" s="293"/>
    </row>
    <row r="128" spans="2:11">
      <c r="B128" s="206" t="s">
        <v>554</v>
      </c>
      <c r="C128" s="206" t="s">
        <v>531</v>
      </c>
      <c r="D128" s="230"/>
      <c r="E128" s="281"/>
      <c r="F128" s="281"/>
      <c r="G128" s="315"/>
      <c r="H128" s="315"/>
      <c r="I128" s="315"/>
      <c r="J128" s="315"/>
      <c r="K128" s="315"/>
    </row>
    <row r="129" spans="2:11">
      <c r="B129" s="245" t="s">
        <v>158</v>
      </c>
      <c r="C129" s="245">
        <f>Assumptions!I31</f>
        <v>35</v>
      </c>
      <c r="D129" s="222"/>
      <c r="E129" s="264"/>
      <c r="F129" s="264"/>
      <c r="G129" s="293"/>
      <c r="H129" s="293"/>
      <c r="I129" s="293"/>
      <c r="J129" s="293"/>
      <c r="K129" s="293"/>
    </row>
    <row r="130" spans="2:11">
      <c r="B130" s="145"/>
      <c r="C130" s="145"/>
      <c r="D130" s="220">
        <v>1996</v>
      </c>
      <c r="E130" s="262">
        <f>D130+1</f>
        <v>1997</v>
      </c>
      <c r="F130" s="262">
        <f t="shared" ref="F130" si="37">E130+1</f>
        <v>1998</v>
      </c>
      <c r="G130" s="291">
        <f>F130+1</f>
        <v>1999</v>
      </c>
      <c r="H130" s="291">
        <f t="shared" ref="H130:J130" si="38">G130+1</f>
        <v>2000</v>
      </c>
      <c r="I130" s="291">
        <f t="shared" si="38"/>
        <v>2001</v>
      </c>
      <c r="J130" s="291">
        <f t="shared" si="38"/>
        <v>2002</v>
      </c>
      <c r="K130" s="291">
        <f>J130+1</f>
        <v>2003</v>
      </c>
    </row>
    <row r="131" spans="2:11">
      <c r="B131" s="200" t="s">
        <v>515</v>
      </c>
      <c r="C131" s="145"/>
      <c r="D131" s="222"/>
      <c r="E131" s="264"/>
      <c r="F131" s="264"/>
      <c r="G131" s="293"/>
      <c r="H131" s="293"/>
      <c r="I131" s="293"/>
      <c r="J131" s="293"/>
      <c r="K131" s="293"/>
    </row>
    <row r="132" spans="2:11">
      <c r="B132" s="145" t="s">
        <v>576</v>
      </c>
      <c r="C132" s="145"/>
      <c r="D132" s="222"/>
      <c r="E132" s="264"/>
      <c r="F132" s="265"/>
      <c r="G132" s="305">
        <f>F90</f>
        <v>7739</v>
      </c>
      <c r="H132" s="305"/>
      <c r="I132" s="305"/>
      <c r="J132" s="305"/>
      <c r="K132" s="305"/>
    </row>
    <row r="133" spans="2:11">
      <c r="B133" s="145" t="s">
        <v>577</v>
      </c>
      <c r="C133" s="145"/>
      <c r="D133" s="222"/>
      <c r="E133" s="264"/>
      <c r="F133" s="265"/>
      <c r="G133" s="305">
        <f>G90-F90</f>
        <v>344.75894559619974</v>
      </c>
      <c r="H133" s="305">
        <f t="shared" ref="H133:K133" si="39">H90-G90</f>
        <v>539.69072350308397</v>
      </c>
      <c r="I133" s="305">
        <f t="shared" si="39"/>
        <v>615.35105894371009</v>
      </c>
      <c r="J133" s="305">
        <f t="shared" si="39"/>
        <v>706.61734834297386</v>
      </c>
      <c r="K133" s="305">
        <f t="shared" si="39"/>
        <v>817.70205474991781</v>
      </c>
    </row>
    <row r="134" spans="2:11">
      <c r="B134" s="145"/>
      <c r="C134" s="145"/>
      <c r="D134" s="222"/>
      <c r="E134" s="264"/>
      <c r="F134" s="264"/>
      <c r="G134" s="293"/>
      <c r="H134" s="293"/>
      <c r="I134" s="293"/>
      <c r="J134" s="293"/>
      <c r="K134" s="293"/>
    </row>
    <row r="135" spans="2:11">
      <c r="B135" s="200" t="s">
        <v>573</v>
      </c>
      <c r="C135" s="145"/>
      <c r="D135" s="222"/>
      <c r="E135" s="264"/>
      <c r="F135" s="264"/>
      <c r="G135" s="293"/>
      <c r="H135" s="293"/>
      <c r="I135" s="293"/>
      <c r="J135" s="293"/>
      <c r="K135" s="293"/>
    </row>
    <row r="136" spans="2:11">
      <c r="B136" s="145" t="s">
        <v>576</v>
      </c>
      <c r="C136" s="145"/>
      <c r="D136" s="222"/>
      <c r="E136" s="264"/>
      <c r="F136" s="264"/>
      <c r="G136" s="294">
        <f>G132/$C$129</f>
        <v>221.11428571428573</v>
      </c>
      <c r="H136" s="294">
        <f>G136</f>
        <v>221.11428571428573</v>
      </c>
      <c r="I136" s="294">
        <f t="shared" ref="I136:K136" si="40">H136</f>
        <v>221.11428571428573</v>
      </c>
      <c r="J136" s="294">
        <f t="shared" si="40"/>
        <v>221.11428571428573</v>
      </c>
      <c r="K136" s="294">
        <f t="shared" si="40"/>
        <v>221.11428571428573</v>
      </c>
    </row>
    <row r="137" spans="2:11">
      <c r="B137" s="145" t="s">
        <v>577</v>
      </c>
      <c r="C137" s="145"/>
      <c r="D137" s="222"/>
      <c r="E137" s="264"/>
      <c r="F137" s="264"/>
      <c r="G137" s="294"/>
      <c r="H137" s="294">
        <f>G133/$C$129</f>
        <v>9.8502555884628489</v>
      </c>
      <c r="I137" s="294">
        <f>H137</f>
        <v>9.8502555884628489</v>
      </c>
      <c r="J137" s="294">
        <f t="shared" ref="J137:K137" si="41">I137</f>
        <v>9.8502555884628489</v>
      </c>
      <c r="K137" s="294">
        <f t="shared" si="41"/>
        <v>9.8502555884628489</v>
      </c>
    </row>
    <row r="138" spans="2:11">
      <c r="B138" s="145"/>
      <c r="C138" s="145"/>
      <c r="D138" s="222"/>
      <c r="E138" s="264"/>
      <c r="F138" s="264"/>
      <c r="G138" s="294"/>
      <c r="H138" s="294"/>
      <c r="I138" s="294">
        <f>H133/C129</f>
        <v>15.41973495723097</v>
      </c>
      <c r="J138" s="294">
        <f>I138</f>
        <v>15.41973495723097</v>
      </c>
      <c r="K138" s="294">
        <f>J138</f>
        <v>15.41973495723097</v>
      </c>
    </row>
    <row r="139" spans="2:11">
      <c r="B139" s="145"/>
      <c r="C139" s="145"/>
      <c r="D139" s="222"/>
      <c r="E139" s="264"/>
      <c r="F139" s="264"/>
      <c r="G139" s="294"/>
      <c r="H139" s="294"/>
      <c r="I139" s="294"/>
      <c r="J139" s="294">
        <f>I133/C129</f>
        <v>17.581458826963146</v>
      </c>
      <c r="K139" s="294">
        <f>J139</f>
        <v>17.581458826963146</v>
      </c>
    </row>
    <row r="140" spans="2:11">
      <c r="K140" s="317">
        <f>J133/C129</f>
        <v>20.18906709551354</v>
      </c>
    </row>
    <row r="141" spans="2:11" ht="17" thickBot="1">
      <c r="B141" s="243" t="s">
        <v>575</v>
      </c>
      <c r="C141" s="243"/>
      <c r="D141" s="244"/>
      <c r="E141" s="282"/>
      <c r="F141" s="282"/>
      <c r="G141" s="316">
        <f>SUM(G136:G140)</f>
        <v>221.11428571428573</v>
      </c>
      <c r="H141" s="316">
        <f t="shared" ref="H141:K141" si="42">SUM(H136:H140)</f>
        <v>230.96454130274859</v>
      </c>
      <c r="I141" s="316">
        <f t="shared" si="42"/>
        <v>246.38427625997954</v>
      </c>
      <c r="J141" s="316">
        <f t="shared" si="42"/>
        <v>263.96573508694269</v>
      </c>
      <c r="K141" s="316">
        <f t="shared" si="42"/>
        <v>284.15480218245625</v>
      </c>
    </row>
    <row r="142" spans="2:11">
      <c r="B142" s="145"/>
      <c r="C142" s="145"/>
      <c r="D142" s="222"/>
      <c r="E142" s="264"/>
      <c r="F142" s="264"/>
      <c r="G142" s="293"/>
      <c r="H142" s="293"/>
      <c r="I142" s="293"/>
      <c r="J142" s="293"/>
      <c r="K142" s="293"/>
    </row>
    <row r="143" spans="2:11">
      <c r="B143" s="206" t="s">
        <v>554</v>
      </c>
      <c r="C143" s="206" t="s">
        <v>531</v>
      </c>
      <c r="D143" s="230"/>
      <c r="E143" s="281"/>
      <c r="F143" s="281"/>
      <c r="G143" s="315"/>
      <c r="H143" s="315"/>
      <c r="I143" s="315"/>
      <c r="J143" s="315"/>
      <c r="K143" s="315"/>
    </row>
    <row r="144" spans="2:11">
      <c r="B144" s="245" t="s">
        <v>570</v>
      </c>
      <c r="C144" s="245">
        <f>Assumptions!I34</f>
        <v>30</v>
      </c>
      <c r="D144" s="222"/>
      <c r="E144" s="264"/>
      <c r="F144" s="264"/>
      <c r="G144" s="293"/>
      <c r="H144" s="293"/>
      <c r="I144" s="293"/>
      <c r="J144" s="293"/>
      <c r="K144" s="293"/>
    </row>
    <row r="145" spans="2:11">
      <c r="B145" s="145"/>
      <c r="C145" s="145"/>
      <c r="D145" s="220">
        <v>1996</v>
      </c>
      <c r="E145" s="262">
        <f>D145+1</f>
        <v>1997</v>
      </c>
      <c r="F145" s="262">
        <f t="shared" ref="F145" si="43">E145+1</f>
        <v>1998</v>
      </c>
      <c r="G145" s="291">
        <f>F145+1</f>
        <v>1999</v>
      </c>
      <c r="H145" s="291">
        <f t="shared" ref="H145:J145" si="44">G145+1</f>
        <v>2000</v>
      </c>
      <c r="I145" s="291">
        <f t="shared" si="44"/>
        <v>2001</v>
      </c>
      <c r="J145" s="291">
        <f t="shared" si="44"/>
        <v>2002</v>
      </c>
      <c r="K145" s="291">
        <f>J145+1</f>
        <v>2003</v>
      </c>
    </row>
    <row r="146" spans="2:11">
      <c r="B146" s="200" t="s">
        <v>515</v>
      </c>
      <c r="C146" s="145"/>
      <c r="D146" s="222"/>
      <c r="E146" s="264"/>
      <c r="F146" s="264"/>
      <c r="G146" s="293"/>
      <c r="H146" s="293"/>
      <c r="I146" s="293"/>
      <c r="J146" s="293"/>
      <c r="K146" s="293"/>
    </row>
    <row r="147" spans="2:11">
      <c r="B147" s="145" t="s">
        <v>578</v>
      </c>
      <c r="C147" s="145"/>
      <c r="D147" s="222"/>
      <c r="E147" s="264"/>
      <c r="F147" s="265"/>
      <c r="G147" s="305">
        <f>F93</f>
        <v>4144</v>
      </c>
      <c r="H147" s="305"/>
      <c r="I147" s="305"/>
      <c r="J147" s="305"/>
      <c r="K147" s="305"/>
    </row>
    <row r="148" spans="2:11">
      <c r="B148" s="145" t="s">
        <v>579</v>
      </c>
      <c r="C148" s="145"/>
      <c r="D148" s="222"/>
      <c r="E148" s="264"/>
      <c r="F148" s="265"/>
      <c r="G148" s="305">
        <f>G93-F93</f>
        <v>441.11394028801442</v>
      </c>
      <c r="H148" s="305">
        <f t="shared" ref="H148:K148" si="45">H93-G93</f>
        <v>306.11297002196989</v>
      </c>
      <c r="I148" s="305">
        <f t="shared" si="45"/>
        <v>349.02756719024183</v>
      </c>
      <c r="J148" s="305">
        <f t="shared" si="45"/>
        <v>400.79387276902162</v>
      </c>
      <c r="K148" s="305">
        <f t="shared" si="45"/>
        <v>463.80119885668864</v>
      </c>
    </row>
    <row r="149" spans="2:11">
      <c r="B149" s="145"/>
      <c r="C149" s="145"/>
      <c r="D149" s="222"/>
      <c r="E149" s="264"/>
      <c r="F149" s="264"/>
      <c r="G149" s="293"/>
      <c r="H149" s="293"/>
      <c r="I149" s="293"/>
      <c r="J149" s="293"/>
      <c r="K149" s="293"/>
    </row>
    <row r="150" spans="2:11">
      <c r="B150" s="200" t="s">
        <v>573</v>
      </c>
      <c r="C150" s="145"/>
      <c r="D150" s="222"/>
      <c r="E150" s="264"/>
      <c r="F150" s="264"/>
      <c r="G150" s="293"/>
      <c r="H150" s="293"/>
      <c r="I150" s="293"/>
      <c r="J150" s="293"/>
      <c r="K150" s="293"/>
    </row>
    <row r="151" spans="2:11">
      <c r="B151" s="145" t="s">
        <v>578</v>
      </c>
      <c r="C151" s="145"/>
      <c r="D151" s="222"/>
      <c r="E151" s="264"/>
      <c r="F151" s="264"/>
      <c r="G151" s="294">
        <f>G147/$C$144</f>
        <v>138.13333333333333</v>
      </c>
      <c r="H151" s="294">
        <f>G151</f>
        <v>138.13333333333333</v>
      </c>
      <c r="I151" s="294">
        <f t="shared" ref="I151:K151" si="46">H151</f>
        <v>138.13333333333333</v>
      </c>
      <c r="J151" s="294">
        <f t="shared" si="46"/>
        <v>138.13333333333333</v>
      </c>
      <c r="K151" s="294">
        <f t="shared" si="46"/>
        <v>138.13333333333333</v>
      </c>
    </row>
    <row r="152" spans="2:11">
      <c r="B152" s="145" t="s">
        <v>579</v>
      </c>
      <c r="C152" s="145"/>
      <c r="D152" s="222"/>
      <c r="E152" s="264"/>
      <c r="F152" s="264"/>
      <c r="G152" s="294"/>
      <c r="H152" s="294">
        <f>G148/$C$144</f>
        <v>14.703798009600481</v>
      </c>
      <c r="I152" s="294">
        <f>H152</f>
        <v>14.703798009600481</v>
      </c>
      <c r="J152" s="294">
        <f t="shared" ref="J152:K152" si="47">I152</f>
        <v>14.703798009600481</v>
      </c>
      <c r="K152" s="294">
        <f t="shared" si="47"/>
        <v>14.703798009600481</v>
      </c>
    </row>
    <row r="153" spans="2:11">
      <c r="B153" s="145"/>
      <c r="C153" s="145"/>
      <c r="D153" s="222"/>
      <c r="E153" s="264"/>
      <c r="F153" s="264"/>
      <c r="G153" s="294"/>
      <c r="H153" s="294"/>
      <c r="I153" s="294">
        <f>H148/C144</f>
        <v>10.203765667398995</v>
      </c>
      <c r="J153" s="294">
        <f>I153</f>
        <v>10.203765667398995</v>
      </c>
      <c r="K153" s="294">
        <f>J153</f>
        <v>10.203765667398995</v>
      </c>
    </row>
    <row r="154" spans="2:11">
      <c r="B154" s="145"/>
      <c r="C154" s="145"/>
      <c r="D154" s="222"/>
      <c r="E154" s="264"/>
      <c r="F154" s="264"/>
      <c r="G154" s="294"/>
      <c r="H154" s="294"/>
      <c r="I154" s="294"/>
      <c r="J154" s="294">
        <f>I148/C144</f>
        <v>11.634252239674728</v>
      </c>
      <c r="K154" s="294">
        <f>J154</f>
        <v>11.634252239674728</v>
      </c>
    </row>
    <row r="155" spans="2:11">
      <c r="B155" s="145"/>
      <c r="C155" s="145"/>
      <c r="D155" s="222"/>
      <c r="E155" s="264"/>
      <c r="F155" s="264"/>
      <c r="G155" s="294"/>
      <c r="H155" s="294"/>
      <c r="I155" s="294"/>
      <c r="J155" s="294"/>
      <c r="K155" s="294">
        <f>J148/C144</f>
        <v>13.359795758967387</v>
      </c>
    </row>
    <row r="156" spans="2:11" ht="17" thickBot="1">
      <c r="B156" s="243" t="s">
        <v>575</v>
      </c>
      <c r="C156" s="243"/>
      <c r="D156" s="244"/>
      <c r="E156" s="282"/>
      <c r="F156" s="282"/>
      <c r="G156" s="316">
        <f>SUM(G151:G155)</f>
        <v>138.13333333333333</v>
      </c>
      <c r="H156" s="316">
        <f t="shared" ref="H156:K156" si="48">SUM(H151:H155)</f>
        <v>152.83713134293382</v>
      </c>
      <c r="I156" s="316">
        <f t="shared" si="48"/>
        <v>163.0408970103328</v>
      </c>
      <c r="J156" s="316">
        <f t="shared" si="48"/>
        <v>174.67514925000754</v>
      </c>
      <c r="K156" s="316">
        <f t="shared" si="48"/>
        <v>188.03494500897492</v>
      </c>
    </row>
    <row r="157" spans="2:11">
      <c r="B157" s="145"/>
      <c r="C157" s="145"/>
      <c r="D157" s="222"/>
      <c r="E157" s="264"/>
      <c r="F157" s="264"/>
      <c r="G157" s="293"/>
      <c r="H157" s="293"/>
      <c r="I157" s="293"/>
      <c r="J157" s="293"/>
      <c r="K157" s="293"/>
    </row>
    <row r="158" spans="2:11">
      <c r="B158" s="206" t="s">
        <v>554</v>
      </c>
      <c r="C158" s="206" t="s">
        <v>531</v>
      </c>
      <c r="D158" s="230"/>
      <c r="E158" s="281"/>
      <c r="F158" s="281"/>
      <c r="G158" s="315"/>
      <c r="H158" s="315"/>
      <c r="I158" s="315"/>
      <c r="J158" s="315"/>
      <c r="K158" s="315"/>
    </row>
    <row r="159" spans="2:11">
      <c r="B159" s="245" t="s">
        <v>73</v>
      </c>
      <c r="C159" s="245">
        <f>Assumptions!I32</f>
        <v>40</v>
      </c>
      <c r="D159" s="222"/>
      <c r="E159" s="264"/>
      <c r="F159" s="264"/>
      <c r="G159" s="293"/>
      <c r="H159" s="293"/>
      <c r="I159" s="293"/>
      <c r="J159" s="293"/>
      <c r="K159" s="293"/>
    </row>
    <row r="160" spans="2:11">
      <c r="B160" s="145"/>
      <c r="C160" s="145"/>
      <c r="D160" s="220">
        <v>1996</v>
      </c>
      <c r="E160" s="262">
        <f>D160+1</f>
        <v>1997</v>
      </c>
      <c r="F160" s="262">
        <f t="shared" ref="F160" si="49">E160+1</f>
        <v>1998</v>
      </c>
      <c r="G160" s="291">
        <f>F160+1</f>
        <v>1999</v>
      </c>
      <c r="H160" s="291">
        <f t="shared" ref="H160:J160" si="50">G160+1</f>
        <v>2000</v>
      </c>
      <c r="I160" s="291">
        <f t="shared" si="50"/>
        <v>2001</v>
      </c>
      <c r="J160" s="291">
        <f t="shared" si="50"/>
        <v>2002</v>
      </c>
      <c r="K160" s="291">
        <f>J160+1</f>
        <v>2003</v>
      </c>
    </row>
    <row r="161" spans="2:11">
      <c r="B161" s="200" t="s">
        <v>515</v>
      </c>
      <c r="C161" s="145"/>
      <c r="D161" s="222"/>
      <c r="E161" s="264"/>
      <c r="F161" s="264"/>
      <c r="G161" s="293"/>
      <c r="H161" s="293"/>
      <c r="I161" s="293"/>
      <c r="J161" s="293"/>
      <c r="K161" s="293"/>
    </row>
    <row r="162" spans="2:11">
      <c r="B162" s="145" t="s">
        <v>580</v>
      </c>
      <c r="C162" s="145"/>
      <c r="D162" s="222"/>
      <c r="E162" s="264"/>
      <c r="F162" s="265"/>
      <c r="G162" s="305">
        <f>F96</f>
        <v>1478</v>
      </c>
      <c r="H162" s="305"/>
      <c r="I162" s="305"/>
      <c r="J162" s="305"/>
      <c r="K162" s="305"/>
    </row>
    <row r="163" spans="2:11">
      <c r="B163" s="145" t="s">
        <v>581</v>
      </c>
      <c r="C163" s="145"/>
      <c r="D163" s="222"/>
      <c r="E163" s="264"/>
      <c r="F163" s="265"/>
      <c r="G163" s="305">
        <f>G96-F96</f>
        <v>14.779999999999973</v>
      </c>
      <c r="H163" s="305">
        <f>H96-G96</f>
        <v>14.927799999999934</v>
      </c>
      <c r="I163" s="305">
        <f>I96-H96</f>
        <v>15.077078000000029</v>
      </c>
      <c r="J163" s="305">
        <f>J96-I96</f>
        <v>15.227848779999931</v>
      </c>
      <c r="K163" s="305">
        <f>K96-J96</f>
        <v>15.380127267799935</v>
      </c>
    </row>
    <row r="164" spans="2:11">
      <c r="B164" s="145"/>
      <c r="C164" s="145"/>
      <c r="D164" s="222"/>
      <c r="E164" s="264"/>
      <c r="F164" s="264"/>
      <c r="G164" s="293"/>
      <c r="H164" s="293"/>
      <c r="I164" s="293"/>
      <c r="J164" s="293"/>
      <c r="K164" s="293"/>
    </row>
    <row r="165" spans="2:11">
      <c r="B165" s="200" t="s">
        <v>573</v>
      </c>
      <c r="C165" s="145"/>
      <c r="D165" s="222"/>
      <c r="E165" s="264"/>
      <c r="F165" s="264"/>
      <c r="G165" s="293"/>
      <c r="H165" s="293"/>
      <c r="I165" s="293"/>
      <c r="J165" s="293"/>
      <c r="K165" s="293"/>
    </row>
    <row r="166" spans="2:11">
      <c r="B166" s="145" t="s">
        <v>580</v>
      </c>
      <c r="C166" s="145"/>
      <c r="D166" s="222"/>
      <c r="E166" s="264"/>
      <c r="F166" s="264"/>
      <c r="G166" s="294">
        <f>G162/$C$159</f>
        <v>36.950000000000003</v>
      </c>
      <c r="H166" s="294">
        <f>G166</f>
        <v>36.950000000000003</v>
      </c>
      <c r="I166" s="294">
        <f t="shared" ref="I166:K166" si="51">H166</f>
        <v>36.950000000000003</v>
      </c>
      <c r="J166" s="294">
        <f t="shared" si="51"/>
        <v>36.950000000000003</v>
      </c>
      <c r="K166" s="294">
        <f t="shared" si="51"/>
        <v>36.950000000000003</v>
      </c>
    </row>
    <row r="167" spans="2:11">
      <c r="B167" s="145" t="s">
        <v>581</v>
      </c>
      <c r="C167" s="145"/>
      <c r="D167" s="222"/>
      <c r="E167" s="264"/>
      <c r="F167" s="264"/>
      <c r="G167" s="294"/>
      <c r="H167" s="306">
        <f>G163/$C$159</f>
        <v>0.36949999999999933</v>
      </c>
      <c r="I167" s="306">
        <f>H167</f>
        <v>0.36949999999999933</v>
      </c>
      <c r="J167" s="306">
        <f t="shared" ref="J167:K167" si="52">I167</f>
        <v>0.36949999999999933</v>
      </c>
      <c r="K167" s="306">
        <f t="shared" si="52"/>
        <v>0.36949999999999933</v>
      </c>
    </row>
    <row r="168" spans="2:11">
      <c r="B168" s="145"/>
      <c r="C168" s="145"/>
      <c r="D168" s="222"/>
      <c r="E168" s="264"/>
      <c r="F168" s="264"/>
      <c r="G168" s="294"/>
      <c r="H168" s="306"/>
      <c r="I168" s="306">
        <f>H163/C159</f>
        <v>0.37319499999999833</v>
      </c>
      <c r="J168" s="306">
        <f>I168</f>
        <v>0.37319499999999833</v>
      </c>
      <c r="K168" s="306">
        <f>J168</f>
        <v>0.37319499999999833</v>
      </c>
    </row>
    <row r="169" spans="2:11">
      <c r="B169" s="145"/>
      <c r="C169" s="145"/>
      <c r="D169" s="222"/>
      <c r="E169" s="264"/>
      <c r="F169" s="264"/>
      <c r="G169" s="294"/>
      <c r="H169" s="306"/>
      <c r="I169" s="306"/>
      <c r="J169" s="306">
        <f>I163/C159</f>
        <v>0.3769269500000007</v>
      </c>
      <c r="K169" s="306">
        <f>J169</f>
        <v>0.3769269500000007</v>
      </c>
    </row>
    <row r="170" spans="2:11">
      <c r="B170" s="145"/>
      <c r="C170" s="145"/>
      <c r="D170" s="222"/>
      <c r="E170" s="264"/>
      <c r="F170" s="264"/>
      <c r="G170" s="294"/>
      <c r="H170" s="306"/>
      <c r="I170" s="306"/>
      <c r="J170" s="306"/>
      <c r="K170" s="306">
        <f>J163/C159</f>
        <v>0.38069621949999827</v>
      </c>
    </row>
    <row r="171" spans="2:11" ht="17" thickBot="1">
      <c r="B171" s="243" t="s">
        <v>575</v>
      </c>
      <c r="C171" s="243"/>
      <c r="D171" s="244"/>
      <c r="E171" s="282"/>
      <c r="F171" s="282"/>
      <c r="G171" s="318">
        <f>SUM(G166:G170)</f>
        <v>36.950000000000003</v>
      </c>
      <c r="H171" s="318">
        <f t="shared" ref="H171:K171" si="53">SUM(H166:H170)</f>
        <v>37.319500000000005</v>
      </c>
      <c r="I171" s="318">
        <f t="shared" si="53"/>
        <v>37.692695000000001</v>
      </c>
      <c r="J171" s="318">
        <f t="shared" si="53"/>
        <v>38.069621949999998</v>
      </c>
      <c r="K171" s="318">
        <f t="shared" si="53"/>
        <v>38.450318169499994</v>
      </c>
    </row>
    <row r="172" spans="2:11">
      <c r="B172" s="145"/>
      <c r="C172" s="145"/>
      <c r="D172" s="222"/>
      <c r="E172" s="264"/>
      <c r="F172" s="264"/>
      <c r="G172" s="293"/>
      <c r="H172" s="293"/>
      <c r="I172" s="293"/>
      <c r="J172" s="293"/>
      <c r="K172" s="293"/>
    </row>
    <row r="173" spans="2:11">
      <c r="B173" s="206" t="s">
        <v>554</v>
      </c>
      <c r="C173" s="206" t="s">
        <v>531</v>
      </c>
      <c r="D173" s="230"/>
      <c r="E173" s="281"/>
      <c r="F173" s="281"/>
      <c r="G173" s="315"/>
      <c r="H173" s="315"/>
      <c r="I173" s="315"/>
      <c r="J173" s="315"/>
      <c r="K173" s="315"/>
    </row>
    <row r="174" spans="2:11">
      <c r="B174" s="245" t="s">
        <v>74</v>
      </c>
      <c r="C174" s="245">
        <f>Assumptions!I33</f>
        <v>25</v>
      </c>
      <c r="D174" s="222"/>
      <c r="E174" s="264"/>
      <c r="F174" s="264"/>
      <c r="G174" s="293"/>
      <c r="H174" s="293"/>
      <c r="I174" s="293"/>
      <c r="J174" s="293"/>
      <c r="K174" s="293"/>
    </row>
    <row r="175" spans="2:11">
      <c r="B175" s="145"/>
      <c r="C175" s="145"/>
      <c r="D175" s="220">
        <v>1996</v>
      </c>
      <c r="E175" s="262">
        <f>D175+1</f>
        <v>1997</v>
      </c>
      <c r="F175" s="262">
        <f t="shared" ref="F175" si="54">E175+1</f>
        <v>1998</v>
      </c>
      <c r="G175" s="291">
        <f>F175+1</f>
        <v>1999</v>
      </c>
      <c r="H175" s="291">
        <f t="shared" ref="H175:J175" si="55">G175+1</f>
        <v>2000</v>
      </c>
      <c r="I175" s="291">
        <f t="shared" si="55"/>
        <v>2001</v>
      </c>
      <c r="J175" s="291">
        <f t="shared" si="55"/>
        <v>2002</v>
      </c>
      <c r="K175" s="291">
        <f>J175+1</f>
        <v>2003</v>
      </c>
    </row>
    <row r="176" spans="2:11">
      <c r="B176" s="200" t="s">
        <v>515</v>
      </c>
      <c r="C176" s="145"/>
      <c r="D176" s="222"/>
      <c r="E176" s="264"/>
      <c r="F176" s="264"/>
      <c r="G176" s="293"/>
      <c r="H176" s="293"/>
      <c r="I176" s="293"/>
      <c r="J176" s="293"/>
      <c r="K176" s="293"/>
    </row>
    <row r="177" spans="2:11">
      <c r="B177" s="145" t="s">
        <v>582</v>
      </c>
      <c r="C177" s="145"/>
      <c r="D177" s="222"/>
      <c r="E177" s="264"/>
      <c r="F177" s="265"/>
      <c r="G177" s="305">
        <f>F99</f>
        <v>1803</v>
      </c>
      <c r="H177" s="305"/>
      <c r="I177" s="305"/>
      <c r="J177" s="305"/>
      <c r="K177" s="305"/>
    </row>
    <row r="178" spans="2:11">
      <c r="B178" s="145" t="s">
        <v>583</v>
      </c>
      <c r="C178" s="145"/>
      <c r="D178" s="222"/>
      <c r="E178" s="264"/>
      <c r="F178" s="265"/>
      <c r="G178" s="305">
        <f>G99-F99</f>
        <v>18.029999999999973</v>
      </c>
      <c r="H178" s="305">
        <f>H99-G99</f>
        <v>18.210299999999961</v>
      </c>
      <c r="I178" s="305">
        <f>I99-H99</f>
        <v>18.392403000000058</v>
      </c>
      <c r="J178" s="305">
        <f>J99-I99</f>
        <v>18.57632703000013</v>
      </c>
      <c r="K178" s="305">
        <f>K99-J99</f>
        <v>18.762090300300088</v>
      </c>
    </row>
    <row r="179" spans="2:11">
      <c r="B179" s="145"/>
      <c r="C179" s="145"/>
      <c r="D179" s="222"/>
      <c r="E179" s="264"/>
      <c r="F179" s="264"/>
      <c r="G179" s="293"/>
      <c r="H179" s="293"/>
      <c r="I179" s="293"/>
      <c r="J179" s="293"/>
      <c r="K179" s="293"/>
    </row>
    <row r="180" spans="2:11">
      <c r="B180" s="200" t="s">
        <v>573</v>
      </c>
      <c r="C180" s="145"/>
      <c r="D180" s="222"/>
      <c r="E180" s="264"/>
      <c r="F180" s="264"/>
      <c r="G180" s="293"/>
      <c r="H180" s="293"/>
      <c r="I180" s="293"/>
      <c r="J180" s="293"/>
      <c r="K180" s="293"/>
    </row>
    <row r="181" spans="2:11">
      <c r="B181" s="145" t="s">
        <v>582</v>
      </c>
      <c r="C181" s="145"/>
      <c r="D181" s="222"/>
      <c r="E181" s="264"/>
      <c r="F181" s="264"/>
      <c r="G181" s="294">
        <f>G177/$C$174</f>
        <v>72.12</v>
      </c>
      <c r="H181" s="294">
        <f>G181</f>
        <v>72.12</v>
      </c>
      <c r="I181" s="294">
        <f t="shared" ref="I181:K181" si="56">H181</f>
        <v>72.12</v>
      </c>
      <c r="J181" s="294">
        <f t="shared" si="56"/>
        <v>72.12</v>
      </c>
      <c r="K181" s="294">
        <f t="shared" si="56"/>
        <v>72.12</v>
      </c>
    </row>
    <row r="182" spans="2:11">
      <c r="B182" s="145" t="s">
        <v>583</v>
      </c>
      <c r="C182" s="145"/>
      <c r="D182" s="222"/>
      <c r="E182" s="264"/>
      <c r="F182" s="264"/>
      <c r="G182" s="294"/>
      <c r="H182" s="306">
        <f>G178/$C$174</f>
        <v>0.72119999999999895</v>
      </c>
      <c r="I182" s="306">
        <f>H178/C174</f>
        <v>0.72841199999999839</v>
      </c>
      <c r="J182" s="306">
        <f t="shared" ref="J182:K182" si="57">I182</f>
        <v>0.72841199999999839</v>
      </c>
      <c r="K182" s="306">
        <f t="shared" si="57"/>
        <v>0.72841199999999839</v>
      </c>
    </row>
    <row r="183" spans="2:11">
      <c r="B183" s="145"/>
      <c r="C183" s="145"/>
      <c r="D183" s="222"/>
      <c r="E183" s="264"/>
      <c r="F183" s="264"/>
      <c r="G183" s="294"/>
      <c r="H183" s="306"/>
      <c r="I183" s="306">
        <f>H178/C174</f>
        <v>0.72841199999999839</v>
      </c>
      <c r="J183" s="306">
        <f>I183</f>
        <v>0.72841199999999839</v>
      </c>
      <c r="K183" s="306">
        <f>J183</f>
        <v>0.72841199999999839</v>
      </c>
    </row>
    <row r="184" spans="2:11">
      <c r="B184" s="145"/>
      <c r="C184" s="145"/>
      <c r="D184" s="222"/>
      <c r="E184" s="264"/>
      <c r="F184" s="264"/>
      <c r="G184" s="294"/>
      <c r="H184" s="306"/>
      <c r="I184" s="306"/>
      <c r="J184" s="306">
        <f>I178/C174</f>
        <v>0.73569612000000228</v>
      </c>
      <c r="K184" s="306">
        <f>J184</f>
        <v>0.73569612000000228</v>
      </c>
    </row>
    <row r="185" spans="2:11">
      <c r="B185" s="145"/>
      <c r="C185" s="145"/>
      <c r="D185" s="222"/>
      <c r="E185" s="264"/>
      <c r="F185" s="264"/>
      <c r="G185" s="294"/>
      <c r="H185" s="306"/>
      <c r="I185" s="306"/>
      <c r="J185" s="306"/>
      <c r="K185" s="306">
        <f>J178/C174</f>
        <v>0.74305308120000513</v>
      </c>
    </row>
    <row r="186" spans="2:11" ht="17" thickBot="1">
      <c r="B186" s="243" t="s">
        <v>575</v>
      </c>
      <c r="C186" s="243"/>
      <c r="D186" s="244"/>
      <c r="E186" s="282"/>
      <c r="F186" s="282"/>
      <c r="G186" s="318">
        <f>SUM(G181:G185)</f>
        <v>72.12</v>
      </c>
      <c r="H186" s="318">
        <f t="shared" ref="H186:K186" si="58">SUM(H181:H185)</f>
        <v>72.841200000000001</v>
      </c>
      <c r="I186" s="318">
        <f t="shared" si="58"/>
        <v>73.576823999999988</v>
      </c>
      <c r="J186" s="318">
        <f t="shared" si="58"/>
        <v>74.312520119999988</v>
      </c>
      <c r="K186" s="318">
        <f t="shared" si="58"/>
        <v>75.055573201199991</v>
      </c>
    </row>
    <row r="187" spans="2:11">
      <c r="B187" s="145"/>
      <c r="C187" s="145"/>
      <c r="D187" s="222"/>
      <c r="E187" s="264"/>
      <c r="F187" s="264"/>
      <c r="G187" s="293"/>
      <c r="H187" s="293"/>
      <c r="I187" s="293"/>
      <c r="J187" s="293"/>
      <c r="K187" s="293"/>
    </row>
    <row r="188" spans="2:11">
      <c r="B188" s="206" t="s">
        <v>554</v>
      </c>
      <c r="C188" s="206" t="s">
        <v>531</v>
      </c>
      <c r="D188" s="230"/>
      <c r="E188" s="281"/>
      <c r="F188" s="281"/>
      <c r="G188" s="315"/>
      <c r="H188" s="315"/>
      <c r="I188" s="315"/>
      <c r="J188" s="315"/>
      <c r="K188" s="315"/>
    </row>
    <row r="189" spans="2:11">
      <c r="B189" s="245" t="s">
        <v>76</v>
      </c>
      <c r="C189" s="245">
        <f>Assumptions!I35</f>
        <v>25</v>
      </c>
      <c r="D189" s="222"/>
      <c r="E189" s="264"/>
      <c r="F189" s="264"/>
      <c r="G189" s="293"/>
      <c r="H189" s="293"/>
      <c r="I189" s="293"/>
      <c r="J189" s="293"/>
      <c r="K189" s="293"/>
    </row>
    <row r="190" spans="2:11">
      <c r="B190" s="145"/>
      <c r="C190" s="145"/>
      <c r="D190" s="220">
        <v>1996</v>
      </c>
      <c r="E190" s="262">
        <f>D190+1</f>
        <v>1997</v>
      </c>
      <c r="F190" s="262">
        <f t="shared" ref="F190" si="59">E190+1</f>
        <v>1998</v>
      </c>
      <c r="G190" s="291">
        <f>F190+1</f>
        <v>1999</v>
      </c>
      <c r="H190" s="291">
        <f t="shared" ref="H190:J190" si="60">G190+1</f>
        <v>2000</v>
      </c>
      <c r="I190" s="291">
        <f t="shared" si="60"/>
        <v>2001</v>
      </c>
      <c r="J190" s="291">
        <f t="shared" si="60"/>
        <v>2002</v>
      </c>
      <c r="K190" s="291">
        <f>J190+1</f>
        <v>2003</v>
      </c>
    </row>
    <row r="191" spans="2:11">
      <c r="B191" s="200" t="s">
        <v>515</v>
      </c>
      <c r="C191" s="145"/>
      <c r="D191" s="222"/>
      <c r="E191" s="264"/>
      <c r="F191" s="264"/>
      <c r="G191" s="293"/>
      <c r="H191" s="293"/>
      <c r="I191" s="293"/>
      <c r="J191" s="293"/>
      <c r="K191" s="293"/>
    </row>
    <row r="192" spans="2:11">
      <c r="B192" s="145" t="s">
        <v>584</v>
      </c>
      <c r="C192" s="145"/>
      <c r="D192" s="222"/>
      <c r="E192" s="264"/>
      <c r="F192" s="265"/>
      <c r="G192" s="305">
        <f>F102</f>
        <v>257</v>
      </c>
      <c r="H192" s="305"/>
      <c r="I192" s="305"/>
      <c r="J192" s="305"/>
      <c r="K192" s="305"/>
    </row>
    <row r="193" spans="2:11">
      <c r="B193" s="145" t="s">
        <v>585</v>
      </c>
      <c r="C193" s="145"/>
      <c r="D193" s="222"/>
      <c r="E193" s="264"/>
      <c r="F193" s="265"/>
      <c r="G193" s="305">
        <f>G102-F102</f>
        <v>2.5699999999999932</v>
      </c>
      <c r="H193" s="305">
        <f>H102-G102</f>
        <v>2.5957000000000221</v>
      </c>
      <c r="I193" s="305">
        <f>I102-H102</f>
        <v>2.6216570000000274</v>
      </c>
      <c r="J193" s="305">
        <f>J102-I102</f>
        <v>2.6478735700000016</v>
      </c>
      <c r="K193" s="305">
        <f>K102-J102</f>
        <v>2.6743523056999834</v>
      </c>
    </row>
    <row r="194" spans="2:11">
      <c r="B194" s="145"/>
      <c r="C194" s="145"/>
      <c r="D194" s="222"/>
      <c r="E194" s="264"/>
      <c r="F194" s="264"/>
      <c r="G194" s="293"/>
      <c r="H194" s="293"/>
      <c r="I194" s="293"/>
      <c r="J194" s="293"/>
      <c r="K194" s="293"/>
    </row>
    <row r="195" spans="2:11">
      <c r="B195" s="200" t="s">
        <v>573</v>
      </c>
      <c r="C195" s="145"/>
      <c r="D195" s="222"/>
      <c r="E195" s="264"/>
      <c r="F195" s="264"/>
      <c r="G195" s="293"/>
      <c r="H195" s="293"/>
      <c r="I195" s="293"/>
      <c r="J195" s="293"/>
      <c r="K195" s="293"/>
    </row>
    <row r="196" spans="2:11">
      <c r="B196" s="145" t="s">
        <v>584</v>
      </c>
      <c r="C196" s="145"/>
      <c r="D196" s="222"/>
      <c r="E196" s="264"/>
      <c r="F196" s="264"/>
      <c r="G196" s="294">
        <f>G192/$C$189</f>
        <v>10.28</v>
      </c>
      <c r="H196" s="294">
        <f>G196</f>
        <v>10.28</v>
      </c>
      <c r="I196" s="294">
        <f t="shared" ref="I196:K196" si="61">H196</f>
        <v>10.28</v>
      </c>
      <c r="J196" s="294">
        <f t="shared" si="61"/>
        <v>10.28</v>
      </c>
      <c r="K196" s="294">
        <f t="shared" si="61"/>
        <v>10.28</v>
      </c>
    </row>
    <row r="197" spans="2:11">
      <c r="B197" s="145" t="s">
        <v>585</v>
      </c>
      <c r="C197" s="145"/>
      <c r="D197" s="222"/>
      <c r="E197" s="264"/>
      <c r="F197" s="264"/>
      <c r="G197" s="294"/>
      <c r="H197" s="306">
        <f>G193/$C$189</f>
        <v>0.10279999999999972</v>
      </c>
      <c r="I197" s="306">
        <f>H197</f>
        <v>0.10279999999999972</v>
      </c>
      <c r="J197" s="306">
        <f t="shared" ref="J197:K197" si="62">I197</f>
        <v>0.10279999999999972</v>
      </c>
      <c r="K197" s="306">
        <f t="shared" si="62"/>
        <v>0.10279999999999972</v>
      </c>
    </row>
    <row r="198" spans="2:11">
      <c r="B198" s="145"/>
      <c r="C198" s="145"/>
      <c r="D198" s="222"/>
      <c r="E198" s="264"/>
      <c r="F198" s="264"/>
      <c r="G198" s="294"/>
      <c r="H198" s="306"/>
      <c r="I198" s="306">
        <f>H193/C189</f>
        <v>0.10382800000000088</v>
      </c>
      <c r="J198" s="306">
        <f>I198</f>
        <v>0.10382800000000088</v>
      </c>
      <c r="K198" s="306">
        <f>J198</f>
        <v>0.10382800000000088</v>
      </c>
    </row>
    <row r="199" spans="2:11">
      <c r="B199" s="145"/>
      <c r="C199" s="145"/>
      <c r="D199" s="222"/>
      <c r="E199" s="264"/>
      <c r="F199" s="264"/>
      <c r="G199" s="294"/>
      <c r="H199" s="306"/>
      <c r="I199" s="306"/>
      <c r="J199" s="306">
        <f>I193/C189</f>
        <v>0.1048662800000011</v>
      </c>
      <c r="K199" s="306">
        <f>J199</f>
        <v>0.1048662800000011</v>
      </c>
    </row>
    <row r="200" spans="2:11">
      <c r="B200" s="145"/>
      <c r="C200" s="145"/>
      <c r="D200" s="222"/>
      <c r="E200" s="264"/>
      <c r="F200" s="264"/>
      <c r="G200" s="294"/>
      <c r="H200" s="306"/>
      <c r="I200" s="306"/>
      <c r="J200" s="306"/>
      <c r="K200" s="306">
        <f>J193/C189</f>
        <v>0.10591494280000006</v>
      </c>
    </row>
    <row r="201" spans="2:11" ht="17" thickBot="1">
      <c r="B201" s="243" t="s">
        <v>575</v>
      </c>
      <c r="C201" s="243"/>
      <c r="D201" s="244"/>
      <c r="E201" s="282"/>
      <c r="F201" s="282"/>
      <c r="G201" s="318">
        <f>SUM(G196:G200)</f>
        <v>10.28</v>
      </c>
      <c r="H201" s="318">
        <f t="shared" ref="H201:K201" si="63">SUM(H196:H200)</f>
        <v>10.3828</v>
      </c>
      <c r="I201" s="318">
        <f t="shared" si="63"/>
        <v>10.486628</v>
      </c>
      <c r="J201" s="318">
        <f t="shared" si="63"/>
        <v>10.591494280000001</v>
      </c>
      <c r="K201" s="318">
        <f t="shared" si="63"/>
        <v>10.697409222800001</v>
      </c>
    </row>
    <row r="202" spans="2:11">
      <c r="B202" s="145"/>
      <c r="C202" s="145"/>
      <c r="D202" s="222"/>
      <c r="E202" s="264"/>
      <c r="F202" s="264"/>
      <c r="G202" s="293"/>
      <c r="H202" s="293"/>
      <c r="I202" s="293"/>
      <c r="J202" s="293"/>
      <c r="K202" s="293"/>
    </row>
    <row r="203" spans="2:11" s="204" customFormat="1" ht="17" thickBot="1">
      <c r="B203" s="238" t="s">
        <v>586</v>
      </c>
      <c r="C203" s="238"/>
      <c r="D203" s="239"/>
      <c r="E203" s="275"/>
      <c r="F203" s="275"/>
      <c r="G203" s="309">
        <f>G126+G141+G156+G171+G186+G201</f>
        <v>710.73095238095243</v>
      </c>
      <c r="H203" s="309">
        <f>H126+H141+H156+H171+H186+H201</f>
        <v>765.29627290599183</v>
      </c>
      <c r="I203" s="309">
        <f>I126+I141+I156+I171+I186+I201</f>
        <v>809.55412855608608</v>
      </c>
      <c r="J203" s="309">
        <f>J126+J141+J156+J171+J186+J201</f>
        <v>859.85142152649632</v>
      </c>
      <c r="K203" s="309">
        <f>K126+K141+K156+K171+K186+K201</f>
        <v>917.4402001119455</v>
      </c>
    </row>
    <row r="204" spans="2:11" ht="17" thickTop="1"/>
    <row r="206" spans="2:11">
      <c r="B206" s="399" t="s">
        <v>587</v>
      </c>
      <c r="C206" s="399"/>
      <c r="D206" s="399"/>
      <c r="E206" s="399"/>
      <c r="F206" s="399"/>
      <c r="G206" s="399"/>
      <c r="H206" s="399"/>
      <c r="I206" s="399"/>
      <c r="J206" s="399"/>
      <c r="K206" s="399"/>
    </row>
    <row r="207" spans="2:11">
      <c r="B207" s="200" t="s">
        <v>554</v>
      </c>
      <c r="C207" s="145"/>
      <c r="D207" s="220">
        <v>1996</v>
      </c>
      <c r="E207" s="262">
        <f>D207+1</f>
        <v>1997</v>
      </c>
      <c r="F207" s="262">
        <f t="shared" ref="F207" si="64">E207+1</f>
        <v>1998</v>
      </c>
      <c r="G207" s="291">
        <f>F207+1</f>
        <v>1999</v>
      </c>
      <c r="H207" s="291">
        <f t="shared" ref="H207:J207" si="65">G207+1</f>
        <v>2000</v>
      </c>
      <c r="I207" s="291">
        <f t="shared" si="65"/>
        <v>2001</v>
      </c>
      <c r="J207" s="291">
        <f t="shared" si="65"/>
        <v>2002</v>
      </c>
      <c r="K207" s="291">
        <f>J207+1</f>
        <v>2003</v>
      </c>
    </row>
    <row r="208" spans="2:11">
      <c r="B208" s="200" t="s">
        <v>613</v>
      </c>
      <c r="C208" s="145"/>
      <c r="D208" s="207"/>
      <c r="E208" s="264"/>
      <c r="F208" s="264"/>
      <c r="G208" s="293"/>
      <c r="H208" s="293"/>
      <c r="I208" s="293"/>
      <c r="J208" s="293"/>
      <c r="K208" s="293"/>
    </row>
    <row r="209" spans="2:11">
      <c r="B209" s="145" t="s">
        <v>26</v>
      </c>
      <c r="C209" s="145"/>
      <c r="D209" s="208">
        <f>'Data Source'!E34</f>
        <v>18881</v>
      </c>
      <c r="E209" s="265">
        <f>'Data Source'!F34</f>
        <v>18868</v>
      </c>
      <c r="F209" s="265">
        <f>'Data Source'!G34</f>
        <v>20650</v>
      </c>
      <c r="G209" s="319">
        <f>G31</f>
        <v>21760.856042510983</v>
      </c>
      <c r="H209" s="319">
        <f>H31</f>
        <v>22962.661260324265</v>
      </c>
      <c r="I209" s="319">
        <f>I31</f>
        <v>24269.771599793705</v>
      </c>
      <c r="J209" s="319">
        <f>J31</f>
        <v>25693.912310915639</v>
      </c>
      <c r="K209" s="319">
        <f>K31</f>
        <v>27248.228057881031</v>
      </c>
    </row>
    <row r="210" spans="2:11">
      <c r="B210" s="145" t="s">
        <v>27</v>
      </c>
      <c r="C210" s="145"/>
      <c r="D210" s="208">
        <f>'Data Source'!E35</f>
        <v>2989</v>
      </c>
      <c r="E210" s="265">
        <f>'Data Source'!F35</f>
        <v>2934</v>
      </c>
      <c r="F210" s="265">
        <f>'Data Source'!G35</f>
        <v>3237</v>
      </c>
      <c r="G210" s="319">
        <f t="shared" ref="G210:K211" si="66">G36</f>
        <v>3599.3105348425479</v>
      </c>
      <c r="H210" s="319">
        <f t="shared" si="66"/>
        <v>3830.061364442</v>
      </c>
      <c r="I210" s="319">
        <f t="shared" si="66"/>
        <v>4093.9127055116078</v>
      </c>
      <c r="J210" s="319">
        <f t="shared" si="66"/>
        <v>4394.1364498125213</v>
      </c>
      <c r="K210" s="319">
        <f t="shared" si="66"/>
        <v>4734.4235314850466</v>
      </c>
    </row>
    <row r="211" spans="2:11">
      <c r="B211" s="145" t="s">
        <v>28</v>
      </c>
      <c r="C211" s="145"/>
      <c r="D211" s="208">
        <f>'Data Source'!E36</f>
        <v>498</v>
      </c>
      <c r="E211" s="265">
        <f>'Data Source'!F36</f>
        <v>656</v>
      </c>
      <c r="F211" s="265">
        <f>'Data Source'!G36</f>
        <v>901</v>
      </c>
      <c r="G211" s="319">
        <f t="shared" si="66"/>
        <v>984.01110515186883</v>
      </c>
      <c r="H211" s="319">
        <f t="shared" si="66"/>
        <v>1310.2542017079868</v>
      </c>
      <c r="I211" s="319">
        <f t="shared" si="66"/>
        <v>1744.6612788261918</v>
      </c>
      <c r="J211" s="319">
        <f t="shared" si="66"/>
        <v>2323.0934683267033</v>
      </c>
      <c r="K211" s="319">
        <f t="shared" si="66"/>
        <v>3093.3014494441777</v>
      </c>
    </row>
    <row r="212" spans="2:11" s="204" customFormat="1">
      <c r="B212" s="251" t="s">
        <v>129</v>
      </c>
      <c r="C212" s="232"/>
      <c r="D212" s="236">
        <f>SUM(D209:D211)</f>
        <v>22368</v>
      </c>
      <c r="E212" s="280">
        <f t="shared" ref="E212:F212" si="67">SUM(E209:E211)</f>
        <v>22458</v>
      </c>
      <c r="F212" s="280">
        <f t="shared" si="67"/>
        <v>24788</v>
      </c>
      <c r="G212" s="320">
        <f>SUM(G209:G211)</f>
        <v>26344.1776825054</v>
      </c>
      <c r="H212" s="320">
        <f t="shared" ref="H212:K212" si="68">SUM(H209:H211)</f>
        <v>28102.976826474252</v>
      </c>
      <c r="I212" s="320">
        <f t="shared" si="68"/>
        <v>30108.345584131504</v>
      </c>
      <c r="J212" s="320">
        <f t="shared" si="68"/>
        <v>32411.142229054865</v>
      </c>
      <c r="K212" s="320">
        <f t="shared" si="68"/>
        <v>35075.953038810258</v>
      </c>
    </row>
    <row r="213" spans="2:11" s="204" customFormat="1">
      <c r="B213" s="200"/>
      <c r="C213" s="200"/>
      <c r="D213" s="213"/>
      <c r="E213" s="283"/>
      <c r="F213" s="283"/>
      <c r="G213" s="321"/>
      <c r="H213" s="321"/>
      <c r="I213" s="321"/>
      <c r="J213" s="321"/>
      <c r="K213" s="321"/>
    </row>
    <row r="214" spans="2:11">
      <c r="B214" s="200" t="s">
        <v>30</v>
      </c>
      <c r="C214" s="145"/>
      <c r="D214" s="214"/>
      <c r="E214" s="284"/>
      <c r="F214" s="284"/>
      <c r="G214" s="293"/>
      <c r="H214" s="293"/>
      <c r="I214" s="293"/>
      <c r="J214" s="293"/>
      <c r="K214" s="293"/>
    </row>
    <row r="215" spans="2:11">
      <c r="B215" s="145" t="s">
        <v>31</v>
      </c>
      <c r="C215" s="145"/>
      <c r="D215" s="215">
        <f>'Data Source'!E39</f>
        <v>13326</v>
      </c>
      <c r="E215" s="285">
        <f>'Data Source'!F39</f>
        <v>13289</v>
      </c>
      <c r="F215" s="285">
        <f>'Data Source'!G39</f>
        <v>14346</v>
      </c>
      <c r="G215" s="298">
        <f t="shared" ref="G215:K218" si="69">G44</f>
        <v>15094.961282286298</v>
      </c>
      <c r="H215" s="298">
        <f t="shared" si="69"/>
        <v>15883.023568501492</v>
      </c>
      <c r="I215" s="298">
        <f t="shared" si="69"/>
        <v>16712.228203831786</v>
      </c>
      <c r="J215" s="298">
        <f t="shared" si="69"/>
        <v>17584.723105923178</v>
      </c>
      <c r="K215" s="298">
        <f t="shared" si="69"/>
        <v>18502.768328707349</v>
      </c>
    </row>
    <row r="216" spans="2:11">
      <c r="B216" s="145" t="s">
        <v>589</v>
      </c>
      <c r="C216" s="145"/>
      <c r="D216" s="215"/>
      <c r="E216" s="285"/>
      <c r="F216" s="285"/>
      <c r="G216" s="298">
        <f t="shared" si="69"/>
        <v>211</v>
      </c>
      <c r="H216" s="298">
        <f t="shared" si="69"/>
        <v>146</v>
      </c>
      <c r="I216" s="298">
        <f t="shared" si="69"/>
        <v>115</v>
      </c>
      <c r="J216" s="298">
        <f t="shared" si="69"/>
        <v>94</v>
      </c>
      <c r="K216" s="298">
        <f t="shared" si="69"/>
        <v>77</v>
      </c>
    </row>
    <row r="217" spans="2:11">
      <c r="B217" s="145" t="s">
        <v>588</v>
      </c>
      <c r="C217" s="145"/>
      <c r="D217" s="215"/>
      <c r="E217" s="285"/>
      <c r="F217" s="285"/>
      <c r="G217" s="294">
        <f t="shared" si="69"/>
        <v>710.73095238095243</v>
      </c>
      <c r="H217" s="294">
        <f t="shared" si="69"/>
        <v>765.29627290599183</v>
      </c>
      <c r="I217" s="294">
        <f t="shared" si="69"/>
        <v>809.55412855608608</v>
      </c>
      <c r="J217" s="294">
        <f t="shared" si="69"/>
        <v>859.85142152649632</v>
      </c>
      <c r="K217" s="294">
        <f t="shared" si="69"/>
        <v>917.4402001119455</v>
      </c>
    </row>
    <row r="218" spans="2:11">
      <c r="B218" s="145" t="s">
        <v>32</v>
      </c>
      <c r="C218" s="145"/>
      <c r="D218" s="215">
        <f>'Data Source'!E40</f>
        <v>7013</v>
      </c>
      <c r="E218" s="285">
        <f>'Data Source'!F40</f>
        <v>7461</v>
      </c>
      <c r="F218" s="285">
        <f>'Data Source'!G40</f>
        <v>7352</v>
      </c>
      <c r="G218" s="298">
        <f t="shared" si="69"/>
        <v>7648.3904087928177</v>
      </c>
      <c r="H218" s="298">
        <f t="shared" si="69"/>
        <v>7956.7295763484717</v>
      </c>
      <c r="I218" s="298">
        <f t="shared" si="69"/>
        <v>8277.4992079844651</v>
      </c>
      <c r="J218" s="298">
        <f t="shared" si="69"/>
        <v>8611.2004286097017</v>
      </c>
      <c r="K218" s="298">
        <f t="shared" si="69"/>
        <v>8958.3545656108599</v>
      </c>
    </row>
    <row r="219" spans="2:11">
      <c r="B219" s="145" t="s">
        <v>33</v>
      </c>
      <c r="C219" s="145"/>
      <c r="D219" s="215" t="str">
        <f>'Data Source'!E41</f>
        <v>—</v>
      </c>
      <c r="E219" s="285" t="str">
        <f>'Data Source'!F41</f>
        <v>—</v>
      </c>
      <c r="F219" s="285" t="str">
        <f>'Data Source'!G41</f>
        <v>—</v>
      </c>
      <c r="G219" s="322" t="str">
        <f>F219</f>
        <v>—</v>
      </c>
      <c r="H219" s="322" t="str">
        <f t="shared" ref="H219:K219" si="70">G219</f>
        <v>—</v>
      </c>
      <c r="I219" s="322" t="str">
        <f t="shared" si="70"/>
        <v>—</v>
      </c>
      <c r="J219" s="322" t="str">
        <f t="shared" si="70"/>
        <v>—</v>
      </c>
      <c r="K219" s="322" t="str">
        <f t="shared" si="70"/>
        <v>—</v>
      </c>
    </row>
    <row r="220" spans="2:11">
      <c r="B220" s="251" t="s">
        <v>593</v>
      </c>
      <c r="C220" s="234"/>
      <c r="D220" s="236">
        <f>SUM(D215:D219)</f>
        <v>20339</v>
      </c>
      <c r="E220" s="280">
        <f t="shared" ref="E220:F220" si="71">SUM(E215:E219)</f>
        <v>20750</v>
      </c>
      <c r="F220" s="280">
        <f t="shared" si="71"/>
        <v>21698</v>
      </c>
      <c r="G220" s="307">
        <f>SUM(G215:G219)</f>
        <v>23665.082643460068</v>
      </c>
      <c r="H220" s="307">
        <f t="shared" ref="H220:K220" si="72">SUM(H215:H219)</f>
        <v>24751.049417755956</v>
      </c>
      <c r="I220" s="307">
        <f t="shared" si="72"/>
        <v>25914.281540372336</v>
      </c>
      <c r="J220" s="307">
        <f t="shared" si="72"/>
        <v>27149.774956059373</v>
      </c>
      <c r="K220" s="307">
        <f t="shared" si="72"/>
        <v>28455.563094430152</v>
      </c>
    </row>
    <row r="221" spans="2:11">
      <c r="B221" s="251" t="s">
        <v>592</v>
      </c>
      <c r="C221" s="234"/>
      <c r="D221" s="236">
        <f>D212-D220</f>
        <v>2029</v>
      </c>
      <c r="E221" s="280">
        <f t="shared" ref="E221:F221" si="73">E212-E220</f>
        <v>1708</v>
      </c>
      <c r="F221" s="280">
        <f t="shared" si="73"/>
        <v>3090</v>
      </c>
      <c r="G221" s="313">
        <f>G212-G220</f>
        <v>2679.0950390453327</v>
      </c>
      <c r="H221" s="313">
        <f t="shared" ref="H221:K221" si="74">H212-H220</f>
        <v>3351.9274087182966</v>
      </c>
      <c r="I221" s="313">
        <f t="shared" si="74"/>
        <v>4194.0640437591683</v>
      </c>
      <c r="J221" s="313">
        <f t="shared" si="74"/>
        <v>5261.3672729954924</v>
      </c>
      <c r="K221" s="313">
        <f t="shared" si="74"/>
        <v>6620.3899443801056</v>
      </c>
    </row>
    <row r="222" spans="2:11">
      <c r="B222" s="200"/>
      <c r="C222" s="145"/>
      <c r="D222" s="213"/>
      <c r="E222" s="283"/>
      <c r="F222" s="283"/>
      <c r="G222" s="323"/>
      <c r="H222" s="323"/>
      <c r="I222" s="323"/>
      <c r="J222" s="323"/>
      <c r="K222" s="323"/>
    </row>
    <row r="223" spans="2:11">
      <c r="B223" s="145" t="s">
        <v>41</v>
      </c>
      <c r="C223" s="145"/>
      <c r="D223" s="214">
        <f>'Data Source'!E51</f>
        <v>-95</v>
      </c>
      <c r="E223" s="284">
        <f>'Data Source'!F51</f>
        <v>-187</v>
      </c>
      <c r="F223" s="284">
        <f>'Data Source'!G51</f>
        <v>-227</v>
      </c>
      <c r="G223" s="294">
        <f>G58</f>
        <v>166.25455000000002</v>
      </c>
      <c r="H223" s="294">
        <f>H58</f>
        <v>167.91709550000002</v>
      </c>
      <c r="I223" s="294">
        <f>I58</f>
        <v>169.59626645500003</v>
      </c>
      <c r="J223" s="294">
        <f>J58</f>
        <v>171.29222911955003</v>
      </c>
      <c r="K223" s="294">
        <f>K58</f>
        <v>173.00515141074553</v>
      </c>
    </row>
    <row r="224" spans="2:11">
      <c r="B224" s="200" t="s">
        <v>591</v>
      </c>
      <c r="C224" s="145"/>
      <c r="D224" s="213">
        <f>'Data Source'!E54</f>
        <v>1910</v>
      </c>
      <c r="E224" s="283">
        <f>'Data Source'!F54</f>
        <v>1553</v>
      </c>
      <c r="F224" s="283">
        <f>'Data Source'!G54</f>
        <v>2902</v>
      </c>
      <c r="G224" s="323">
        <f>G221-G223</f>
        <v>2512.8404890453326</v>
      </c>
      <c r="H224" s="323">
        <f t="shared" ref="H224:K224" si="75">H221-H223</f>
        <v>3184.0103132182967</v>
      </c>
      <c r="I224" s="323">
        <f t="shared" si="75"/>
        <v>4024.4677773041681</v>
      </c>
      <c r="J224" s="323">
        <f t="shared" si="75"/>
        <v>5090.0750438759424</v>
      </c>
      <c r="K224" s="323">
        <f t="shared" si="75"/>
        <v>6447.3847929693602</v>
      </c>
    </row>
    <row r="225" spans="2:11">
      <c r="B225" s="145" t="s">
        <v>46</v>
      </c>
      <c r="C225" s="145"/>
      <c r="D225" s="214">
        <f>'Data Source'!E55</f>
        <v>764</v>
      </c>
      <c r="E225" s="284">
        <f>'Data Source'!F55</f>
        <v>644</v>
      </c>
      <c r="F225" s="284">
        <f>'Data Source'!G55</f>
        <v>1161</v>
      </c>
      <c r="G225" s="298">
        <f>G224*Assumptions!$I$44</f>
        <v>879.49417116586631</v>
      </c>
      <c r="H225" s="298">
        <f>H224*Assumptions!$I$44</f>
        <v>1114.4036096264037</v>
      </c>
      <c r="I225" s="298">
        <f>I224*Assumptions!$I$44</f>
        <v>1408.5637220564588</v>
      </c>
      <c r="J225" s="298">
        <f>J224*Assumptions!$I$44</f>
        <v>1781.5262653565796</v>
      </c>
      <c r="K225" s="298">
        <f>K224*Assumptions!$I$44</f>
        <v>2256.5846775392761</v>
      </c>
    </row>
    <row r="226" spans="2:11">
      <c r="B226" s="145"/>
      <c r="C226" s="145"/>
      <c r="D226" s="214"/>
      <c r="E226" s="284"/>
      <c r="F226" s="285"/>
      <c r="G226" s="298"/>
      <c r="H226" s="298"/>
      <c r="I226" s="298"/>
      <c r="J226" s="298"/>
      <c r="K226" s="298"/>
    </row>
    <row r="227" spans="2:11" ht="17" thickBot="1">
      <c r="B227" s="252" t="s">
        <v>590</v>
      </c>
      <c r="C227" s="241"/>
      <c r="D227" s="242">
        <f>D224-D225</f>
        <v>1146</v>
      </c>
      <c r="E227" s="273">
        <f t="shared" ref="E227:F227" si="76">E224-E225</f>
        <v>909</v>
      </c>
      <c r="F227" s="273">
        <f t="shared" si="76"/>
        <v>1741</v>
      </c>
      <c r="G227" s="314">
        <f>G224-G225</f>
        <v>1633.3463178794664</v>
      </c>
      <c r="H227" s="314">
        <f>H224-H225</f>
        <v>2069.6067035918932</v>
      </c>
      <c r="I227" s="314">
        <f t="shared" ref="I227:K227" si="77">I224-I225</f>
        <v>2615.904055247709</v>
      </c>
      <c r="J227" s="314">
        <f t="shared" si="77"/>
        <v>3308.5487785193627</v>
      </c>
      <c r="K227" s="314">
        <f t="shared" si="77"/>
        <v>4190.8001154300837</v>
      </c>
    </row>
    <row r="228" spans="2:11" ht="17" thickTop="1"/>
    <row r="230" spans="2:11">
      <c r="B230" s="399" t="s">
        <v>594</v>
      </c>
      <c r="C230" s="399"/>
      <c r="D230" s="399"/>
      <c r="E230" s="399"/>
      <c r="F230" s="399"/>
      <c r="G230" s="399"/>
      <c r="H230" s="399"/>
      <c r="I230" s="399"/>
      <c r="J230" s="399"/>
      <c r="K230" s="399"/>
    </row>
    <row r="231" spans="2:11">
      <c r="B231" s="200" t="s">
        <v>554</v>
      </c>
      <c r="C231" s="145"/>
      <c r="D231" s="220">
        <v>1996</v>
      </c>
      <c r="E231" s="262">
        <f>D231+1</f>
        <v>1997</v>
      </c>
      <c r="F231" s="262">
        <f t="shared" ref="F231" si="78">E231+1</f>
        <v>1998</v>
      </c>
      <c r="G231" s="291">
        <f>F231+1</f>
        <v>1999</v>
      </c>
      <c r="H231" s="291">
        <f t="shared" ref="H231:J231" si="79">G231+1</f>
        <v>2000</v>
      </c>
      <c r="I231" s="291">
        <f t="shared" si="79"/>
        <v>2001</v>
      </c>
      <c r="J231" s="291">
        <f t="shared" si="79"/>
        <v>2002</v>
      </c>
      <c r="K231" s="291">
        <f>J231+1</f>
        <v>2003</v>
      </c>
    </row>
    <row r="232" spans="2:11">
      <c r="B232" s="200" t="s">
        <v>596</v>
      </c>
      <c r="C232" s="145"/>
      <c r="D232" s="222"/>
      <c r="E232" s="264"/>
      <c r="F232" s="265"/>
      <c r="G232" s="293"/>
      <c r="H232" s="293"/>
      <c r="I232" s="293"/>
      <c r="J232" s="293"/>
      <c r="K232" s="293"/>
    </row>
    <row r="233" spans="2:11">
      <c r="B233" s="145" t="s">
        <v>609</v>
      </c>
      <c r="C233" s="145"/>
      <c r="D233" s="227"/>
      <c r="E233" s="265"/>
      <c r="F233" s="265"/>
      <c r="G233" s="305">
        <f t="shared" ref="G233:K233" si="80">G227</f>
        <v>1633.3463178794664</v>
      </c>
      <c r="H233" s="305">
        <f t="shared" si="80"/>
        <v>2069.6067035918932</v>
      </c>
      <c r="I233" s="305">
        <f t="shared" si="80"/>
        <v>2615.904055247709</v>
      </c>
      <c r="J233" s="305">
        <f t="shared" si="80"/>
        <v>3308.5487785193627</v>
      </c>
      <c r="K233" s="305">
        <f t="shared" si="80"/>
        <v>4190.8001154300837</v>
      </c>
    </row>
    <row r="234" spans="2:11">
      <c r="B234" s="145" t="s">
        <v>610</v>
      </c>
      <c r="C234" s="145"/>
      <c r="D234" s="222"/>
      <c r="E234" s="264"/>
      <c r="F234" s="264"/>
      <c r="G234" s="294">
        <f>G203</f>
        <v>710.73095238095243</v>
      </c>
      <c r="H234" s="294">
        <f t="shared" ref="H234:K234" si="81">H203</f>
        <v>765.29627290599183</v>
      </c>
      <c r="I234" s="294">
        <f t="shared" si="81"/>
        <v>809.55412855608608</v>
      </c>
      <c r="J234" s="294">
        <f t="shared" si="81"/>
        <v>859.85142152649632</v>
      </c>
      <c r="K234" s="294">
        <f t="shared" si="81"/>
        <v>917.4402001119455</v>
      </c>
    </row>
    <row r="235" spans="2:11">
      <c r="B235" s="145" t="s">
        <v>565</v>
      </c>
      <c r="C235" s="145"/>
      <c r="D235" s="222"/>
      <c r="E235" s="264"/>
      <c r="F235" s="264"/>
      <c r="G235" s="305">
        <f>G82</f>
        <v>-72.164882743062549</v>
      </c>
      <c r="H235" s="305">
        <f>H82</f>
        <v>44.319190753989687</v>
      </c>
      <c r="I235" s="305">
        <f>I82</f>
        <v>50.53238785535757</v>
      </c>
      <c r="J235" s="305">
        <f>J82</f>
        <v>58.027139781126948</v>
      </c>
      <c r="K235" s="305">
        <f>K82</f>
        <v>67.149372346371251</v>
      </c>
    </row>
    <row r="236" spans="2:11" s="204" customFormat="1">
      <c r="B236" s="251" t="s">
        <v>597</v>
      </c>
      <c r="C236" s="232"/>
      <c r="D236" s="233"/>
      <c r="E236" s="274"/>
      <c r="F236" s="274"/>
      <c r="G236" s="307">
        <f>G233+G234-G235</f>
        <v>2416.2421530034817</v>
      </c>
      <c r="H236" s="307">
        <f t="shared" ref="H236:K236" si="82">H233+H234-H235</f>
        <v>2790.5837857438955</v>
      </c>
      <c r="I236" s="307">
        <f t="shared" si="82"/>
        <v>3374.9257959484376</v>
      </c>
      <c r="J236" s="307">
        <f t="shared" si="82"/>
        <v>4110.373060264732</v>
      </c>
      <c r="K236" s="307">
        <f t="shared" si="82"/>
        <v>5041.0909431956579</v>
      </c>
    </row>
    <row r="237" spans="2:11">
      <c r="B237" s="145"/>
      <c r="C237" s="145"/>
      <c r="D237" s="222"/>
      <c r="E237" s="264"/>
      <c r="F237" s="264"/>
      <c r="G237" s="293"/>
      <c r="H237" s="293"/>
      <c r="I237" s="293"/>
      <c r="J237" s="293"/>
      <c r="K237" s="293"/>
    </row>
    <row r="238" spans="2:11">
      <c r="B238" s="200" t="s">
        <v>598</v>
      </c>
      <c r="C238" s="145"/>
      <c r="D238" s="222"/>
      <c r="E238" s="264"/>
      <c r="F238" s="264"/>
      <c r="G238" s="293"/>
      <c r="H238" s="293"/>
      <c r="I238" s="293"/>
      <c r="J238" s="293"/>
      <c r="K238" s="293"/>
    </row>
    <row r="239" spans="2:11">
      <c r="B239" s="145" t="s">
        <v>601</v>
      </c>
      <c r="C239" s="145"/>
      <c r="D239" s="222"/>
      <c r="E239" s="264"/>
      <c r="F239" s="264"/>
      <c r="G239" s="300">
        <f>G107</f>
        <v>1253.519389788856</v>
      </c>
      <c r="H239" s="300">
        <f t="shared" ref="H239:K239" si="83">H107</f>
        <v>1142.8631139070189</v>
      </c>
      <c r="I239" s="300">
        <f t="shared" si="83"/>
        <v>1298.4311524405362</v>
      </c>
      <c r="J239" s="300">
        <f t="shared" si="83"/>
        <v>1486.017042804021</v>
      </c>
      <c r="K239" s="300">
        <f t="shared" si="83"/>
        <v>1714.2623280284004</v>
      </c>
    </row>
    <row r="240" spans="2:11">
      <c r="B240" s="145" t="s">
        <v>602</v>
      </c>
      <c r="C240" s="145"/>
      <c r="D240" s="222"/>
      <c r="E240" s="264"/>
      <c r="F240" s="264"/>
      <c r="G240" s="300">
        <f>G108</f>
        <v>0</v>
      </c>
      <c r="H240" s="300">
        <f t="shared" ref="H240:K240" si="84">H108</f>
        <v>0</v>
      </c>
      <c r="I240" s="300">
        <f t="shared" si="84"/>
        <v>0</v>
      </c>
      <c r="J240" s="300">
        <f t="shared" si="84"/>
        <v>0</v>
      </c>
      <c r="K240" s="300">
        <f t="shared" si="84"/>
        <v>0</v>
      </c>
    </row>
    <row r="241" spans="2:11" s="204" customFormat="1">
      <c r="B241" s="251" t="s">
        <v>599</v>
      </c>
      <c r="C241" s="232"/>
      <c r="D241" s="233"/>
      <c r="E241" s="274"/>
      <c r="F241" s="274"/>
      <c r="G241" s="313">
        <f>-SUM(G239:G240)</f>
        <v>-1253.519389788856</v>
      </c>
      <c r="H241" s="313">
        <f t="shared" ref="H241:K241" si="85">-SUM(H239:H240)</f>
        <v>-1142.8631139070189</v>
      </c>
      <c r="I241" s="313">
        <f t="shared" si="85"/>
        <v>-1298.4311524405362</v>
      </c>
      <c r="J241" s="313">
        <f t="shared" si="85"/>
        <v>-1486.017042804021</v>
      </c>
      <c r="K241" s="313">
        <f t="shared" si="85"/>
        <v>-1714.2623280284004</v>
      </c>
    </row>
    <row r="242" spans="2:11">
      <c r="B242" s="145"/>
      <c r="C242" s="145"/>
      <c r="D242" s="222"/>
      <c r="E242" s="264"/>
      <c r="F242" s="264"/>
      <c r="G242" s="293"/>
      <c r="H242" s="293"/>
      <c r="I242" s="293"/>
      <c r="J242" s="293"/>
      <c r="K242" s="293"/>
    </row>
    <row r="243" spans="2:11">
      <c r="B243" s="200" t="s">
        <v>600</v>
      </c>
      <c r="C243" s="145"/>
      <c r="D243" s="222"/>
      <c r="E243" s="264"/>
      <c r="F243" s="264"/>
      <c r="G243" s="293"/>
      <c r="H243" s="293"/>
      <c r="I243" s="293"/>
      <c r="J243" s="293"/>
      <c r="K243" s="293"/>
    </row>
    <row r="244" spans="2:11">
      <c r="B244" s="145" t="s">
        <v>603</v>
      </c>
      <c r="C244" s="145"/>
      <c r="D244" s="222"/>
      <c r="E244" s="264"/>
      <c r="F244" s="264"/>
      <c r="G244" s="305">
        <f>G57</f>
        <v>196</v>
      </c>
      <c r="H244" s="305">
        <f t="shared" ref="H244:K244" si="86">H57</f>
        <v>23.869999999999891</v>
      </c>
      <c r="I244" s="305">
        <f t="shared" si="86"/>
        <v>24.108700000000226</v>
      </c>
      <c r="J244" s="305">
        <f t="shared" si="86"/>
        <v>24.349787000000106</v>
      </c>
      <c r="K244" s="305">
        <f t="shared" si="86"/>
        <v>24.593284869999934</v>
      </c>
    </row>
    <row r="245" spans="2:11">
      <c r="B245" s="145" t="s">
        <v>604</v>
      </c>
      <c r="C245" s="145"/>
      <c r="D245" s="222"/>
      <c r="E245" s="264"/>
      <c r="F245" s="264"/>
      <c r="G245" s="306">
        <f>G55</f>
        <v>11.935</v>
      </c>
      <c r="H245" s="306">
        <f t="shared" ref="H245:K245" si="87">H55</f>
        <v>12.054349999999999</v>
      </c>
      <c r="I245" s="306">
        <f t="shared" si="87"/>
        <v>12.174893500000001</v>
      </c>
      <c r="J245" s="306">
        <f t="shared" si="87"/>
        <v>12.296642435000001</v>
      </c>
      <c r="K245" s="306">
        <f t="shared" si="87"/>
        <v>12.419608859350001</v>
      </c>
    </row>
    <row r="246" spans="2:11" s="204" customFormat="1">
      <c r="B246" s="251" t="s">
        <v>605</v>
      </c>
      <c r="C246" s="232"/>
      <c r="D246" s="233"/>
      <c r="E246" s="274"/>
      <c r="F246" s="274"/>
      <c r="G246" s="307">
        <f>G244-G245</f>
        <v>184.065</v>
      </c>
      <c r="H246" s="307">
        <f t="shared" ref="H246:K246" si="88">H244-H245</f>
        <v>11.815649999999891</v>
      </c>
      <c r="I246" s="307">
        <f t="shared" si="88"/>
        <v>11.933806500000225</v>
      </c>
      <c r="J246" s="307">
        <f t="shared" si="88"/>
        <v>12.053144565000105</v>
      </c>
      <c r="K246" s="307">
        <f t="shared" si="88"/>
        <v>12.173676010649933</v>
      </c>
    </row>
    <row r="247" spans="2:11">
      <c r="B247" s="145"/>
      <c r="C247" s="145"/>
      <c r="D247" s="222"/>
      <c r="E247" s="264"/>
      <c r="F247" s="264"/>
      <c r="G247" s="293"/>
      <c r="H247" s="293"/>
      <c r="I247" s="293"/>
      <c r="J247" s="293"/>
      <c r="K247" s="293"/>
    </row>
    <row r="248" spans="2:11" s="204" customFormat="1">
      <c r="B248" s="251" t="s">
        <v>606</v>
      </c>
      <c r="C248" s="232"/>
      <c r="D248" s="233"/>
      <c r="E248" s="274"/>
      <c r="F248" s="274"/>
      <c r="G248" s="324">
        <f>G236+G241+G246</f>
        <v>1346.7877632146258</v>
      </c>
      <c r="H248" s="324">
        <f t="shared" ref="H248:K248" si="89">H236+H241+H246</f>
        <v>1659.5363218368766</v>
      </c>
      <c r="I248" s="324">
        <f t="shared" si="89"/>
        <v>2088.4284500079016</v>
      </c>
      <c r="J248" s="324">
        <f t="shared" si="89"/>
        <v>2636.4091620257109</v>
      </c>
      <c r="K248" s="324">
        <f t="shared" si="89"/>
        <v>3339.0022911779074</v>
      </c>
    </row>
    <row r="249" spans="2:11" s="256" customFormat="1">
      <c r="B249" s="253" t="s">
        <v>607</v>
      </c>
      <c r="C249" s="254"/>
      <c r="D249" s="255"/>
      <c r="E249" s="286"/>
      <c r="F249" s="287"/>
      <c r="G249" s="325">
        <f>F250</f>
        <v>1240</v>
      </c>
      <c r="H249" s="325">
        <f t="shared" ref="H249:K249" si="90">G250</f>
        <v>2586.7877632146256</v>
      </c>
      <c r="I249" s="325">
        <f t="shared" si="90"/>
        <v>4246.3240850515022</v>
      </c>
      <c r="J249" s="325">
        <f t="shared" si="90"/>
        <v>6334.7525350594042</v>
      </c>
      <c r="K249" s="325">
        <f t="shared" si="90"/>
        <v>8971.1616970851155</v>
      </c>
    </row>
    <row r="250" spans="2:11" s="256" customFormat="1" ht="17" thickBot="1">
      <c r="B250" s="257" t="s">
        <v>608</v>
      </c>
      <c r="C250" s="258"/>
      <c r="D250" s="259"/>
      <c r="E250" s="288"/>
      <c r="F250" s="289">
        <f>'Data Source'!D73</f>
        <v>1240</v>
      </c>
      <c r="G250" s="326">
        <f>SUM(G248:G249)</f>
        <v>2586.7877632146256</v>
      </c>
      <c r="H250" s="326">
        <f t="shared" ref="H250:K250" si="91">SUM(H248:H249)</f>
        <v>4246.3240850515022</v>
      </c>
      <c r="I250" s="326">
        <f t="shared" si="91"/>
        <v>6334.7525350594042</v>
      </c>
      <c r="J250" s="326">
        <f t="shared" si="91"/>
        <v>8971.1616970851155</v>
      </c>
      <c r="K250" s="326">
        <f t="shared" si="91"/>
        <v>12310.163988263022</v>
      </c>
    </row>
    <row r="251" spans="2:11" ht="17" thickTop="1"/>
    <row r="253" spans="2:11">
      <c r="B253" s="399" t="s">
        <v>595</v>
      </c>
      <c r="C253" s="399"/>
      <c r="D253" s="399"/>
      <c r="E253" s="399"/>
      <c r="F253" s="399"/>
      <c r="G253" s="399"/>
      <c r="H253" s="399"/>
      <c r="I253" s="399"/>
      <c r="J253" s="399"/>
      <c r="K253" s="399"/>
    </row>
    <row r="254" spans="2:11">
      <c r="B254" s="200" t="s">
        <v>554</v>
      </c>
      <c r="C254" s="145"/>
      <c r="D254" s="220">
        <v>1996</v>
      </c>
      <c r="E254" s="262">
        <f>D254+1</f>
        <v>1997</v>
      </c>
      <c r="F254" s="262">
        <f t="shared" ref="F254" si="92">E254+1</f>
        <v>1998</v>
      </c>
      <c r="G254" s="291">
        <f>F254+1</f>
        <v>1999</v>
      </c>
      <c r="H254" s="291">
        <f t="shared" ref="H254:J254" si="93">G254+1</f>
        <v>2000</v>
      </c>
      <c r="I254" s="291">
        <f t="shared" si="93"/>
        <v>2001</v>
      </c>
      <c r="J254" s="291">
        <f t="shared" si="93"/>
        <v>2002</v>
      </c>
      <c r="K254" s="291">
        <f>J254+1</f>
        <v>2003</v>
      </c>
    </row>
    <row r="255" spans="2:11">
      <c r="B255" s="191" t="s">
        <v>614</v>
      </c>
      <c r="C255" s="150"/>
      <c r="D255" s="207"/>
      <c r="E255" s="264"/>
      <c r="F255" s="264"/>
      <c r="G255" s="293"/>
      <c r="H255" s="293"/>
      <c r="I255" s="293"/>
      <c r="J255" s="293"/>
      <c r="K255" s="293"/>
    </row>
    <row r="256" spans="2:11">
      <c r="B256" s="191" t="s">
        <v>561</v>
      </c>
      <c r="C256" s="150"/>
      <c r="D256" s="207"/>
      <c r="E256" s="264"/>
      <c r="F256" s="264"/>
      <c r="G256" s="296"/>
      <c r="H256" s="293"/>
      <c r="I256" s="293"/>
      <c r="J256" s="293"/>
      <c r="K256" s="293"/>
    </row>
    <row r="257" spans="2:11">
      <c r="B257" s="170" t="s">
        <v>62</v>
      </c>
      <c r="C257" s="145"/>
      <c r="D257" s="222"/>
      <c r="E257" s="264">
        <f>'Data Source'!C73</f>
        <v>460</v>
      </c>
      <c r="F257" s="264">
        <f>'Data Source'!D73</f>
        <v>1240</v>
      </c>
      <c r="G257" s="305">
        <f>G263-SUM(G258:G262)</f>
        <v>2586.7877632146265</v>
      </c>
      <c r="H257" s="305">
        <f t="shared" ref="H257:K257" si="94">H263-SUM(H258:H262)</f>
        <v>4258.2590850514989</v>
      </c>
      <c r="I257" s="305">
        <f t="shared" si="94"/>
        <v>6358.7418850593986</v>
      </c>
      <c r="J257" s="305">
        <f t="shared" si="94"/>
        <v>9007.3259405851113</v>
      </c>
      <c r="K257" s="305">
        <f t="shared" si="94"/>
        <v>12358.624874198016</v>
      </c>
    </row>
    <row r="258" spans="2:11">
      <c r="B258" s="170" t="s">
        <v>63</v>
      </c>
      <c r="C258" s="145"/>
      <c r="D258" s="222"/>
      <c r="E258" s="264" t="str">
        <f>'Data Source'!C74</f>
        <v>—</v>
      </c>
      <c r="F258" s="264">
        <f>'Data Source'!D74</f>
        <v>389</v>
      </c>
      <c r="G258" s="293">
        <f>F258</f>
        <v>389</v>
      </c>
      <c r="H258" s="293">
        <f t="shared" ref="H258:K258" si="95">G258</f>
        <v>389</v>
      </c>
      <c r="I258" s="293">
        <f t="shared" si="95"/>
        <v>389</v>
      </c>
      <c r="J258" s="293">
        <f t="shared" si="95"/>
        <v>389</v>
      </c>
      <c r="K258" s="293">
        <f t="shared" si="95"/>
        <v>389</v>
      </c>
    </row>
    <row r="259" spans="2:11">
      <c r="B259" s="170" t="s">
        <v>64</v>
      </c>
      <c r="C259" s="145"/>
      <c r="D259" s="222"/>
      <c r="E259" s="264">
        <f>'Data Source'!C75</f>
        <v>2405</v>
      </c>
      <c r="F259" s="264">
        <f>'Data Source'!D75</f>
        <v>2713</v>
      </c>
      <c r="G259" s="300">
        <f>G66</f>
        <v>2852.2433898211489</v>
      </c>
      <c r="H259" s="300">
        <f t="shared" ref="H259:K259" si="96">H66</f>
        <v>3042.6658540508679</v>
      </c>
      <c r="I259" s="300">
        <f t="shared" si="96"/>
        <v>3259.784029160207</v>
      </c>
      <c r="J259" s="300">
        <f t="shared" si="96"/>
        <v>3509.1042618029869</v>
      </c>
      <c r="K259" s="300">
        <f t="shared" si="96"/>
        <v>3797.619208401461</v>
      </c>
    </row>
    <row r="260" spans="2:11">
      <c r="B260" s="170" t="s">
        <v>65</v>
      </c>
      <c r="C260" s="145"/>
      <c r="D260" s="222"/>
      <c r="E260" s="264">
        <f>'Data Source'!C76</f>
        <v>669</v>
      </c>
      <c r="F260" s="264">
        <f>'Data Source'!D76</f>
        <v>703</v>
      </c>
      <c r="G260" s="300">
        <f t="shared" ref="G260:K260" si="97">G67</f>
        <v>765.94954190996771</v>
      </c>
      <c r="H260" s="300">
        <f t="shared" si="97"/>
        <v>817.08613136324948</v>
      </c>
      <c r="I260" s="300">
        <f t="shared" si="97"/>
        <v>875.39166284727696</v>
      </c>
      <c r="J260" s="300">
        <f t="shared" si="97"/>
        <v>942.34482633365053</v>
      </c>
      <c r="K260" s="300">
        <f t="shared" si="97"/>
        <v>1019.8234496411577</v>
      </c>
    </row>
    <row r="261" spans="2:11">
      <c r="B261" s="170" t="s">
        <v>66</v>
      </c>
      <c r="C261" s="145"/>
      <c r="D261" s="222"/>
      <c r="E261" s="264">
        <f>'Data Source'!C77</f>
        <v>417</v>
      </c>
      <c r="F261" s="264">
        <f>'Data Source'!D77</f>
        <v>380</v>
      </c>
      <c r="G261" s="300">
        <f t="shared" ref="G261:K261" si="98">G68</f>
        <v>446.50736182616907</v>
      </c>
      <c r="H261" s="300">
        <f t="shared" si="98"/>
        <v>476.31724145954132</v>
      </c>
      <c r="I261" s="300">
        <f t="shared" si="98"/>
        <v>510.30622848587711</v>
      </c>
      <c r="J261" s="300">
        <f t="shared" si="98"/>
        <v>549.33631957995976</v>
      </c>
      <c r="K261" s="300">
        <f t="shared" si="98"/>
        <v>594.50218730108031</v>
      </c>
    </row>
    <row r="262" spans="2:11">
      <c r="B262" s="170" t="s">
        <v>67</v>
      </c>
      <c r="C262" s="145"/>
      <c r="D262" s="222"/>
      <c r="E262" s="264">
        <f>'Data Source'!C78</f>
        <v>526</v>
      </c>
      <c r="F262" s="264" t="str">
        <f>'Data Source'!D78</f>
        <v>—</v>
      </c>
      <c r="G262" s="300" t="str">
        <f t="shared" ref="G262:K262" si="99">G69</f>
        <v>—</v>
      </c>
      <c r="H262" s="300" t="str">
        <f t="shared" si="99"/>
        <v>—</v>
      </c>
      <c r="I262" s="300" t="str">
        <f t="shared" si="99"/>
        <v>—</v>
      </c>
      <c r="J262" s="300" t="str">
        <f t="shared" si="99"/>
        <v>—</v>
      </c>
      <c r="K262" s="300" t="str">
        <f t="shared" si="99"/>
        <v>—</v>
      </c>
    </row>
    <row r="263" spans="2:11" s="204" customFormat="1">
      <c r="B263" s="231" t="s">
        <v>68</v>
      </c>
      <c r="C263" s="232"/>
      <c r="D263" s="233"/>
      <c r="E263" s="274">
        <f>SUM(E257:E262)</f>
        <v>4477</v>
      </c>
      <c r="F263" s="274">
        <f>SUM(F257:F262)</f>
        <v>5425</v>
      </c>
      <c r="G263" s="307">
        <f>G278-G277</f>
        <v>7040.4880567719119</v>
      </c>
      <c r="H263" s="307">
        <f t="shared" ref="H263:K263" si="100">H278-H277</f>
        <v>8983.3283119251573</v>
      </c>
      <c r="I263" s="307">
        <f t="shared" si="100"/>
        <v>11393.22380555276</v>
      </c>
      <c r="J263" s="307">
        <f t="shared" si="100"/>
        <v>14397.111348301709</v>
      </c>
      <c r="K263" s="307">
        <f t="shared" si="100"/>
        <v>18159.569719541716</v>
      </c>
    </row>
    <row r="264" spans="2:11">
      <c r="B264" s="191"/>
      <c r="C264" s="145"/>
      <c r="D264" s="222"/>
      <c r="E264" s="278"/>
      <c r="F264" s="278"/>
      <c r="G264" s="293"/>
      <c r="H264" s="293"/>
      <c r="I264" s="293"/>
      <c r="J264" s="293"/>
      <c r="K264" s="293"/>
    </row>
    <row r="265" spans="2:11">
      <c r="B265" s="328" t="s">
        <v>629</v>
      </c>
      <c r="C265" s="145"/>
      <c r="D265" s="222"/>
      <c r="E265" s="264"/>
      <c r="F265" s="264"/>
      <c r="G265" s="293"/>
      <c r="H265" s="293"/>
      <c r="I265" s="293"/>
      <c r="J265" s="293"/>
      <c r="K265" s="293"/>
    </row>
    <row r="266" spans="2:11">
      <c r="B266" s="170" t="s">
        <v>70</v>
      </c>
      <c r="C266" s="145"/>
      <c r="D266" s="222"/>
      <c r="E266" s="265">
        <f>'Data Source'!C81</f>
        <v>3519</v>
      </c>
      <c r="F266" s="265">
        <f>'Data Source'!D81</f>
        <v>3482</v>
      </c>
      <c r="G266" s="300">
        <f>G87</f>
        <v>3914.2665039046419</v>
      </c>
      <c r="H266" s="300">
        <f t="shared" ref="H266:K266" si="101">H87</f>
        <v>4175.592124286607</v>
      </c>
      <c r="I266" s="300">
        <f t="shared" si="101"/>
        <v>4473.553512593191</v>
      </c>
      <c r="J266" s="300">
        <f t="shared" si="101"/>
        <v>4815.7072849052165</v>
      </c>
      <c r="K266" s="300">
        <f t="shared" si="101"/>
        <v>5211.6497894532104</v>
      </c>
    </row>
    <row r="267" spans="2:11">
      <c r="B267" s="170" t="s">
        <v>71</v>
      </c>
      <c r="C267" s="145"/>
      <c r="D267" s="222"/>
      <c r="E267" s="265">
        <f>'Data Source'!C82</f>
        <v>6771</v>
      </c>
      <c r="F267" s="265">
        <f>'Data Source'!D82</f>
        <v>7739</v>
      </c>
      <c r="G267" s="300">
        <f>G90</f>
        <v>8083.7589455961997</v>
      </c>
      <c r="H267" s="300">
        <f t="shared" ref="H267:K267" si="102">H90</f>
        <v>8623.4496690992837</v>
      </c>
      <c r="I267" s="300">
        <f t="shared" si="102"/>
        <v>9238.8007280429938</v>
      </c>
      <c r="J267" s="300">
        <f t="shared" si="102"/>
        <v>9945.4180763859677</v>
      </c>
      <c r="K267" s="300">
        <f t="shared" si="102"/>
        <v>10763.120131135885</v>
      </c>
    </row>
    <row r="268" spans="2:11">
      <c r="B268" s="170" t="s">
        <v>72</v>
      </c>
      <c r="C268" s="145"/>
      <c r="D268" s="222"/>
      <c r="E268" s="265">
        <f>'Data Source'!C83</f>
        <v>654</v>
      </c>
      <c r="F268" s="265">
        <f>'Data Source'!D83</f>
        <v>651</v>
      </c>
      <c r="G268" s="300">
        <f>G105</f>
        <v>651</v>
      </c>
      <c r="H268" s="300">
        <f t="shared" ref="H268:K268" si="103">H105</f>
        <v>651</v>
      </c>
      <c r="I268" s="300">
        <f t="shared" si="103"/>
        <v>651</v>
      </c>
      <c r="J268" s="300">
        <f t="shared" si="103"/>
        <v>651</v>
      </c>
      <c r="K268" s="300">
        <f t="shared" si="103"/>
        <v>651</v>
      </c>
    </row>
    <row r="269" spans="2:11">
      <c r="B269" s="170" t="s">
        <v>73</v>
      </c>
      <c r="C269" s="145"/>
      <c r="D269" s="222"/>
      <c r="E269" s="265">
        <f>'Data Source'!C84</f>
        <v>1433</v>
      </c>
      <c r="F269" s="265">
        <f>'Data Source'!D84</f>
        <v>1478</v>
      </c>
      <c r="G269" s="300">
        <f>G96</f>
        <v>1492.78</v>
      </c>
      <c r="H269" s="300">
        <f t="shared" ref="H269:K269" si="104">H96</f>
        <v>1507.7077999999999</v>
      </c>
      <c r="I269" s="300">
        <f t="shared" si="104"/>
        <v>1522.7848779999999</v>
      </c>
      <c r="J269" s="300">
        <f t="shared" si="104"/>
        <v>1538.0127267799999</v>
      </c>
      <c r="K269" s="300">
        <f t="shared" si="104"/>
        <v>1553.3928540477998</v>
      </c>
    </row>
    <row r="270" spans="2:11">
      <c r="B270" s="170" t="s">
        <v>74</v>
      </c>
      <c r="C270" s="145"/>
      <c r="D270" s="222"/>
      <c r="E270" s="265">
        <f>'Data Source'!C85</f>
        <v>1734</v>
      </c>
      <c r="F270" s="265">
        <f>'Data Source'!D85</f>
        <v>1803</v>
      </c>
      <c r="G270" s="300">
        <f>G99</f>
        <v>1821.03</v>
      </c>
      <c r="H270" s="300">
        <f t="shared" ref="H270:K270" si="105">H99</f>
        <v>1839.2402999999999</v>
      </c>
      <c r="I270" s="300">
        <f t="shared" si="105"/>
        <v>1857.632703</v>
      </c>
      <c r="J270" s="300">
        <f t="shared" si="105"/>
        <v>1876.2090300300001</v>
      </c>
      <c r="K270" s="300">
        <f t="shared" si="105"/>
        <v>1894.9711203303002</v>
      </c>
    </row>
    <row r="271" spans="2:11">
      <c r="B271" s="170" t="s">
        <v>75</v>
      </c>
      <c r="C271" s="145"/>
      <c r="D271" s="222"/>
      <c r="E271" s="265">
        <f>'Data Source'!C86</f>
        <v>4063</v>
      </c>
      <c r="F271" s="265">
        <f>'Data Source'!D86</f>
        <v>4144</v>
      </c>
      <c r="G271" s="300">
        <f>G93</f>
        <v>4585.1139402880144</v>
      </c>
      <c r="H271" s="300">
        <f t="shared" ref="H271:K271" si="106">H93</f>
        <v>4891.2269103099843</v>
      </c>
      <c r="I271" s="300">
        <f t="shared" si="106"/>
        <v>5240.2544775002261</v>
      </c>
      <c r="J271" s="300">
        <f t="shared" si="106"/>
        <v>5641.0483502692477</v>
      </c>
      <c r="K271" s="300">
        <f t="shared" si="106"/>
        <v>6104.8495491259364</v>
      </c>
    </row>
    <row r="272" spans="2:11">
      <c r="B272" s="170" t="s">
        <v>76</v>
      </c>
      <c r="C272" s="145"/>
      <c r="D272" s="222"/>
      <c r="E272" s="265">
        <f>'Data Source'!C87</f>
        <v>328</v>
      </c>
      <c r="F272" s="265">
        <f>'Data Source'!D87</f>
        <v>257</v>
      </c>
      <c r="G272" s="300">
        <f>G102</f>
        <v>259.57</v>
      </c>
      <c r="H272" s="300">
        <f t="shared" ref="H272:K272" si="107">H102</f>
        <v>262.16570000000002</v>
      </c>
      <c r="I272" s="300">
        <f t="shared" si="107"/>
        <v>264.78735700000004</v>
      </c>
      <c r="J272" s="300">
        <f t="shared" si="107"/>
        <v>267.43523057000004</v>
      </c>
      <c r="K272" s="300">
        <f t="shared" si="107"/>
        <v>270.10958287570003</v>
      </c>
    </row>
    <row r="273" spans="2:11">
      <c r="B273" s="170"/>
      <c r="C273" s="145"/>
      <c r="D273" s="222"/>
      <c r="E273" s="265">
        <f>'Data Source'!C88</f>
        <v>18502</v>
      </c>
      <c r="F273" s="265">
        <f>'Data Source'!D88</f>
        <v>19554</v>
      </c>
      <c r="G273" s="300">
        <f>SUM(G266:G272)</f>
        <v>20807.519389788857</v>
      </c>
      <c r="H273" s="300">
        <f t="shared" ref="H273:K273" si="108">SUM(H266:H272)</f>
        <v>21950.382503695877</v>
      </c>
      <c r="I273" s="300">
        <f t="shared" si="108"/>
        <v>23248.813656136415</v>
      </c>
      <c r="J273" s="300">
        <f t="shared" si="108"/>
        <v>24734.830698940434</v>
      </c>
      <c r="K273" s="300">
        <f t="shared" si="108"/>
        <v>26449.093026968836</v>
      </c>
    </row>
    <row r="274" spans="2:11">
      <c r="B274" s="170" t="s">
        <v>77</v>
      </c>
      <c r="C274" s="145"/>
      <c r="D274" s="222"/>
      <c r="E274" s="265">
        <f>'Data Source'!C89</f>
        <v>7495</v>
      </c>
      <c r="F274" s="265">
        <f>'Data Source'!D89</f>
        <v>8170</v>
      </c>
      <c r="G274" s="294">
        <f>F274+G203</f>
        <v>8880.7309523809527</v>
      </c>
      <c r="H274" s="294">
        <f t="shared" ref="H274:J274" si="109">G274+H203</f>
        <v>9646.0272252869436</v>
      </c>
      <c r="I274" s="294">
        <f t="shared" si="109"/>
        <v>10455.58135384303</v>
      </c>
      <c r="J274" s="294">
        <f t="shared" si="109"/>
        <v>11315.432775369527</v>
      </c>
      <c r="K274" s="294">
        <f>J274+K203</f>
        <v>12232.872975481472</v>
      </c>
    </row>
    <row r="275" spans="2:11">
      <c r="B275" s="191" t="s">
        <v>78</v>
      </c>
      <c r="C275" s="145"/>
      <c r="D275" s="222"/>
      <c r="E275" s="265">
        <f>'Data Source'!C90</f>
        <v>11007</v>
      </c>
      <c r="F275" s="265">
        <f>'Data Source'!D90</f>
        <v>11384</v>
      </c>
      <c r="G275" s="300">
        <f>G273-G274</f>
        <v>11926.788437407904</v>
      </c>
      <c r="H275" s="300">
        <f t="shared" ref="H275:K275" si="110">H273-H274</f>
        <v>12304.355278408933</v>
      </c>
      <c r="I275" s="300">
        <f t="shared" si="110"/>
        <v>12793.232302293385</v>
      </c>
      <c r="J275" s="300">
        <f t="shared" si="110"/>
        <v>13419.397923570907</v>
      </c>
      <c r="K275" s="300">
        <f t="shared" si="110"/>
        <v>14216.220051487364</v>
      </c>
    </row>
    <row r="276" spans="2:11">
      <c r="B276" s="191" t="s">
        <v>79</v>
      </c>
      <c r="C276" s="145"/>
      <c r="D276" s="222"/>
      <c r="E276" s="265">
        <f>'Data Source'!C91</f>
        <v>428</v>
      </c>
      <c r="F276" s="265">
        <f>'Data Source'!D91</f>
        <v>258</v>
      </c>
      <c r="G276" s="293">
        <f>F276</f>
        <v>258</v>
      </c>
      <c r="H276" s="293">
        <f t="shared" ref="H276:K276" si="111">G276</f>
        <v>258</v>
      </c>
      <c r="I276" s="293">
        <f t="shared" si="111"/>
        <v>258</v>
      </c>
      <c r="J276" s="293">
        <f t="shared" si="111"/>
        <v>258</v>
      </c>
      <c r="K276" s="293">
        <f t="shared" si="111"/>
        <v>258</v>
      </c>
    </row>
    <row r="277" spans="2:11">
      <c r="B277" s="231" t="s">
        <v>621</v>
      </c>
      <c r="C277" s="234"/>
      <c r="D277" s="235"/>
      <c r="E277" s="280">
        <f>SUM(E275:E276)</f>
        <v>11435</v>
      </c>
      <c r="F277" s="280">
        <f t="shared" ref="F277:K277" si="112">SUM(F275:F276)</f>
        <v>11642</v>
      </c>
      <c r="G277" s="307">
        <f t="shared" si="112"/>
        <v>12184.788437407904</v>
      </c>
      <c r="H277" s="307">
        <f t="shared" si="112"/>
        <v>12562.355278408933</v>
      </c>
      <c r="I277" s="307">
        <f t="shared" si="112"/>
        <v>13051.232302293385</v>
      </c>
      <c r="J277" s="307">
        <f t="shared" si="112"/>
        <v>13677.397923570907</v>
      </c>
      <c r="K277" s="307">
        <f t="shared" si="112"/>
        <v>14474.220051487364</v>
      </c>
    </row>
    <row r="278" spans="2:11" s="204" customFormat="1">
      <c r="B278" s="231" t="s">
        <v>617</v>
      </c>
      <c r="C278" s="232"/>
      <c r="D278" s="233"/>
      <c r="E278" s="280">
        <f>E263+E277</f>
        <v>15912</v>
      </c>
      <c r="F278" s="280">
        <f t="shared" ref="F278" si="113">F263+F277</f>
        <v>17067</v>
      </c>
      <c r="G278" s="307">
        <f>G299</f>
        <v>19225.276494179816</v>
      </c>
      <c r="H278" s="307">
        <f t="shared" ref="H278:K278" si="114">H299</f>
        <v>21545.683590334091</v>
      </c>
      <c r="I278" s="307">
        <f t="shared" si="114"/>
        <v>24444.456107846145</v>
      </c>
      <c r="J278" s="307">
        <f t="shared" si="114"/>
        <v>28074.509271872615</v>
      </c>
      <c r="K278" s="307">
        <f t="shared" si="114"/>
        <v>32633.789771029082</v>
      </c>
    </row>
    <row r="279" spans="2:11">
      <c r="B279" s="191"/>
      <c r="C279" s="145"/>
      <c r="D279" s="222"/>
      <c r="E279" s="278"/>
      <c r="F279" s="278"/>
      <c r="G279" s="300"/>
      <c r="H279" s="300"/>
      <c r="I279" s="300"/>
      <c r="J279" s="300"/>
      <c r="K279" s="300"/>
    </row>
    <row r="280" spans="2:11">
      <c r="B280" s="200" t="s">
        <v>616</v>
      </c>
      <c r="C280" s="145"/>
      <c r="D280" s="222"/>
      <c r="E280" s="264"/>
      <c r="F280" s="264"/>
      <c r="G280" s="293"/>
      <c r="H280" s="293"/>
      <c r="I280" s="293"/>
      <c r="J280" s="293"/>
      <c r="K280" s="293"/>
    </row>
    <row r="281" spans="2:11">
      <c r="B281" s="216" t="s">
        <v>562</v>
      </c>
      <c r="C281" s="145"/>
      <c r="D281" s="222"/>
      <c r="E281" s="264"/>
      <c r="F281" s="264"/>
      <c r="G281" s="293"/>
      <c r="H281" s="293"/>
      <c r="I281" s="293"/>
      <c r="J281" s="293"/>
      <c r="K281" s="293"/>
    </row>
    <row r="282" spans="2:11">
      <c r="B282" s="170" t="s">
        <v>83</v>
      </c>
      <c r="C282" s="145"/>
      <c r="D282" s="222"/>
      <c r="E282" s="265">
        <f>'Data Source'!C95</f>
        <v>1207</v>
      </c>
      <c r="F282" s="265">
        <f>'Data Source'!D95</f>
        <v>1322</v>
      </c>
      <c r="G282" s="300">
        <f>G73</f>
        <v>1410.428093472445</v>
      </c>
      <c r="H282" s="300">
        <f t="shared" ref="H282:K282" si="115">H73</f>
        <v>1504.5915839152044</v>
      </c>
      <c r="I282" s="300">
        <f t="shared" si="115"/>
        <v>1611.9560447710094</v>
      </c>
      <c r="J282" s="300">
        <f t="shared" si="115"/>
        <v>1735.2443523696511</v>
      </c>
      <c r="K282" s="300">
        <f t="shared" si="115"/>
        <v>1877.9143599578558</v>
      </c>
    </row>
    <row r="283" spans="2:11">
      <c r="B283" s="170" t="s">
        <v>84</v>
      </c>
      <c r="C283" s="145"/>
      <c r="D283" s="222"/>
      <c r="E283" s="265">
        <f>'Data Source'!C96</f>
        <v>1194</v>
      </c>
      <c r="F283" s="265">
        <f>'Data Source'!D96</f>
        <v>1092</v>
      </c>
      <c r="G283" s="300">
        <f t="shared" ref="G283:K283" si="116">G74</f>
        <v>1280.5836804574574</v>
      </c>
      <c r="H283" s="300">
        <f t="shared" si="116"/>
        <v>1366.0784530828619</v>
      </c>
      <c r="I283" s="300">
        <f t="shared" si="116"/>
        <v>1463.5589110157168</v>
      </c>
      <c r="J283" s="300">
        <f t="shared" si="116"/>
        <v>1575.4972618134098</v>
      </c>
      <c r="K283" s="300">
        <f t="shared" si="116"/>
        <v>1705.0330277654271</v>
      </c>
    </row>
    <row r="284" spans="2:11">
      <c r="B284" s="170" t="s">
        <v>85</v>
      </c>
      <c r="C284" s="145"/>
      <c r="D284" s="222"/>
      <c r="E284" s="265">
        <f>'Data Source'!C97</f>
        <v>191</v>
      </c>
      <c r="F284" s="265">
        <f>'Data Source'!D97</f>
        <v>247</v>
      </c>
      <c r="G284" s="300">
        <f t="shared" ref="G284:K284" si="117">G75</f>
        <v>247</v>
      </c>
      <c r="H284" s="300">
        <f t="shared" si="117"/>
        <v>247</v>
      </c>
      <c r="I284" s="300">
        <f t="shared" si="117"/>
        <v>247</v>
      </c>
      <c r="J284" s="300">
        <f t="shared" si="117"/>
        <v>247</v>
      </c>
      <c r="K284" s="300">
        <f t="shared" si="117"/>
        <v>247</v>
      </c>
    </row>
    <row r="285" spans="2:11">
      <c r="B285" s="170" t="s">
        <v>86</v>
      </c>
      <c r="C285" s="145"/>
      <c r="D285" s="222"/>
      <c r="E285" s="265">
        <f>'Data Source'!C98</f>
        <v>140</v>
      </c>
      <c r="F285" s="265" t="str">
        <f>'Data Source'!D98</f>
        <v>—</v>
      </c>
      <c r="G285" s="300" t="str">
        <f t="shared" ref="G285:K285" si="118">G76</f>
        <v>—</v>
      </c>
      <c r="H285" s="300" t="str">
        <f t="shared" si="118"/>
        <v>—</v>
      </c>
      <c r="I285" s="300" t="str">
        <f t="shared" si="118"/>
        <v>—</v>
      </c>
      <c r="J285" s="300" t="str">
        <f t="shared" si="118"/>
        <v>—</v>
      </c>
      <c r="K285" s="300" t="str">
        <f t="shared" si="118"/>
        <v>—</v>
      </c>
    </row>
    <row r="286" spans="2:11">
      <c r="B286" s="170" t="s">
        <v>87</v>
      </c>
      <c r="C286" s="145"/>
      <c r="D286" s="222"/>
      <c r="E286" s="265">
        <f>'Data Source'!C99</f>
        <v>41</v>
      </c>
      <c r="F286" s="265">
        <f>'Data Source'!D99</f>
        <v>410</v>
      </c>
      <c r="G286" s="300">
        <f t="shared" ref="G286:K286" si="119">G77</f>
        <v>410</v>
      </c>
      <c r="H286" s="300">
        <f t="shared" si="119"/>
        <v>410</v>
      </c>
      <c r="I286" s="300">
        <f t="shared" si="119"/>
        <v>410</v>
      </c>
      <c r="J286" s="300">
        <f t="shared" si="119"/>
        <v>410</v>
      </c>
      <c r="K286" s="300">
        <f t="shared" si="119"/>
        <v>410</v>
      </c>
    </row>
    <row r="287" spans="2:11">
      <c r="B287" s="170" t="s">
        <v>88</v>
      </c>
      <c r="C287" s="145"/>
      <c r="D287" s="222"/>
      <c r="E287" s="265">
        <f>'Data Source'!C100</f>
        <v>625</v>
      </c>
      <c r="F287" s="265">
        <f>'Data Source'!D100</f>
        <v>646</v>
      </c>
      <c r="G287" s="300">
        <f>G78</f>
        <v>709.85340237044591</v>
      </c>
      <c r="H287" s="300">
        <f>H78</f>
        <v>757.24488186466499</v>
      </c>
      <c r="I287" s="300">
        <f>I78</f>
        <v>811.28026884035035</v>
      </c>
      <c r="J287" s="300">
        <f>J78</f>
        <v>873.32995788612504</v>
      </c>
      <c r="K287" s="300">
        <f>K78</f>
        <v>945.13424962663339</v>
      </c>
    </row>
    <row r="288" spans="2:11" s="204" customFormat="1">
      <c r="B288" s="231" t="s">
        <v>89</v>
      </c>
      <c r="C288" s="232"/>
      <c r="D288" s="233"/>
      <c r="E288" s="280">
        <f>SUM(E282:E287)</f>
        <v>3398</v>
      </c>
      <c r="F288" s="280">
        <f>SUM(F282:F287)</f>
        <v>3717</v>
      </c>
      <c r="G288" s="313">
        <f>SUM(G282:G287)</f>
        <v>4057.8651763003481</v>
      </c>
      <c r="H288" s="313">
        <f t="shared" ref="H288:K288" si="120">SUM(H282:H287)</f>
        <v>4284.9149188627316</v>
      </c>
      <c r="I288" s="313">
        <f t="shared" si="120"/>
        <v>4543.7952246270761</v>
      </c>
      <c r="J288" s="313">
        <f t="shared" si="120"/>
        <v>4841.071572069186</v>
      </c>
      <c r="K288" s="313">
        <f t="shared" si="120"/>
        <v>5185.0816373499165</v>
      </c>
    </row>
    <row r="289" spans="2:11">
      <c r="B289" s="191"/>
      <c r="C289" s="145"/>
      <c r="D289" s="222"/>
      <c r="E289" s="278"/>
      <c r="F289" s="278"/>
      <c r="G289" s="300"/>
      <c r="H289" s="300"/>
      <c r="I289" s="300"/>
      <c r="J289" s="300"/>
      <c r="K289" s="300"/>
    </row>
    <row r="290" spans="2:11" ht="34">
      <c r="B290" s="217" t="s">
        <v>90</v>
      </c>
      <c r="C290" s="145"/>
      <c r="D290" s="222"/>
      <c r="E290" s="265">
        <f>'Data Source'!C102</f>
        <v>2583</v>
      </c>
      <c r="F290" s="265">
        <f>'Data Source'!D102</f>
        <v>2191</v>
      </c>
      <c r="G290" s="305">
        <f>G56</f>
        <v>2375.0650000000001</v>
      </c>
      <c r="H290" s="305">
        <f t="shared" ref="H290:K290" si="121">H56</f>
        <v>2398.81565</v>
      </c>
      <c r="I290" s="305">
        <f t="shared" si="121"/>
        <v>2422.8038065000001</v>
      </c>
      <c r="J290" s="305">
        <f t="shared" si="121"/>
        <v>2447.031844565</v>
      </c>
      <c r="K290" s="305">
        <f t="shared" si="121"/>
        <v>2471.5021630106503</v>
      </c>
    </row>
    <row r="291" spans="2:11" ht="34">
      <c r="B291" s="217" t="s">
        <v>91</v>
      </c>
      <c r="C291" s="145"/>
      <c r="D291" s="222"/>
      <c r="E291" s="264">
        <f>'Data Source'!C103</f>
        <v>911</v>
      </c>
      <c r="F291" s="264">
        <f>'Data Source'!D103</f>
        <v>969</v>
      </c>
      <c r="G291" s="293">
        <f>F291</f>
        <v>969</v>
      </c>
      <c r="H291" s="293">
        <f t="shared" ref="H291:K291" si="122">G291</f>
        <v>969</v>
      </c>
      <c r="I291" s="293">
        <f t="shared" si="122"/>
        <v>969</v>
      </c>
      <c r="J291" s="293">
        <f t="shared" si="122"/>
        <v>969</v>
      </c>
      <c r="K291" s="293">
        <f t="shared" si="122"/>
        <v>969</v>
      </c>
    </row>
    <row r="292" spans="2:11" ht="34">
      <c r="B292" s="217" t="s">
        <v>92</v>
      </c>
      <c r="C292" s="145"/>
      <c r="D292" s="222"/>
      <c r="E292" s="264">
        <f>'Data Source'!C104</f>
        <v>2933</v>
      </c>
      <c r="F292" s="264">
        <f>'Data Source'!D104</f>
        <v>3017</v>
      </c>
      <c r="G292" s="305">
        <f>F292</f>
        <v>3017</v>
      </c>
      <c r="H292" s="305">
        <f t="shared" ref="H292:K292" si="123">G292</f>
        <v>3017</v>
      </c>
      <c r="I292" s="305">
        <f t="shared" si="123"/>
        <v>3017</v>
      </c>
      <c r="J292" s="305">
        <f t="shared" si="123"/>
        <v>3017</v>
      </c>
      <c r="K292" s="305">
        <f t="shared" si="123"/>
        <v>3017</v>
      </c>
    </row>
    <row r="293" spans="2:11" s="204" customFormat="1">
      <c r="B293" s="231" t="s">
        <v>615</v>
      </c>
      <c r="C293" s="232"/>
      <c r="D293" s="233"/>
      <c r="E293" s="280">
        <f t="shared" ref="E293:F293" si="124">SUM(E290:E292)</f>
        <v>6427</v>
      </c>
      <c r="F293" s="280">
        <f t="shared" si="124"/>
        <v>6177</v>
      </c>
      <c r="G293" s="307">
        <f>SUM(G290:G292)</f>
        <v>6361.0650000000005</v>
      </c>
      <c r="H293" s="307">
        <f t="shared" ref="H293:K293" si="125">SUM(H290:H292)</f>
        <v>6384.8156500000005</v>
      </c>
      <c r="I293" s="307">
        <f t="shared" si="125"/>
        <v>6408.8038065000001</v>
      </c>
      <c r="J293" s="307">
        <f t="shared" si="125"/>
        <v>6433.031844565</v>
      </c>
      <c r="K293" s="307">
        <f t="shared" si="125"/>
        <v>6457.5021630106503</v>
      </c>
    </row>
    <row r="294" spans="2:11" s="204" customFormat="1">
      <c r="B294" s="231" t="s">
        <v>620</v>
      </c>
      <c r="C294" s="232"/>
      <c r="D294" s="233"/>
      <c r="E294" s="280">
        <f>E288+E293</f>
        <v>9825</v>
      </c>
      <c r="F294" s="280">
        <f t="shared" ref="F294:K294" si="126">F288+F293</f>
        <v>9894</v>
      </c>
      <c r="G294" s="307">
        <f t="shared" si="126"/>
        <v>10418.93017630035</v>
      </c>
      <c r="H294" s="307">
        <f t="shared" si="126"/>
        <v>10669.730568862731</v>
      </c>
      <c r="I294" s="307">
        <f t="shared" si="126"/>
        <v>10952.599031127076</v>
      </c>
      <c r="J294" s="307">
        <f t="shared" si="126"/>
        <v>11274.103416634185</v>
      </c>
      <c r="K294" s="307">
        <f t="shared" si="126"/>
        <v>11642.583800360568</v>
      </c>
    </row>
    <row r="295" spans="2:11">
      <c r="B295" s="217"/>
      <c r="C295" s="145"/>
      <c r="D295" s="222"/>
      <c r="E295" s="265"/>
      <c r="F295" s="265"/>
      <c r="G295" s="305"/>
      <c r="H295" s="305"/>
      <c r="I295" s="305"/>
      <c r="J295" s="305"/>
      <c r="K295" s="305"/>
    </row>
    <row r="296" spans="2:11" ht="17">
      <c r="B296" s="218" t="s">
        <v>618</v>
      </c>
      <c r="C296" s="145"/>
      <c r="D296" s="222"/>
      <c r="E296" s="265"/>
      <c r="F296" s="265"/>
      <c r="G296" s="305"/>
      <c r="H296" s="305"/>
      <c r="I296" s="305"/>
      <c r="J296" s="305"/>
      <c r="K296" s="305"/>
    </row>
    <row r="297" spans="2:11" ht="17">
      <c r="B297" s="217" t="s">
        <v>622</v>
      </c>
      <c r="C297" s="145"/>
      <c r="D297" s="222"/>
      <c r="E297" s="265">
        <f>'Data Source'!C110</f>
        <v>6112</v>
      </c>
      <c r="F297" s="265">
        <f>'Data Source'!D110</f>
        <v>7325</v>
      </c>
      <c r="G297" s="305">
        <f>G227</f>
        <v>1633.3463178794664</v>
      </c>
      <c r="H297" s="305">
        <f t="shared" ref="H297:K297" si="127">H227</f>
        <v>2069.6067035918932</v>
      </c>
      <c r="I297" s="305">
        <f t="shared" si="127"/>
        <v>2615.904055247709</v>
      </c>
      <c r="J297" s="305">
        <f t="shared" si="127"/>
        <v>3308.5487785193627</v>
      </c>
      <c r="K297" s="305">
        <f t="shared" si="127"/>
        <v>4190.8001154300837</v>
      </c>
    </row>
    <row r="298" spans="2:11" s="204" customFormat="1" ht="20" customHeight="1">
      <c r="B298" s="237" t="s">
        <v>625</v>
      </c>
      <c r="C298" s="232"/>
      <c r="D298" s="233"/>
      <c r="E298" s="280">
        <f>'Data Source'!C115</f>
        <v>6087</v>
      </c>
      <c r="F298" s="280">
        <f>'Data Source'!D115</f>
        <v>7173</v>
      </c>
      <c r="G298" s="307">
        <f>F298+G297</f>
        <v>8806.3463178794664</v>
      </c>
      <c r="H298" s="307">
        <f>G298+H297</f>
        <v>10875.95302147136</v>
      </c>
      <c r="I298" s="307">
        <f t="shared" ref="I298:K298" si="128">H298+I297</f>
        <v>13491.857076719069</v>
      </c>
      <c r="J298" s="307">
        <f t="shared" si="128"/>
        <v>16800.40585523843</v>
      </c>
      <c r="K298" s="307">
        <f t="shared" si="128"/>
        <v>20991.205970668514</v>
      </c>
    </row>
    <row r="299" spans="2:11" s="204" customFormat="1" ht="17" thickBot="1">
      <c r="B299" s="252" t="s">
        <v>619</v>
      </c>
      <c r="C299" s="238"/>
      <c r="D299" s="239"/>
      <c r="E299" s="273">
        <f>E294+E298</f>
        <v>15912</v>
      </c>
      <c r="F299" s="273">
        <f t="shared" ref="F299:K299" si="129">F294+F298</f>
        <v>17067</v>
      </c>
      <c r="G299" s="304">
        <f t="shared" si="129"/>
        <v>19225.276494179816</v>
      </c>
      <c r="H299" s="304">
        <f t="shared" si="129"/>
        <v>21545.683590334091</v>
      </c>
      <c r="I299" s="304">
        <f t="shared" si="129"/>
        <v>24444.456107846145</v>
      </c>
      <c r="J299" s="304">
        <f t="shared" si="129"/>
        <v>28074.509271872615</v>
      </c>
      <c r="K299" s="304">
        <f t="shared" si="129"/>
        <v>32633.789771029082</v>
      </c>
    </row>
    <row r="300" spans="2:11" ht="17" thickTop="1">
      <c r="B300" s="145"/>
      <c r="C300" s="145"/>
      <c r="D300" s="222"/>
      <c r="E300" s="264"/>
      <c r="F300" s="264"/>
      <c r="G300" s="293"/>
    </row>
    <row r="301" spans="2:11">
      <c r="B301" s="145"/>
      <c r="C301" s="145"/>
      <c r="D301" s="222"/>
      <c r="E301" s="264"/>
      <c r="F301" s="264"/>
      <c r="G301" s="293"/>
    </row>
    <row r="302" spans="2:11">
      <c r="B302" s="145"/>
      <c r="C302" s="145"/>
      <c r="D302" s="222"/>
      <c r="E302" s="264"/>
      <c r="F302" s="264"/>
      <c r="G302" s="293"/>
    </row>
    <row r="303" spans="2:11">
      <c r="B303" s="145"/>
      <c r="C303" s="145"/>
      <c r="D303" s="222"/>
      <c r="E303" s="264"/>
      <c r="F303" s="264"/>
      <c r="G303" s="293"/>
    </row>
    <row r="304" spans="2:11">
      <c r="B304" s="145"/>
      <c r="C304" s="145"/>
      <c r="D304" s="222"/>
      <c r="E304" s="264"/>
      <c r="F304" s="264"/>
      <c r="G304" s="293"/>
    </row>
    <row r="305" spans="2:7">
      <c r="B305" s="145"/>
      <c r="C305" s="145"/>
      <c r="D305" s="222"/>
      <c r="E305" s="264"/>
      <c r="F305" s="264"/>
      <c r="G305" s="293"/>
    </row>
  </sheetData>
  <mergeCells count="10">
    <mergeCell ref="B253:K253"/>
    <mergeCell ref="B3:K3"/>
    <mergeCell ref="B41:K41"/>
    <mergeCell ref="B51:K51"/>
    <mergeCell ref="B61:K61"/>
    <mergeCell ref="B1:K1"/>
    <mergeCell ref="B85:K85"/>
    <mergeCell ref="B112:K112"/>
    <mergeCell ref="B206:K206"/>
    <mergeCell ref="B230:K230"/>
  </mergeCells>
  <phoneticPr fontId="23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9BF7-E456-D540-A40B-672B281DA0BD}">
  <sheetPr>
    <tabColor theme="7"/>
  </sheetPr>
  <dimension ref="B1:I32"/>
  <sheetViews>
    <sheetView tabSelected="1" topLeftCell="A4" workbookViewId="0">
      <selection activeCell="C35" sqref="C35"/>
    </sheetView>
  </sheetViews>
  <sheetFormatPr baseColWidth="10" defaultColWidth="8.83203125" defaultRowHeight="16"/>
  <cols>
    <col min="2" max="2" width="30.83203125" bestFit="1" customWidth="1"/>
    <col min="3" max="3" width="30.83203125" customWidth="1"/>
    <col min="4" max="4" width="45.1640625" customWidth="1"/>
    <col min="5" max="5" width="25" bestFit="1" customWidth="1"/>
    <col min="6" max="7" width="10.5" bestFit="1" customWidth="1"/>
    <col min="8" max="9" width="11.5" bestFit="1" customWidth="1"/>
    <col min="10" max="10" width="10.83203125" bestFit="1" customWidth="1"/>
  </cols>
  <sheetData>
    <row r="1" spans="2:9" ht="20">
      <c r="B1" s="365" t="s">
        <v>648</v>
      </c>
      <c r="C1" s="365"/>
      <c r="D1" s="365"/>
      <c r="E1" s="365"/>
      <c r="F1" s="365"/>
      <c r="G1" s="365"/>
      <c r="H1" s="365"/>
      <c r="I1" s="365"/>
    </row>
    <row r="3" spans="2:9">
      <c r="B3" s="329" t="str">
        <f>'[1]Assumptions Table '!L45</f>
        <v>Cost of Equity</v>
      </c>
      <c r="C3" s="330">
        <v>0.152</v>
      </c>
    </row>
    <row r="4" spans="2:9">
      <c r="B4" s="331" t="str">
        <f>+'[1]Assumptions Table '!L57</f>
        <v>WACC</v>
      </c>
      <c r="C4" s="332">
        <v>0.123</v>
      </c>
    </row>
    <row r="5" spans="2:9">
      <c r="B5" s="333" t="s">
        <v>649</v>
      </c>
      <c r="C5" s="334">
        <v>0.08</v>
      </c>
      <c r="D5" s="45"/>
      <c r="E5" s="356" t="s">
        <v>630</v>
      </c>
      <c r="F5" s="355"/>
      <c r="G5" s="352"/>
      <c r="H5" s="352"/>
      <c r="I5" s="352"/>
    </row>
    <row r="6" spans="2:9" s="350" customFormat="1">
      <c r="D6" s="353">
        <v>1998</v>
      </c>
      <c r="E6" s="354">
        <f>'[1]The Model'!K6</f>
        <v>1999</v>
      </c>
      <c r="F6" s="354">
        <f>'[1]The Model'!L6</f>
        <v>2000</v>
      </c>
      <c r="G6" s="354">
        <f>'[1]The Model'!M6</f>
        <v>2001</v>
      </c>
      <c r="H6" s="354">
        <f>'[1]The Model'!N6</f>
        <v>2002</v>
      </c>
      <c r="I6" s="354">
        <f>'[1]The Model'!O6</f>
        <v>2003</v>
      </c>
    </row>
    <row r="7" spans="2:9">
      <c r="C7" s="335" t="s">
        <v>310</v>
      </c>
      <c r="D7" s="336"/>
    </row>
    <row r="8" spans="2:9">
      <c r="B8" s="336"/>
      <c r="C8" s="336"/>
      <c r="D8" s="336"/>
    </row>
    <row r="9" spans="2:9">
      <c r="C9" s="337" t="s">
        <v>631</v>
      </c>
      <c r="D9" s="336"/>
    </row>
    <row r="10" spans="2:9">
      <c r="B10" s="336"/>
      <c r="C10" s="338" t="s">
        <v>609</v>
      </c>
      <c r="E10" s="339">
        <f>Model!G227</f>
        <v>1633.3463178794664</v>
      </c>
      <c r="F10" s="339">
        <f>Model!H227</f>
        <v>2069.6067035918932</v>
      </c>
      <c r="G10" s="339">
        <f>Model!I227</f>
        <v>2615.904055247709</v>
      </c>
      <c r="H10" s="339">
        <f>Model!J227</f>
        <v>3308.5487785193627</v>
      </c>
      <c r="I10" s="339">
        <f>Model!K227</f>
        <v>4190.8001154300837</v>
      </c>
    </row>
    <row r="11" spans="2:9">
      <c r="B11" s="336"/>
      <c r="C11" s="338" t="s">
        <v>610</v>
      </c>
      <c r="E11" s="339">
        <f>Model!G203</f>
        <v>710.73095238095243</v>
      </c>
      <c r="F11" s="339">
        <f>Model!H203</f>
        <v>765.29627290599183</v>
      </c>
      <c r="G11" s="339">
        <f>Model!I203</f>
        <v>809.55412855608608</v>
      </c>
      <c r="H11" s="339">
        <f>Model!J203</f>
        <v>859.85142152649632</v>
      </c>
      <c r="I11" s="339">
        <f>Model!K203</f>
        <v>917.4402001119455</v>
      </c>
    </row>
    <row r="12" spans="2:9">
      <c r="B12" s="336"/>
      <c r="C12" s="338" t="s">
        <v>632</v>
      </c>
      <c r="E12" s="339">
        <f>-Model!G109</f>
        <v>-1253.519389788856</v>
      </c>
      <c r="F12" s="339">
        <f>-Model!H109</f>
        <v>-1142.8631139070189</v>
      </c>
      <c r="G12" s="339">
        <f>-Model!I109</f>
        <v>-1298.4311524405362</v>
      </c>
      <c r="H12" s="339">
        <f>-Model!J109</f>
        <v>-1486.017042804021</v>
      </c>
      <c r="I12" s="339">
        <f>-Model!K109</f>
        <v>-1714.2623280284004</v>
      </c>
    </row>
    <row r="13" spans="2:9">
      <c r="B13" s="336"/>
      <c r="C13" s="338" t="s">
        <v>633</v>
      </c>
      <c r="E13" s="339">
        <f>-Model!G82</f>
        <v>72.164882743062549</v>
      </c>
      <c r="F13" s="339">
        <f>-Model!H82</f>
        <v>-44.319190753989687</v>
      </c>
      <c r="G13" s="339">
        <f>-Model!I82</f>
        <v>-50.53238785535757</v>
      </c>
      <c r="H13" s="339">
        <f>-Model!J82</f>
        <v>-58.027139781126948</v>
      </c>
      <c r="I13" s="339">
        <f>-Model!K82</f>
        <v>-67.149372346371251</v>
      </c>
    </row>
    <row r="14" spans="2:9">
      <c r="B14" s="336"/>
      <c r="C14" s="338" t="s">
        <v>634</v>
      </c>
      <c r="E14" s="340">
        <f>Model!G57</f>
        <v>196</v>
      </c>
      <c r="F14" s="340">
        <f>Model!H57</f>
        <v>23.869999999999891</v>
      </c>
      <c r="G14" s="340">
        <f>Model!I57</f>
        <v>24.108700000000226</v>
      </c>
      <c r="H14" s="340">
        <f>Model!J57</f>
        <v>24.349787000000106</v>
      </c>
      <c r="I14" s="340">
        <f>Model!K57</f>
        <v>24.593284869999934</v>
      </c>
    </row>
    <row r="15" spans="2:9">
      <c r="C15" s="337" t="s">
        <v>635</v>
      </c>
      <c r="E15" s="339">
        <f>SUM(E10:E14)</f>
        <v>1358.7227632146255</v>
      </c>
      <c r="F15" s="339">
        <f t="shared" ref="F15:I15" si="0">SUM(F10:F14)</f>
        <v>1671.5906718368763</v>
      </c>
      <c r="G15" s="339">
        <f t="shared" si="0"/>
        <v>2100.6033435079016</v>
      </c>
      <c r="H15" s="339">
        <f t="shared" si="0"/>
        <v>2648.7058044607106</v>
      </c>
      <c r="I15" s="339">
        <f t="shared" si="0"/>
        <v>3351.4219000372568</v>
      </c>
    </row>
    <row r="16" spans="2:9">
      <c r="C16" s="341" t="s">
        <v>636</v>
      </c>
      <c r="E16" s="339"/>
      <c r="F16" s="339"/>
      <c r="G16" s="339"/>
      <c r="H16" s="339"/>
      <c r="I16" s="339">
        <f>I15*(1+C5)/(C3-C5)</f>
        <v>50271.328500558855</v>
      </c>
    </row>
    <row r="17" spans="2:9">
      <c r="C17" s="341" t="s">
        <v>637</v>
      </c>
      <c r="E17" s="339">
        <f>E15+E16</f>
        <v>1358.7227632146255</v>
      </c>
      <c r="F17" s="339">
        <f t="shared" ref="F17:I17" si="1">F15+F16</f>
        <v>1671.5906718368763</v>
      </c>
      <c r="G17" s="339">
        <f t="shared" si="1"/>
        <v>2100.6033435079016</v>
      </c>
      <c r="H17" s="339">
        <f t="shared" si="1"/>
        <v>2648.7058044607106</v>
      </c>
      <c r="I17" s="339">
        <f t="shared" si="1"/>
        <v>53622.750400596109</v>
      </c>
    </row>
    <row r="18" spans="2:9">
      <c r="C18" s="341" t="s">
        <v>638</v>
      </c>
      <c r="D18" s="342">
        <f>NPV(C3,E17:I17)</f>
        <v>31746.303678510321</v>
      </c>
      <c r="E18" s="339"/>
      <c r="F18" s="339"/>
      <c r="G18" s="339"/>
      <c r="H18" s="339"/>
      <c r="I18" s="339"/>
    </row>
    <row r="19" spans="2:9">
      <c r="C19" s="341" t="s">
        <v>639</v>
      </c>
      <c r="D19" s="342">
        <f>D18/D29</f>
        <v>28.992890780489038</v>
      </c>
      <c r="E19" s="339"/>
      <c r="F19" s="339"/>
      <c r="G19" s="339"/>
      <c r="H19" s="339"/>
      <c r="I19" s="339"/>
    </row>
    <row r="20" spans="2:9">
      <c r="C20" s="337" t="s">
        <v>640</v>
      </c>
      <c r="D20" s="342"/>
      <c r="E20" s="339"/>
      <c r="F20" s="339"/>
      <c r="G20" s="339"/>
      <c r="H20" s="339"/>
      <c r="I20" s="339"/>
    </row>
    <row r="21" spans="2:9">
      <c r="B21" s="336"/>
      <c r="C21" s="338" t="s">
        <v>641</v>
      </c>
      <c r="E21" s="339">
        <f>Model!G58</f>
        <v>166.25455000000002</v>
      </c>
      <c r="F21" s="339">
        <f>Model!H58</f>
        <v>167.91709550000002</v>
      </c>
      <c r="G21" s="339">
        <f>Model!I58</f>
        <v>169.59626645500003</v>
      </c>
      <c r="H21" s="339">
        <f>Model!J58</f>
        <v>171.29222911955003</v>
      </c>
      <c r="I21" s="339">
        <f>Model!K58</f>
        <v>173.00515141074553</v>
      </c>
    </row>
    <row r="22" spans="2:9">
      <c r="B22" s="336"/>
    </row>
    <row r="23" spans="2:9">
      <c r="C23" s="337" t="s">
        <v>642</v>
      </c>
      <c r="D23" s="336"/>
      <c r="E23" s="339">
        <f>E15+E21-E14</f>
        <v>1328.9773132146256</v>
      </c>
      <c r="F23" s="339">
        <f t="shared" ref="F23:I23" si="2">F15+F21-F14</f>
        <v>1815.6377673368763</v>
      </c>
      <c r="G23" s="339">
        <f t="shared" si="2"/>
        <v>2246.0909099629016</v>
      </c>
      <c r="H23" s="339">
        <f t="shared" si="2"/>
        <v>2795.6482465802605</v>
      </c>
      <c r="I23" s="339">
        <f t="shared" si="2"/>
        <v>3499.8337665780023</v>
      </c>
    </row>
    <row r="24" spans="2:9">
      <c r="C24" s="343" t="s">
        <v>643</v>
      </c>
      <c r="D24" s="344"/>
      <c r="E24" s="339"/>
      <c r="F24" s="339"/>
      <c r="G24" s="339"/>
      <c r="H24" s="339"/>
      <c r="I24" s="345">
        <f>I23*(1+C5)/(C4-C5)</f>
        <v>87902.801579168445</v>
      </c>
    </row>
    <row r="25" spans="2:9">
      <c r="C25" s="344" t="s">
        <v>640</v>
      </c>
      <c r="D25" s="344"/>
      <c r="E25" s="339">
        <f>E23+E24</f>
        <v>1328.9773132146256</v>
      </c>
      <c r="F25" s="339">
        <f t="shared" ref="F25:H25" si="3">F23+F24</f>
        <v>1815.6377673368763</v>
      </c>
      <c r="G25" s="339">
        <f t="shared" si="3"/>
        <v>2246.0909099629016</v>
      </c>
      <c r="H25" s="339">
        <f t="shared" si="3"/>
        <v>2795.6482465802605</v>
      </c>
      <c r="I25" s="339">
        <f>I23+I24</f>
        <v>91402.635345746443</v>
      </c>
    </row>
    <row r="26" spans="2:9">
      <c r="C26" s="357" t="s">
        <v>644</v>
      </c>
      <c r="D26" s="358">
        <f>NPV(C4,E25:I25)</f>
        <v>57142.075709728982</v>
      </c>
      <c r="E26" s="346"/>
    </row>
    <row r="27" spans="2:9">
      <c r="C27" s="359" t="s">
        <v>645</v>
      </c>
      <c r="D27" s="360">
        <f>Model!F294</f>
        <v>9894</v>
      </c>
      <c r="E27" s="347"/>
    </row>
    <row r="28" spans="2:9">
      <c r="C28" s="359" t="s">
        <v>638</v>
      </c>
      <c r="D28" s="361">
        <f>D26-D27</f>
        <v>47248.075709728982</v>
      </c>
      <c r="E28" s="346"/>
    </row>
    <row r="29" spans="2:9">
      <c r="C29" s="359" t="s">
        <v>646</v>
      </c>
      <c r="D29" s="362">
        <f>'Data Source'!J59</f>
        <v>1094.9685534591194</v>
      </c>
      <c r="E29" s="346"/>
    </row>
    <row r="30" spans="2:9">
      <c r="C30" s="363" t="s">
        <v>647</v>
      </c>
      <c r="D30" s="364">
        <f>D28/D29</f>
        <v>43.150166788322281</v>
      </c>
      <c r="E30" s="346"/>
    </row>
    <row r="31" spans="2:9">
      <c r="C31" s="348"/>
      <c r="D31" s="349"/>
      <c r="E31" s="346"/>
    </row>
    <row r="32" spans="2:9">
      <c r="C32" s="400" t="s">
        <v>652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Data Source</vt:lpstr>
      <vt:lpstr>Assumptions</vt:lpstr>
      <vt:lpstr>Model</vt:lpstr>
      <vt:lpstr>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Meiru Zhong</dc:creator>
  <cp:lastModifiedBy>Meiru Zhong</cp:lastModifiedBy>
  <dcterms:created xsi:type="dcterms:W3CDTF">2022-11-05T17:54:41Z</dcterms:created>
  <dcterms:modified xsi:type="dcterms:W3CDTF">2022-11-08T23:04:27Z</dcterms:modified>
</cp:coreProperties>
</file>