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smei1_uq_edu_au/Documents/University of Auckland/FINANCE361/Lecture/Lecture 10 Topic 17&amp;18/"/>
    </mc:Choice>
  </mc:AlternateContent>
  <xr:revisionPtr revIDLastSave="66" documentId="8_{A2CB735D-9CD1-4357-8BDB-C89B7D0C64AF}" xr6:coauthVersionLast="47" xr6:coauthVersionMax="47" xr10:uidLastSave="{84949DC8-3CDF-4BB2-A3E3-E39E4537ED02}"/>
  <bookViews>
    <workbookView xWindow="-120" yWindow="-120" windowWidth="29040" windowHeight="15840" xr2:uid="{9A69BEB0-1DCC-4853-A6A4-9CFB6E8A7CDE}"/>
  </bookViews>
  <sheets>
    <sheet name="Single-period Immunization" sheetId="2" r:id="rId1"/>
    <sheet name="Multip-period immunization" sheetId="3" r:id="rId2"/>
    <sheet name="Cash flow immuniz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4" l="1"/>
  <c r="D48" i="4"/>
  <c r="D47" i="4"/>
  <c r="C49" i="4"/>
  <c r="C48" i="4"/>
  <c r="C47" i="4"/>
  <c r="I50" i="4"/>
  <c r="D39" i="4"/>
  <c r="D35" i="4"/>
  <c r="D34" i="4"/>
  <c r="D30" i="4"/>
  <c r="D29" i="4"/>
  <c r="E21" i="4"/>
  <c r="B52" i="3"/>
  <c r="D77" i="3"/>
  <c r="D76" i="3"/>
  <c r="D75" i="3"/>
  <c r="C77" i="3"/>
  <c r="C76" i="3"/>
  <c r="C75" i="3"/>
  <c r="B70" i="3"/>
  <c r="B69" i="3"/>
  <c r="B62" i="3"/>
  <c r="B63" i="3"/>
  <c r="B50" i="3"/>
  <c r="C32" i="3"/>
  <c r="C33" i="3"/>
  <c r="B64" i="2"/>
  <c r="B63" i="2"/>
  <c r="B62" i="2"/>
  <c r="C52" i="2"/>
  <c r="C51" i="2"/>
  <c r="B50" i="2"/>
  <c r="C50" i="2"/>
  <c r="B47" i="2"/>
  <c r="B41" i="2"/>
  <c r="B42" i="2"/>
  <c r="D34" i="2"/>
  <c r="C34" i="2"/>
  <c r="B31" i="2"/>
  <c r="B28" i="2"/>
  <c r="B24" i="2"/>
  <c r="C36" i="2" l="1"/>
  <c r="C35" i="2"/>
  <c r="B56" i="4" l="1"/>
  <c r="I47" i="4" l="1"/>
  <c r="E22" i="4" l="1"/>
  <c r="E23" i="4"/>
  <c r="C34" i="3"/>
  <c r="C35" i="3"/>
  <c r="C36" i="3"/>
  <c r="C37" i="3"/>
  <c r="C38" i="3"/>
  <c r="C39" i="3"/>
  <c r="C40" i="3"/>
  <c r="C41" i="3"/>
  <c r="E48" i="4" l="1"/>
  <c r="E49" i="4"/>
  <c r="F49" i="4" s="1"/>
  <c r="G49" i="4"/>
  <c r="C56" i="4"/>
  <c r="D56" i="4"/>
  <c r="D59" i="4" s="1"/>
  <c r="C42" i="3"/>
  <c r="D33" i="3" s="1"/>
  <c r="E33" i="3" s="1"/>
  <c r="B52" i="2"/>
  <c r="D35" i="2"/>
  <c r="D36" i="2"/>
  <c r="B51" i="2"/>
  <c r="D51" i="2" s="1"/>
  <c r="D52" i="2" l="1"/>
  <c r="D40" i="4"/>
  <c r="B58" i="4"/>
  <c r="H49" i="4"/>
  <c r="I49" i="4" s="1"/>
  <c r="C57" i="4"/>
  <c r="C59" i="4" s="1"/>
  <c r="B57" i="4"/>
  <c r="B59" i="4" s="1"/>
  <c r="F48" i="4"/>
  <c r="I48" i="4" s="1"/>
  <c r="D39" i="3"/>
  <c r="E39" i="3" s="1"/>
  <c r="D41" i="3"/>
  <c r="E41" i="3" s="1"/>
  <c r="D35" i="3"/>
  <c r="E35" i="3" s="1"/>
  <c r="D34" i="3"/>
  <c r="E34" i="3" s="1"/>
  <c r="D40" i="3"/>
  <c r="E40" i="3" s="1"/>
  <c r="D32" i="3"/>
  <c r="E32" i="3" s="1"/>
  <c r="D37" i="3"/>
  <c r="E37" i="3" s="1"/>
  <c r="D36" i="3"/>
  <c r="E36" i="3" s="1"/>
  <c r="D38" i="3"/>
  <c r="E38" i="3" s="1"/>
  <c r="D50" i="2"/>
  <c r="E42" i="3" l="1"/>
  <c r="B44" i="3" s="1"/>
</calcChain>
</file>

<file path=xl/sharedStrings.xml><?xml version="1.0" encoding="utf-8"?>
<sst xmlns="http://schemas.openxmlformats.org/spreadsheetml/2006/main" count="147" uniqueCount="110">
  <si>
    <t>PMT</t>
  </si>
  <si>
    <t>N</t>
  </si>
  <si>
    <t>FV</t>
  </si>
  <si>
    <t>PV</t>
  </si>
  <si>
    <t>New yield</t>
  </si>
  <si>
    <t>Time line</t>
  </si>
  <si>
    <t>Liability</t>
  </si>
  <si>
    <t>I</t>
  </si>
  <si>
    <t>Duration</t>
  </si>
  <si>
    <t>5 years</t>
  </si>
  <si>
    <t>FV of reinvested coupons</t>
  </si>
  <si>
    <t>Price in 5 years</t>
  </si>
  <si>
    <t>Total CF in 5 years)</t>
  </si>
  <si>
    <t>Number of bond</t>
  </si>
  <si>
    <t>Bond A</t>
  </si>
  <si>
    <t>2 year duration</t>
  </si>
  <si>
    <t>Bond B</t>
  </si>
  <si>
    <t>7.5 year duration</t>
  </si>
  <si>
    <t>5=w*2+(1-w)*7.5</t>
  </si>
  <si>
    <t>w=45.5%</t>
  </si>
  <si>
    <t>1-w = 54.5%</t>
  </si>
  <si>
    <t>PV of liability</t>
  </si>
  <si>
    <t>Buy 45.5% of bond A:</t>
  </si>
  <si>
    <t>Buy 54.5% of bond B:</t>
  </si>
  <si>
    <t>Pension plan</t>
  </si>
  <si>
    <t>after</t>
  </si>
  <si>
    <t>3 years</t>
  </si>
  <si>
    <t>Zero coupon bond A:</t>
  </si>
  <si>
    <t>15 years</t>
  </si>
  <si>
    <t>Zero coupon bond B:</t>
  </si>
  <si>
    <t>Step 1: calculate duration of the liability</t>
  </si>
  <si>
    <t xml:space="preserve">Time until payment </t>
  </si>
  <si>
    <t>CF</t>
  </si>
  <si>
    <t>PV of CF</t>
  </si>
  <si>
    <t>Weight</t>
  </si>
  <si>
    <t>Time*weight</t>
  </si>
  <si>
    <t>Interest rate</t>
  </si>
  <si>
    <t>Total</t>
  </si>
  <si>
    <t>Total duration</t>
  </si>
  <si>
    <t>Step 2: calculate PV of the liability</t>
  </si>
  <si>
    <t>Step 3: match the duration between liability and bond</t>
  </si>
  <si>
    <t>w * 5 + (1-w) * 15 = 6.8713</t>
  </si>
  <si>
    <t>w = 81.287%</t>
  </si>
  <si>
    <t>1 - w = 18.713%</t>
  </si>
  <si>
    <t>Step 4: calculate the FV of these bonds</t>
  </si>
  <si>
    <t>Conclusion</t>
  </si>
  <si>
    <t>So, we allocate more weight the 5-year bond and less 15-year bond</t>
  </si>
  <si>
    <t xml:space="preserve">FV </t>
  </si>
  <si>
    <t>Price in 12 years</t>
  </si>
  <si>
    <t>Let's assume there is a 200 bp change in the intrest rate</t>
  </si>
  <si>
    <t>Bond A:</t>
  </si>
  <si>
    <t>Bond B:</t>
  </si>
  <si>
    <t>Bond C:</t>
  </si>
  <si>
    <t>Maturity</t>
  </si>
  <si>
    <t>Coupon</t>
  </si>
  <si>
    <t>YTM</t>
  </si>
  <si>
    <t>Price</t>
  </si>
  <si>
    <t>Step 1: fund for the final liability using Bond C</t>
  </si>
  <si>
    <t>Additional CF needed in two years</t>
  </si>
  <si>
    <t>Number of Bond C to buy</t>
  </si>
  <si>
    <t>Step 2: fund for the second last liability using Bond B</t>
  </si>
  <si>
    <t>Number of Bond B to buy</t>
  </si>
  <si>
    <t>Additional CF needed in one year</t>
  </si>
  <si>
    <t>Number of Bond A to buy</t>
  </si>
  <si>
    <t>Additional CF needed now</t>
  </si>
  <si>
    <t>Now fully funded and immunized</t>
  </si>
  <si>
    <t>Step 3: fund for the third last liability using Bond A</t>
  </si>
  <si>
    <t>Time</t>
  </si>
  <si>
    <t>#Bond C</t>
  </si>
  <si>
    <t>Bond C CF</t>
  </si>
  <si>
    <t>#Bond B</t>
  </si>
  <si>
    <t>Bond B CF</t>
  </si>
  <si>
    <t>#Bond A</t>
  </si>
  <si>
    <t>Bond A CF</t>
  </si>
  <si>
    <t>Total CF</t>
  </si>
  <si>
    <t>Buy 894 Bond A</t>
  </si>
  <si>
    <t>Buy 894 Bond B</t>
  </si>
  <si>
    <t>Buy 939 Bond C</t>
  </si>
  <si>
    <t>If interest rate increases, duration of the liability will drecrease</t>
  </si>
  <si>
    <t>Total CF in 12 years)</t>
  </si>
  <si>
    <t>Amount invested in 5-year zero coupon bond 15-year zero coupon bond</t>
  </si>
  <si>
    <t>The investor is then immune to changes in interest rates.</t>
  </si>
  <si>
    <t>Steps:</t>
  </si>
  <si>
    <t>Set duration of the portfolio equal to the time horizon of the liability</t>
  </si>
  <si>
    <t>Set the present value of the portfolio equal to the present value of the liability</t>
  </si>
  <si>
    <t>The durations of the portfolio and the liability will cease to match if:</t>
  </si>
  <si>
    <t>The interest rate changes more than once</t>
  </si>
  <si>
    <t>Time passes</t>
  </si>
  <si>
    <r>
      <rPr>
        <b/>
        <sz val="11"/>
        <color theme="1"/>
        <rFont val="Calibri"/>
        <family val="2"/>
        <scheme val="minor"/>
      </rPr>
      <t>Immunization</t>
    </r>
    <r>
      <rPr>
        <sz val="11"/>
        <color theme="1"/>
        <rFont val="Calibri"/>
        <family val="2"/>
        <scheme val="minor"/>
      </rPr>
      <t>: Match the duration of liabilities with the duration of the bond portfolio.</t>
    </r>
  </si>
  <si>
    <t>Suppose you have a liability of $10, 000 due in 5 years. The current effective annual</t>
  </si>
  <si>
    <t>YTM is 5%. The PV of the liability is $7, 835.26. How to achieve an immunization on</t>
  </si>
  <si>
    <t>this liability?</t>
  </si>
  <si>
    <t>Example</t>
  </si>
  <si>
    <t>Option 1: Buy a 5-year $10, 000 zero coupon bond, currently selling for $7, 835.26.</t>
  </si>
  <si>
    <t>Option 2: Buy a coupon bond. Eg, A 6-year annual bondwith a coupon rate of 8.5% and par value $1, 000 is currently selling for $1, 177.65 and has a Macaulay duration of 5 years.</t>
  </si>
  <si>
    <t>Option 3: Bond portfolio. Two bonds available with durations of 2.0 and 7.5.</t>
  </si>
  <si>
    <t>For many institutions, there are multiple liabilities spread out through time</t>
  </si>
  <si>
    <t>For example, a pension fund that makes monthly payments to many retirees.</t>
  </si>
  <si>
    <t>There are two strategies that can be used to satisfy a liability stream:</t>
  </si>
  <si>
    <t>1. Multiperiod Immunization</t>
  </si>
  <si>
    <t>2. Cash Flow Matching</t>
  </si>
  <si>
    <t>Multiperiod immunization is a portfolio strategy in which a portfolio is created that</t>
  </si>
  <si>
    <t>will be capable of satisfying more than one predetermined future liability regardless if</t>
  </si>
  <si>
    <t>interest rates change</t>
  </si>
  <si>
    <t>A bond is selected with a maturity that matches the last liability stream. An</t>
  </si>
  <si>
    <t>amount of principal plus final coupon equal to the amount of the last liability stream is</t>
  </si>
  <si>
    <t>then invested in this bond.</t>
  </si>
  <si>
    <t>Suppose you manage a pension fund that must pay $1m per year for each of the next</t>
  </si>
  <si>
    <t>The YTMs are effective annual yields</t>
  </si>
  <si>
    <t>three years. There are three annual coupon payments, $1, 000 face value bonds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</si>
</sst>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8" fontId="0" fillId="0" borderId="0" xfId="0" applyNumberFormat="1"/>
    <xf numFmtId="2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5" xfId="0" applyBorder="1"/>
    <xf numFmtId="9" fontId="0" fillId="0" borderId="7" xfId="0" applyNumberFormat="1" applyBorder="1"/>
    <xf numFmtId="8" fontId="0" fillId="0" borderId="9" xfId="0" applyNumberFormat="1" applyBorder="1"/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/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6" fontId="0" fillId="2" borderId="7" xfId="0" applyNumberFormat="1" applyFill="1" applyBorder="1" applyAlignment="1">
      <alignment horizontal="center"/>
    </xf>
    <xf numFmtId="6" fontId="0" fillId="2" borderId="9" xfId="0" applyNumberFormat="1" applyFill="1" applyBorder="1" applyAlignment="1">
      <alignment horizontal="center"/>
    </xf>
    <xf numFmtId="8" fontId="0" fillId="2" borderId="0" xfId="0" quotePrefix="1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2" borderId="1" xfId="0" quotePrefix="1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8" fontId="0" fillId="2" borderId="0" xfId="0" applyNumberFormat="1" applyFill="1"/>
    <xf numFmtId="8" fontId="1" fillId="2" borderId="0" xfId="0" applyNumberFormat="1" applyFont="1" applyFill="1"/>
    <xf numFmtId="2" fontId="0" fillId="2" borderId="0" xfId="0" applyNumberFormat="1" applyFill="1"/>
    <xf numFmtId="6" fontId="1" fillId="2" borderId="7" xfId="0" applyNumberFormat="1" applyFont="1" applyFill="1" applyBorder="1" applyAlignment="1">
      <alignment horizontal="center"/>
    </xf>
    <xf numFmtId="8" fontId="0" fillId="2" borderId="0" xfId="0" applyNumberFormat="1" applyFill="1" applyAlignment="1">
      <alignment horizontal="center"/>
    </xf>
    <xf numFmtId="8" fontId="0" fillId="2" borderId="1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B54F-C26F-4C87-B5B4-9E8D08CD1E78}">
  <dimension ref="A2:E64"/>
  <sheetViews>
    <sheetView showGridLines="0" tabSelected="1" zoomScale="160" zoomScaleNormal="160" workbookViewId="0">
      <selection activeCell="B12" sqref="B12"/>
    </sheetView>
  </sheetViews>
  <sheetFormatPr defaultRowHeight="15" x14ac:dyDescent="0.25"/>
  <cols>
    <col min="1" max="1" width="20.28515625" customWidth="1"/>
    <col min="2" max="2" width="23.85546875" bestFit="1" customWidth="1"/>
    <col min="3" max="3" width="14.28515625" bestFit="1" customWidth="1"/>
    <col min="4" max="4" width="20.140625" customWidth="1"/>
  </cols>
  <sheetData>
    <row r="2" spans="1:1" x14ac:dyDescent="0.25">
      <c r="A2" t="s">
        <v>88</v>
      </c>
    </row>
    <row r="3" spans="1:1" x14ac:dyDescent="0.25">
      <c r="A3" t="s">
        <v>81</v>
      </c>
    </row>
    <row r="5" spans="1:1" x14ac:dyDescent="0.25">
      <c r="A5" s="62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9" spans="1:1" x14ac:dyDescent="0.25">
      <c r="A9" s="62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4" spans="1:1" x14ac:dyDescent="0.25">
      <c r="A14" s="62" t="s">
        <v>92</v>
      </c>
    </row>
    <row r="15" spans="1:1" x14ac:dyDescent="0.25">
      <c r="A15" t="s">
        <v>89</v>
      </c>
    </row>
    <row r="16" spans="1:1" x14ac:dyDescent="0.25">
      <c r="A16" t="s">
        <v>90</v>
      </c>
    </row>
    <row r="17" spans="1:2" x14ac:dyDescent="0.25">
      <c r="A17" t="s">
        <v>91</v>
      </c>
    </row>
    <row r="19" spans="1:2" x14ac:dyDescent="0.25">
      <c r="A19" t="s">
        <v>6</v>
      </c>
    </row>
    <row r="21" spans="1:2" x14ac:dyDescent="0.25">
      <c r="A21" s="9" t="s">
        <v>2</v>
      </c>
      <c r="B21" s="15">
        <v>10000</v>
      </c>
    </row>
    <row r="22" spans="1:2" x14ac:dyDescent="0.25">
      <c r="A22" s="10" t="s">
        <v>7</v>
      </c>
      <c r="B22" s="16">
        <v>0.05</v>
      </c>
    </row>
    <row r="23" spans="1:2" x14ac:dyDescent="0.25">
      <c r="A23" s="10" t="s">
        <v>1</v>
      </c>
      <c r="B23" s="11">
        <v>5</v>
      </c>
    </row>
    <row r="24" spans="1:2" x14ac:dyDescent="0.25">
      <c r="A24" s="12" t="s">
        <v>3</v>
      </c>
      <c r="B24" s="17">
        <f>PV(B22,B23,0,-B21,0)</f>
        <v>7835.2616646845891</v>
      </c>
    </row>
    <row r="27" spans="1:2" x14ac:dyDescent="0.25">
      <c r="A27" t="s">
        <v>93</v>
      </c>
    </row>
    <row r="28" spans="1:2" x14ac:dyDescent="0.25">
      <c r="A28" t="s">
        <v>3</v>
      </c>
      <c r="B28" s="2">
        <f>B24</f>
        <v>7835.2616646845891</v>
      </c>
    </row>
    <row r="29" spans="1:2" x14ac:dyDescent="0.25">
      <c r="A29" t="s">
        <v>7</v>
      </c>
      <c r="B29" s="18">
        <v>0.05</v>
      </c>
    </row>
    <row r="30" spans="1:2" x14ac:dyDescent="0.25">
      <c r="A30" t="s">
        <v>1</v>
      </c>
      <c r="B30">
        <v>5</v>
      </c>
    </row>
    <row r="31" spans="1:2" x14ac:dyDescent="0.25">
      <c r="A31" t="s">
        <v>2</v>
      </c>
      <c r="B31" s="2">
        <f>FV(B29,B30,0,-B28)</f>
        <v>10000</v>
      </c>
    </row>
    <row r="32" spans="1:2" x14ac:dyDescent="0.25">
      <c r="A32" t="s">
        <v>8</v>
      </c>
      <c r="B32" t="s">
        <v>9</v>
      </c>
    </row>
    <row r="33" spans="1:5" x14ac:dyDescent="0.25">
      <c r="A33" s="19" t="s">
        <v>4</v>
      </c>
      <c r="B33" s="20" t="s">
        <v>10</v>
      </c>
      <c r="C33" s="20" t="s">
        <v>11</v>
      </c>
      <c r="D33" s="21" t="s">
        <v>12</v>
      </c>
      <c r="E33" s="5"/>
    </row>
    <row r="34" spans="1:5" x14ac:dyDescent="0.25">
      <c r="A34" s="22">
        <v>0.03</v>
      </c>
      <c r="B34" s="44">
        <v>0</v>
      </c>
      <c r="C34" s="45">
        <f>10000</f>
        <v>10000</v>
      </c>
      <c r="D34" s="46">
        <f>B34+C34</f>
        <v>10000</v>
      </c>
      <c r="E34" s="5"/>
    </row>
    <row r="35" spans="1:5" x14ac:dyDescent="0.25">
      <c r="A35" s="22">
        <v>0.05</v>
      </c>
      <c r="B35" s="44">
        <v>0</v>
      </c>
      <c r="C35" s="45">
        <f>10000</f>
        <v>10000</v>
      </c>
      <c r="D35" s="46">
        <f>B35+C35</f>
        <v>10000</v>
      </c>
      <c r="E35" s="5"/>
    </row>
    <row r="36" spans="1:5" x14ac:dyDescent="0.25">
      <c r="A36" s="24">
        <v>7.0000000000000007E-2</v>
      </c>
      <c r="B36" s="47">
        <v>0</v>
      </c>
      <c r="C36" s="48">
        <f>10000</f>
        <v>10000</v>
      </c>
      <c r="D36" s="49">
        <f>B36+C36</f>
        <v>10000</v>
      </c>
      <c r="E36" s="5"/>
    </row>
    <row r="40" spans="1:5" ht="54" customHeight="1" x14ac:dyDescent="0.25">
      <c r="A40" s="63" t="s">
        <v>94</v>
      </c>
      <c r="B40" s="63"/>
      <c r="C40" s="63"/>
      <c r="D40" s="63"/>
    </row>
    <row r="41" spans="1:5" x14ac:dyDescent="0.25">
      <c r="A41" t="s">
        <v>3</v>
      </c>
      <c r="B41" s="2">
        <f>PV(B43,B44,B42,B45,0)</f>
        <v>-1177.6492223543607</v>
      </c>
    </row>
    <row r="42" spans="1:5" x14ac:dyDescent="0.25">
      <c r="A42" t="s">
        <v>0</v>
      </c>
      <c r="B42" s="2">
        <f>1000*8.5%</f>
        <v>85</v>
      </c>
    </row>
    <row r="43" spans="1:5" x14ac:dyDescent="0.25">
      <c r="A43" t="s">
        <v>7</v>
      </c>
      <c r="B43" s="18">
        <v>0.05</v>
      </c>
    </row>
    <row r="44" spans="1:5" x14ac:dyDescent="0.25">
      <c r="A44" t="s">
        <v>1</v>
      </c>
      <c r="B44">
        <v>6</v>
      </c>
    </row>
    <row r="45" spans="1:5" x14ac:dyDescent="0.25">
      <c r="A45" t="s">
        <v>2</v>
      </c>
      <c r="B45" s="2">
        <v>1000</v>
      </c>
    </row>
    <row r="46" spans="1:5" x14ac:dyDescent="0.25">
      <c r="A46" t="s">
        <v>8</v>
      </c>
      <c r="B46" s="2" t="s">
        <v>9</v>
      </c>
    </row>
    <row r="47" spans="1:5" x14ac:dyDescent="0.25">
      <c r="A47" t="s">
        <v>13</v>
      </c>
      <c r="B47" s="26">
        <f>10000/(FV(A51,5,-85,0,0)+PV(A51,1,-85,-1000,0))</f>
        <v>6.6533068726698641</v>
      </c>
    </row>
    <row r="49" spans="1:4" x14ac:dyDescent="0.25">
      <c r="A49" s="19" t="s">
        <v>4</v>
      </c>
      <c r="B49" s="20" t="s">
        <v>10</v>
      </c>
      <c r="C49" s="20" t="s">
        <v>11</v>
      </c>
      <c r="D49" s="21" t="s">
        <v>12</v>
      </c>
    </row>
    <row r="50" spans="1:4" x14ac:dyDescent="0.25">
      <c r="A50" s="22">
        <v>0.03</v>
      </c>
      <c r="B50" s="42">
        <f>FV(A50,5,-85,0,0)*$B$47</f>
        <v>3002.4813306719057</v>
      </c>
      <c r="C50" s="42">
        <f>-PV(A50,1,85,1000,0)*$B$47</f>
        <v>7008.5805406279633</v>
      </c>
      <c r="D50" s="50">
        <f>B50+C50</f>
        <v>10011.061871299869</v>
      </c>
    </row>
    <row r="51" spans="1:4" x14ac:dyDescent="0.25">
      <c r="A51" s="22">
        <v>0.05</v>
      </c>
      <c r="B51" s="42">
        <f>FV(A51,5,-85,0,0)*$B$47</f>
        <v>3124.9162315744734</v>
      </c>
      <c r="C51" s="42">
        <f>-PV(A51,1,85,1000,0)*$B$47</f>
        <v>6875.0837684255257</v>
      </c>
      <c r="D51" s="50">
        <f>B51+C51</f>
        <v>10000</v>
      </c>
    </row>
    <row r="52" spans="1:4" x14ac:dyDescent="0.25">
      <c r="A52" s="24">
        <v>7.0000000000000007E-2</v>
      </c>
      <c r="B52" s="43">
        <f>FV(A52,5,-85,0,0)*$B$47</f>
        <v>3252.2216671439146</v>
      </c>
      <c r="C52" s="43">
        <f t="shared" ref="C52" si="0">-PV(A52,1,85,1000,0)*$B$47</f>
        <v>6746.5775297633663</v>
      </c>
      <c r="D52" s="51">
        <f>B52+C52</f>
        <v>9998.7991969072809</v>
      </c>
    </row>
    <row r="56" spans="1:4" x14ac:dyDescent="0.25">
      <c r="A56" t="s">
        <v>95</v>
      </c>
    </row>
    <row r="57" spans="1:4" x14ac:dyDescent="0.25">
      <c r="A57" t="s">
        <v>14</v>
      </c>
      <c r="B57" t="s">
        <v>15</v>
      </c>
    </row>
    <row r="58" spans="1:4" x14ac:dyDescent="0.25">
      <c r="A58" t="s">
        <v>16</v>
      </c>
      <c r="B58" t="s">
        <v>17</v>
      </c>
    </row>
    <row r="59" spans="1:4" x14ac:dyDescent="0.25">
      <c r="A59" t="s">
        <v>18</v>
      </c>
    </row>
    <row r="60" spans="1:4" x14ac:dyDescent="0.25">
      <c r="A60" t="s">
        <v>19</v>
      </c>
    </row>
    <row r="61" spans="1:4" x14ac:dyDescent="0.25">
      <c r="A61" t="s">
        <v>20</v>
      </c>
    </row>
    <row r="62" spans="1:4" x14ac:dyDescent="0.25">
      <c r="A62" t="s">
        <v>21</v>
      </c>
      <c r="B62" s="56">
        <f>B24</f>
        <v>7835.2616646845891</v>
      </c>
    </row>
    <row r="63" spans="1:4" x14ac:dyDescent="0.25">
      <c r="A63" t="s">
        <v>22</v>
      </c>
      <c r="B63" s="13">
        <f>45.5%*7835.26</f>
        <v>3565.0433000000003</v>
      </c>
    </row>
    <row r="64" spans="1:4" x14ac:dyDescent="0.25">
      <c r="A64" t="s">
        <v>23</v>
      </c>
      <c r="B64" s="13">
        <f>54.5%*7835.26</f>
        <v>4270.2167000000009</v>
      </c>
    </row>
  </sheetData>
  <mergeCells count="1">
    <mergeCell ref="A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6C35-055C-40C1-B982-F2A0AD11BAC0}">
  <dimension ref="A1:N81"/>
  <sheetViews>
    <sheetView showGridLines="0" topLeftCell="A34" zoomScale="130" zoomScaleNormal="130" workbookViewId="0">
      <selection activeCell="E75" sqref="E75:E77"/>
    </sheetView>
  </sheetViews>
  <sheetFormatPr defaultRowHeight="15" x14ac:dyDescent="0.25"/>
  <cols>
    <col min="1" max="1" width="19.5703125" bestFit="1" customWidth="1"/>
    <col min="2" max="2" width="11.85546875" bestFit="1" customWidth="1"/>
    <col min="3" max="5" width="13.5703125" customWidth="1"/>
  </cols>
  <sheetData>
    <row r="1" spans="1:2" x14ac:dyDescent="0.25">
      <c r="A1" t="s">
        <v>96</v>
      </c>
    </row>
    <row r="2" spans="1:2" x14ac:dyDescent="0.25">
      <c r="A2" t="s">
        <v>97</v>
      </c>
    </row>
    <row r="3" spans="1:2" x14ac:dyDescent="0.25">
      <c r="A3" t="s">
        <v>98</v>
      </c>
    </row>
    <row r="4" spans="1:2" x14ac:dyDescent="0.25">
      <c r="A4" t="s">
        <v>99</v>
      </c>
    </row>
    <row r="5" spans="1:2" x14ac:dyDescent="0.25">
      <c r="A5" t="s">
        <v>100</v>
      </c>
    </row>
    <row r="7" spans="1:2" x14ac:dyDescent="0.25">
      <c r="A7" t="s">
        <v>101</v>
      </c>
    </row>
    <row r="8" spans="1:2" x14ac:dyDescent="0.25">
      <c r="A8" t="s">
        <v>102</v>
      </c>
    </row>
    <row r="9" spans="1:2" x14ac:dyDescent="0.25">
      <c r="A9" t="s">
        <v>103</v>
      </c>
    </row>
    <row r="13" spans="1:2" x14ac:dyDescent="0.25">
      <c r="A13" s="9" t="s">
        <v>24</v>
      </c>
      <c r="B13" s="15"/>
    </row>
    <row r="14" spans="1:2" x14ac:dyDescent="0.25">
      <c r="A14" s="10"/>
      <c r="B14" s="11"/>
    </row>
    <row r="15" spans="1:2" x14ac:dyDescent="0.25">
      <c r="A15" s="10" t="s">
        <v>0</v>
      </c>
      <c r="B15" s="11">
        <v>7000</v>
      </c>
    </row>
    <row r="16" spans="1:2" x14ac:dyDescent="0.25">
      <c r="A16" s="10" t="s">
        <v>1</v>
      </c>
      <c r="B16" s="11">
        <v>10</v>
      </c>
    </row>
    <row r="17" spans="1:14" x14ac:dyDescent="0.25">
      <c r="A17" s="12" t="s">
        <v>25</v>
      </c>
      <c r="B17" s="31" t="s">
        <v>26</v>
      </c>
    </row>
    <row r="19" spans="1:14" x14ac:dyDescent="0.25">
      <c r="A19" t="s">
        <v>5</v>
      </c>
      <c r="C19" s="4"/>
      <c r="D19" s="1"/>
      <c r="G19" s="3"/>
      <c r="H19" s="3"/>
      <c r="I19" s="3"/>
      <c r="J19" s="3"/>
      <c r="K19" s="3"/>
      <c r="L19" s="3"/>
    </row>
    <row r="20" spans="1:14" x14ac:dyDescent="0.25">
      <c r="A20" s="6">
        <v>0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</row>
    <row r="21" spans="1:14" x14ac:dyDescent="0.25">
      <c r="A21" s="7"/>
      <c r="B21" s="7"/>
      <c r="C21" s="7"/>
      <c r="D21" s="7">
        <v>7000</v>
      </c>
      <c r="E21" s="7">
        <v>7000</v>
      </c>
      <c r="F21" s="7">
        <v>7000</v>
      </c>
      <c r="G21" s="7">
        <v>7000</v>
      </c>
      <c r="H21" s="7">
        <v>7000</v>
      </c>
      <c r="I21" s="7">
        <v>7000</v>
      </c>
      <c r="J21" s="7">
        <v>7000</v>
      </c>
      <c r="K21" s="7">
        <v>7000</v>
      </c>
      <c r="L21" s="7">
        <v>7000</v>
      </c>
      <c r="M21" s="7">
        <v>7000</v>
      </c>
      <c r="N21" s="4"/>
    </row>
    <row r="22" spans="1:14" x14ac:dyDescent="0.25">
      <c r="A22" s="6" t="s">
        <v>3</v>
      </c>
      <c r="B22" s="6"/>
      <c r="C22" s="8"/>
      <c r="D22" s="32"/>
      <c r="E22" s="6"/>
      <c r="F22" s="6"/>
      <c r="G22" s="33"/>
      <c r="H22" s="33"/>
      <c r="I22" s="33"/>
      <c r="J22" s="33"/>
      <c r="K22" s="33"/>
      <c r="L22" s="8"/>
      <c r="M22" s="6" t="s">
        <v>2</v>
      </c>
    </row>
    <row r="23" spans="1:14" x14ac:dyDescent="0.25">
      <c r="D23" s="1"/>
      <c r="G23" s="3"/>
      <c r="H23" s="3"/>
      <c r="I23" s="3"/>
      <c r="J23" s="3"/>
      <c r="K23" s="3"/>
      <c r="L23" s="3"/>
    </row>
    <row r="25" spans="1:14" x14ac:dyDescent="0.25">
      <c r="A25" t="s">
        <v>27</v>
      </c>
      <c r="B25" t="s">
        <v>9</v>
      </c>
    </row>
    <row r="26" spans="1:14" x14ac:dyDescent="0.25">
      <c r="A26" t="s">
        <v>29</v>
      </c>
      <c r="B26" t="s">
        <v>28</v>
      </c>
    </row>
    <row r="27" spans="1:14" x14ac:dyDescent="0.25">
      <c r="A27" t="s">
        <v>36</v>
      </c>
      <c r="B27" s="18">
        <v>0.08</v>
      </c>
    </row>
    <row r="29" spans="1:14" x14ac:dyDescent="0.25">
      <c r="A29" s="13" t="s">
        <v>30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1" spans="1:14" x14ac:dyDescent="0.25">
      <c r="A31" s="6" t="s">
        <v>31</v>
      </c>
      <c r="B31" s="6" t="s">
        <v>32</v>
      </c>
      <c r="C31" s="6" t="s">
        <v>33</v>
      </c>
      <c r="D31" s="6" t="s">
        <v>34</v>
      </c>
      <c r="E31" s="6" t="s">
        <v>35</v>
      </c>
      <c r="F31" s="5"/>
    </row>
    <row r="32" spans="1:14" x14ac:dyDescent="0.25">
      <c r="A32" s="5">
        <v>1</v>
      </c>
      <c r="B32" s="5">
        <v>7000</v>
      </c>
      <c r="C32" s="52">
        <f>PV($B$27,A32,0,-B32,0)</f>
        <v>6481.4814814814808</v>
      </c>
      <c r="D32" s="53">
        <f>C32/$C$42</f>
        <v>0.1379902673121069</v>
      </c>
      <c r="E32" s="53">
        <f>A32*D32</f>
        <v>0.1379902673121069</v>
      </c>
      <c r="F32" s="5"/>
    </row>
    <row r="33" spans="1:13" x14ac:dyDescent="0.25">
      <c r="A33" s="5">
        <v>2</v>
      </c>
      <c r="B33" s="5">
        <v>7000</v>
      </c>
      <c r="C33" s="52">
        <f>PV($B$27,A33,0,-B33,0)</f>
        <v>6001.371742112482</v>
      </c>
      <c r="D33" s="53">
        <f t="shared" ref="D33:D41" si="0">C33/$C$42</f>
        <v>0.12776876602972861</v>
      </c>
      <c r="E33" s="53">
        <f t="shared" ref="E33:E41" si="1">A33*D33</f>
        <v>0.25553753205945723</v>
      </c>
      <c r="F33" s="5"/>
    </row>
    <row r="34" spans="1:13" x14ac:dyDescent="0.25">
      <c r="A34" s="5">
        <v>3</v>
      </c>
      <c r="B34" s="5">
        <v>7000</v>
      </c>
      <c r="C34" s="52">
        <f t="shared" ref="C34:C41" si="2">PV($B$27,A34,0,-B34,0)</f>
        <v>5556.8256871411868</v>
      </c>
      <c r="D34" s="53">
        <f t="shared" si="0"/>
        <v>0.11830441299048944</v>
      </c>
      <c r="E34" s="53">
        <f t="shared" si="1"/>
        <v>0.35491323897146831</v>
      </c>
      <c r="F34" s="5"/>
    </row>
    <row r="35" spans="1:13" x14ac:dyDescent="0.25">
      <c r="A35" s="5">
        <v>4</v>
      </c>
      <c r="B35" s="5">
        <v>7000</v>
      </c>
      <c r="C35" s="52">
        <f t="shared" si="2"/>
        <v>5145.2089695751729</v>
      </c>
      <c r="D35" s="53">
        <f t="shared" si="0"/>
        <v>0.10954112313934207</v>
      </c>
      <c r="E35" s="53">
        <f t="shared" si="1"/>
        <v>0.43816449255736828</v>
      </c>
      <c r="F35" s="5"/>
    </row>
    <row r="36" spans="1:13" x14ac:dyDescent="0.25">
      <c r="A36" s="5">
        <v>5</v>
      </c>
      <c r="B36" s="5">
        <v>7000</v>
      </c>
      <c r="C36" s="52">
        <f t="shared" si="2"/>
        <v>4764.0823792362708</v>
      </c>
      <c r="D36" s="53">
        <f t="shared" si="0"/>
        <v>0.10142696586976117</v>
      </c>
      <c r="E36" s="53">
        <f t="shared" si="1"/>
        <v>0.50713482934880583</v>
      </c>
      <c r="F36" s="5"/>
    </row>
    <row r="37" spans="1:13" x14ac:dyDescent="0.25">
      <c r="A37" s="5">
        <v>6</v>
      </c>
      <c r="B37" s="5">
        <v>7000</v>
      </c>
      <c r="C37" s="52">
        <f t="shared" si="2"/>
        <v>4411.1873881817319</v>
      </c>
      <c r="D37" s="53">
        <f t="shared" si="0"/>
        <v>9.3913857286815894E-2</v>
      </c>
      <c r="E37" s="53">
        <f t="shared" si="1"/>
        <v>0.56348314372089536</v>
      </c>
      <c r="F37" s="5"/>
    </row>
    <row r="38" spans="1:13" x14ac:dyDescent="0.25">
      <c r="A38" s="5">
        <v>7</v>
      </c>
      <c r="B38" s="5">
        <v>7000</v>
      </c>
      <c r="C38" s="52">
        <f t="shared" si="2"/>
        <v>4084.432766834937</v>
      </c>
      <c r="D38" s="53">
        <f t="shared" si="0"/>
        <v>8.6957275265570275E-2</v>
      </c>
      <c r="E38" s="53">
        <f t="shared" si="1"/>
        <v>0.60870092685899191</v>
      </c>
      <c r="F38" s="5"/>
    </row>
    <row r="39" spans="1:13" x14ac:dyDescent="0.25">
      <c r="A39" s="5">
        <v>8</v>
      </c>
      <c r="B39" s="5">
        <v>7000</v>
      </c>
      <c r="C39" s="52">
        <f t="shared" si="2"/>
        <v>3781.8821915138305</v>
      </c>
      <c r="D39" s="53">
        <f t="shared" si="0"/>
        <v>8.0515995616268765E-2</v>
      </c>
      <c r="E39" s="53">
        <f t="shared" si="1"/>
        <v>0.64412796493015012</v>
      </c>
      <c r="F39" s="5"/>
    </row>
    <row r="40" spans="1:13" x14ac:dyDescent="0.25">
      <c r="A40" s="5">
        <v>9</v>
      </c>
      <c r="B40" s="5">
        <v>7000</v>
      </c>
      <c r="C40" s="52">
        <f t="shared" si="2"/>
        <v>3501.742769920213</v>
      </c>
      <c r="D40" s="53">
        <f t="shared" si="0"/>
        <v>7.455184779284145E-2</v>
      </c>
      <c r="E40" s="53">
        <f t="shared" si="1"/>
        <v>0.67096663013557301</v>
      </c>
      <c r="F40" s="5"/>
    </row>
    <row r="41" spans="1:13" x14ac:dyDescent="0.25">
      <c r="A41" s="6">
        <v>10</v>
      </c>
      <c r="B41" s="6">
        <v>7000</v>
      </c>
      <c r="C41" s="54">
        <f t="shared" si="2"/>
        <v>3242.3544165927897</v>
      </c>
      <c r="D41" s="55">
        <f t="shared" si="0"/>
        <v>6.9029488697075411E-2</v>
      </c>
      <c r="E41" s="55">
        <f t="shared" si="1"/>
        <v>0.69029488697075414</v>
      </c>
      <c r="F41" s="5"/>
    </row>
    <row r="42" spans="1:13" x14ac:dyDescent="0.25">
      <c r="A42" s="5" t="s">
        <v>37</v>
      </c>
      <c r="B42" s="5"/>
      <c r="C42" s="28">
        <f>SUM(C32:C41)</f>
        <v>46970.569792590097</v>
      </c>
      <c r="D42" s="5"/>
      <c r="E42" s="27">
        <f>SUM(E32:E41)</f>
        <v>4.8713139128655714</v>
      </c>
      <c r="F42" s="5"/>
    </row>
    <row r="43" spans="1:13" x14ac:dyDescent="0.25">
      <c r="A43" s="5"/>
      <c r="B43" s="5"/>
      <c r="C43" s="5"/>
      <c r="D43" s="5"/>
      <c r="E43" s="5"/>
      <c r="F43" s="5"/>
    </row>
    <row r="44" spans="1:13" x14ac:dyDescent="0.25">
      <c r="A44" s="5" t="s">
        <v>38</v>
      </c>
      <c r="B44" s="27">
        <f>E42+2</f>
        <v>6.8713139128655714</v>
      </c>
      <c r="C44" s="5"/>
      <c r="D44" s="5"/>
      <c r="E44" s="5"/>
      <c r="F44" s="5"/>
    </row>
    <row r="48" spans="1:13" x14ac:dyDescent="0.25">
      <c r="A48" s="13" t="s">
        <v>39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50" spans="1:13" x14ac:dyDescent="0.25">
      <c r="A50" t="s">
        <v>3</v>
      </c>
      <c r="B50" s="56">
        <f>PV(8%,10,-7000,0,0)/(1+8%)^2</f>
        <v>40269.692894881795</v>
      </c>
    </row>
    <row r="51" spans="1:13" x14ac:dyDescent="0.25">
      <c r="B51" s="2"/>
    </row>
    <row r="52" spans="1:13" x14ac:dyDescent="0.25">
      <c r="A52" t="s">
        <v>47</v>
      </c>
      <c r="B52" s="57">
        <f>FV(8%,10,-7000,0,0)</f>
        <v>101405.93726136893</v>
      </c>
    </row>
    <row r="55" spans="1:13" x14ac:dyDescent="0.25">
      <c r="A55" s="13" t="s">
        <v>40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7" spans="1:13" x14ac:dyDescent="0.25">
      <c r="A57" t="s">
        <v>41</v>
      </c>
    </row>
    <row r="58" spans="1:13" x14ac:dyDescent="0.25">
      <c r="A58" t="s">
        <v>42</v>
      </c>
    </row>
    <row r="59" spans="1:13" x14ac:dyDescent="0.25">
      <c r="A59" t="s">
        <v>43</v>
      </c>
    </row>
    <row r="61" spans="1:13" x14ac:dyDescent="0.25">
      <c r="A61" t="s">
        <v>80</v>
      </c>
    </row>
    <row r="62" spans="1:13" x14ac:dyDescent="0.25">
      <c r="A62" t="s">
        <v>14</v>
      </c>
      <c r="B62" s="58">
        <f xml:space="preserve"> 81.287% * 40269.69</f>
        <v>32734.022910300006</v>
      </c>
    </row>
    <row r="63" spans="1:13" x14ac:dyDescent="0.25">
      <c r="A63" t="s">
        <v>16</v>
      </c>
      <c r="B63" s="58">
        <f>18.713% * 40269.69</f>
        <v>7535.6670897000013</v>
      </c>
    </row>
    <row r="67" spans="1:13" x14ac:dyDescent="0.25">
      <c r="A67" s="13" t="s">
        <v>44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x14ac:dyDescent="0.25">
      <c r="A69" t="s">
        <v>14</v>
      </c>
      <c r="B69" s="58">
        <f>FV(8%,5,0,-B62,0)</f>
        <v>48097.018928718258</v>
      </c>
    </row>
    <row r="70" spans="1:13" x14ac:dyDescent="0.25">
      <c r="A70" t="s">
        <v>16</v>
      </c>
      <c r="B70" s="58">
        <f>FV(8%,15,0,-B63,0)</f>
        <v>23904.410396826719</v>
      </c>
    </row>
    <row r="71" spans="1:13" x14ac:dyDescent="0.25">
      <c r="B71" s="3"/>
    </row>
    <row r="72" spans="1:13" x14ac:dyDescent="0.25">
      <c r="A72" t="s">
        <v>49</v>
      </c>
      <c r="B72" s="3"/>
    </row>
    <row r="74" spans="1:13" ht="30" customHeight="1" x14ac:dyDescent="0.25">
      <c r="A74" s="19" t="s">
        <v>4</v>
      </c>
      <c r="B74" s="29" t="s">
        <v>10</v>
      </c>
      <c r="C74" s="29" t="s">
        <v>48</v>
      </c>
      <c r="D74" s="30" t="s">
        <v>79</v>
      </c>
    </row>
    <row r="75" spans="1:13" x14ac:dyDescent="0.25">
      <c r="A75" s="22">
        <v>0.06</v>
      </c>
      <c r="B75" s="42">
        <v>0</v>
      </c>
      <c r="C75" s="42">
        <f>$B$69*(1+A75)^7+PV(A75,3,0,-$B$70,0)</f>
        <v>92390.736947194557</v>
      </c>
      <c r="D75" s="50">
        <f>B75+C75</f>
        <v>92390.736947194557</v>
      </c>
      <c r="E75" s="2"/>
    </row>
    <row r="76" spans="1:13" x14ac:dyDescent="0.25">
      <c r="A76" s="22">
        <v>0.08</v>
      </c>
      <c r="B76" s="42">
        <v>0</v>
      </c>
      <c r="C76" s="42">
        <f>$B$69*(1+A76)^7+PV(A76,3,0,-$B$70,0)</f>
        <v>101405.92997156412</v>
      </c>
      <c r="D76" s="59">
        <f>B76+C76</f>
        <v>101405.92997156412</v>
      </c>
      <c r="E76" s="2"/>
    </row>
    <row r="77" spans="1:13" x14ac:dyDescent="0.25">
      <c r="A77" s="24">
        <v>0.1</v>
      </c>
      <c r="B77" s="43">
        <v>0</v>
      </c>
      <c r="C77" s="43">
        <f>$B$69*(1+A77)^7+PV(A77,3,0,-$B$70,0)</f>
        <v>111687.22058337848</v>
      </c>
      <c r="D77" s="51">
        <f>B77+C77</f>
        <v>111687.22058337848</v>
      </c>
      <c r="E77" s="2"/>
    </row>
    <row r="79" spans="1:13" x14ac:dyDescent="0.25">
      <c r="A79" s="13" t="s">
        <v>45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x14ac:dyDescent="0.25">
      <c r="A80" t="s">
        <v>78</v>
      </c>
    </row>
    <row r="81" spans="1:1" x14ac:dyDescent="0.25">
      <c r="A8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4C65-3F77-407A-97A9-AD6229DADF17}">
  <dimension ref="A1:N59"/>
  <sheetViews>
    <sheetView showGridLines="0" topLeftCell="A25" workbookViewId="0">
      <selection activeCell="F51" sqref="F51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5" width="13.5703125" customWidth="1"/>
    <col min="6" max="8" width="11.140625" customWidth="1"/>
    <col min="9" max="9" width="15.140625" customWidth="1"/>
    <col min="10" max="13" width="11.140625" customWidth="1"/>
  </cols>
  <sheetData>
    <row r="1" spans="1:13" x14ac:dyDescent="0.25">
      <c r="A1" t="s">
        <v>104</v>
      </c>
    </row>
    <row r="2" spans="1:13" x14ac:dyDescent="0.25">
      <c r="A2" t="s">
        <v>105</v>
      </c>
    </row>
    <row r="3" spans="1:13" x14ac:dyDescent="0.25">
      <c r="A3" t="s">
        <v>106</v>
      </c>
    </row>
    <row r="5" spans="1:13" x14ac:dyDescent="0.25">
      <c r="A5" t="s">
        <v>107</v>
      </c>
    </row>
    <row r="6" spans="1:13" x14ac:dyDescent="0.25">
      <c r="A6" t="s">
        <v>109</v>
      </c>
    </row>
    <row r="7" spans="1:13" x14ac:dyDescent="0.25">
      <c r="A7" t="s">
        <v>108</v>
      </c>
    </row>
    <row r="9" spans="1:13" x14ac:dyDescent="0.25">
      <c r="A9" s="9" t="s">
        <v>24</v>
      </c>
      <c r="B9" s="15"/>
    </row>
    <row r="10" spans="1:13" x14ac:dyDescent="0.25">
      <c r="A10" s="10"/>
      <c r="B10" s="11"/>
    </row>
    <row r="11" spans="1:13" x14ac:dyDescent="0.25">
      <c r="A11" s="10" t="s">
        <v>0</v>
      </c>
      <c r="B11" s="11">
        <v>1000000</v>
      </c>
    </row>
    <row r="12" spans="1:13" x14ac:dyDescent="0.25">
      <c r="A12" s="10" t="s">
        <v>1</v>
      </c>
      <c r="B12" s="11">
        <v>3</v>
      </c>
    </row>
    <row r="13" spans="1:13" x14ac:dyDescent="0.25">
      <c r="A13" s="12"/>
      <c r="B13" s="31"/>
    </row>
    <row r="15" spans="1:13" x14ac:dyDescent="0.25">
      <c r="A15" t="s">
        <v>5</v>
      </c>
      <c r="C15" s="4"/>
      <c r="D15" s="1"/>
      <c r="G15" s="3"/>
      <c r="H15" s="3"/>
      <c r="I15" s="3"/>
      <c r="J15" s="3"/>
      <c r="K15" s="3"/>
      <c r="L15" s="3"/>
    </row>
    <row r="16" spans="1:13" x14ac:dyDescent="0.25">
      <c r="A16" s="6">
        <v>0</v>
      </c>
      <c r="B16" s="6">
        <v>1</v>
      </c>
      <c r="C16" s="6">
        <v>2</v>
      </c>
      <c r="D16" s="6">
        <v>3</v>
      </c>
      <c r="E16" s="6"/>
      <c r="F16" s="6"/>
      <c r="G16" s="6"/>
      <c r="H16" s="6"/>
      <c r="I16" s="6"/>
      <c r="J16" s="6"/>
      <c r="K16" s="6"/>
      <c r="L16" s="6"/>
      <c r="M16" s="6"/>
    </row>
    <row r="17" spans="1:14" x14ac:dyDescent="0.25">
      <c r="A17" s="7"/>
      <c r="B17" s="7">
        <v>1000000</v>
      </c>
      <c r="C17" s="7">
        <v>1000000</v>
      </c>
      <c r="D17" s="7">
        <v>1000000</v>
      </c>
      <c r="E17" s="7"/>
      <c r="F17" s="7"/>
      <c r="G17" s="7"/>
      <c r="H17" s="7"/>
      <c r="I17" s="7"/>
      <c r="J17" s="7"/>
      <c r="K17" s="7"/>
      <c r="L17" s="7"/>
      <c r="M17" s="7"/>
      <c r="N17" s="4"/>
    </row>
    <row r="18" spans="1:14" x14ac:dyDescent="0.25">
      <c r="A18" s="6" t="s">
        <v>3</v>
      </c>
      <c r="B18" s="6"/>
      <c r="C18" s="8"/>
      <c r="D18" s="32" t="s">
        <v>2</v>
      </c>
      <c r="E18" s="6"/>
      <c r="F18" s="6"/>
      <c r="G18" s="33"/>
      <c r="H18" s="33"/>
      <c r="I18" s="33"/>
      <c r="J18" s="33"/>
      <c r="K18" s="33"/>
      <c r="L18" s="8"/>
      <c r="M18" s="6"/>
    </row>
    <row r="19" spans="1:14" x14ac:dyDescent="0.25">
      <c r="D19" s="1"/>
      <c r="G19" s="3"/>
      <c r="H19" s="3"/>
      <c r="I19" s="3"/>
      <c r="J19" s="3"/>
      <c r="K19" s="3"/>
      <c r="L19" s="3"/>
    </row>
    <row r="20" spans="1:14" x14ac:dyDescent="0.25">
      <c r="A20" s="19"/>
      <c r="B20" s="20" t="s">
        <v>53</v>
      </c>
      <c r="C20" s="20" t="s">
        <v>54</v>
      </c>
      <c r="D20" s="20" t="s">
        <v>55</v>
      </c>
      <c r="E20" s="21" t="s">
        <v>56</v>
      </c>
    </row>
    <row r="21" spans="1:14" x14ac:dyDescent="0.25">
      <c r="A21" s="34" t="s">
        <v>50</v>
      </c>
      <c r="B21" s="5">
        <v>1</v>
      </c>
      <c r="C21" s="5">
        <v>0</v>
      </c>
      <c r="D21" s="35">
        <v>0.06</v>
      </c>
      <c r="E21" s="36">
        <f>-PV(D21,B21,C21,1000,0)</f>
        <v>943.39622641509425</v>
      </c>
    </row>
    <row r="22" spans="1:14" x14ac:dyDescent="0.25">
      <c r="A22" s="34" t="s">
        <v>51</v>
      </c>
      <c r="B22" s="5">
        <v>2</v>
      </c>
      <c r="C22" s="5">
        <v>50</v>
      </c>
      <c r="D22" s="35">
        <v>6.5000000000000002E-2</v>
      </c>
      <c r="E22" s="36">
        <f t="shared" ref="E22:E23" si="0">-PV(D22,B22,C22,1000,0)</f>
        <v>972.69060371619378</v>
      </c>
    </row>
    <row r="23" spans="1:14" x14ac:dyDescent="0.25">
      <c r="A23" s="37" t="s">
        <v>52</v>
      </c>
      <c r="B23" s="6">
        <v>3</v>
      </c>
      <c r="C23" s="6">
        <v>65</v>
      </c>
      <c r="D23" s="32">
        <v>7.0000000000000007E-2</v>
      </c>
      <c r="E23" s="38">
        <f t="shared" si="0"/>
        <v>986.87841977791788</v>
      </c>
    </row>
    <row r="25" spans="1:14" x14ac:dyDescent="0.25">
      <c r="B25" s="18"/>
    </row>
    <row r="27" spans="1:14" x14ac:dyDescent="0.25">
      <c r="A27" s="13" t="s">
        <v>57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9" spans="1:14" x14ac:dyDescent="0.25">
      <c r="A29" t="s">
        <v>59</v>
      </c>
      <c r="D29" s="56">
        <f>1000000/1065</f>
        <v>938.96713615023475</v>
      </c>
    </row>
    <row r="30" spans="1:14" x14ac:dyDescent="0.25">
      <c r="A30" t="s">
        <v>58</v>
      </c>
      <c r="D30" s="56">
        <f>1000000-D29*65</f>
        <v>938967.13615023473</v>
      </c>
    </row>
    <row r="32" spans="1:14" x14ac:dyDescent="0.25">
      <c r="A32" s="13" t="s">
        <v>60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4" spans="1:13" x14ac:dyDescent="0.25">
      <c r="A34" t="s">
        <v>61</v>
      </c>
      <c r="D34" s="56">
        <f>D30/1050</f>
        <v>894.25441538117593</v>
      </c>
    </row>
    <row r="35" spans="1:13" x14ac:dyDescent="0.25">
      <c r="A35" t="s">
        <v>62</v>
      </c>
      <c r="D35" s="56">
        <f>1000000-D29*65-D34*50</f>
        <v>894254.41538117593</v>
      </c>
    </row>
    <row r="37" spans="1:13" x14ac:dyDescent="0.25">
      <c r="A37" s="13" t="s">
        <v>66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9" spans="1:13" x14ac:dyDescent="0.25">
      <c r="A39" t="s">
        <v>63</v>
      </c>
      <c r="D39" s="56">
        <f>D35/1000</f>
        <v>894.25441538117593</v>
      </c>
    </row>
    <row r="40" spans="1:13" x14ac:dyDescent="0.25">
      <c r="A40" t="s">
        <v>64</v>
      </c>
      <c r="D40" s="56">
        <f>1000000-D29*65-D34*50-D39*1000</f>
        <v>0</v>
      </c>
    </row>
    <row r="42" spans="1:13" x14ac:dyDescent="0.25">
      <c r="A42" t="s">
        <v>65</v>
      </c>
    </row>
    <row r="44" spans="1:13" x14ac:dyDescent="0.25">
      <c r="A44" s="13" t="s">
        <v>45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6" spans="1:13" x14ac:dyDescent="0.25">
      <c r="A46" s="39" t="s">
        <v>67</v>
      </c>
      <c r="B46" s="14" t="s">
        <v>6</v>
      </c>
      <c r="C46" s="14" t="s">
        <v>68</v>
      </c>
      <c r="D46" s="14" t="s">
        <v>69</v>
      </c>
      <c r="E46" s="14" t="s">
        <v>70</v>
      </c>
      <c r="F46" s="14" t="s">
        <v>71</v>
      </c>
      <c r="G46" s="14" t="s">
        <v>72</v>
      </c>
      <c r="H46" s="14" t="s">
        <v>73</v>
      </c>
      <c r="I46" s="40" t="s">
        <v>74</v>
      </c>
    </row>
    <row r="47" spans="1:13" x14ac:dyDescent="0.25">
      <c r="A47" s="34">
        <v>3</v>
      </c>
      <c r="B47" s="5">
        <v>1000000</v>
      </c>
      <c r="C47" s="23">
        <f>$D$29</f>
        <v>938.96713615023475</v>
      </c>
      <c r="D47" s="60">
        <f>65*C47+1000*C47</f>
        <v>1000000</v>
      </c>
      <c r="E47" s="23"/>
      <c r="F47" s="5"/>
      <c r="G47" s="23"/>
      <c r="H47" s="5"/>
      <c r="I47" s="36">
        <f>SUM(D47,F47,H47)</f>
        <v>1000000</v>
      </c>
    </row>
    <row r="48" spans="1:13" x14ac:dyDescent="0.25">
      <c r="A48" s="34">
        <v>2</v>
      </c>
      <c r="B48" s="5">
        <v>1000000</v>
      </c>
      <c r="C48" s="23">
        <f>$D$29</f>
        <v>938.96713615023475</v>
      </c>
      <c r="D48" s="60">
        <f>65*C48</f>
        <v>61032.863849765257</v>
      </c>
      <c r="E48" s="23">
        <f>$D$34</f>
        <v>894.25441538117593</v>
      </c>
      <c r="F48" s="60">
        <f>50*E48+1000*E48</f>
        <v>938967.13615023473</v>
      </c>
      <c r="G48" s="23"/>
      <c r="H48" s="5"/>
      <c r="I48" s="36">
        <f t="shared" ref="I48" si="1">SUM(D48,F48,H48)</f>
        <v>1000000</v>
      </c>
    </row>
    <row r="49" spans="1:13" x14ac:dyDescent="0.25">
      <c r="A49" s="37">
        <v>1</v>
      </c>
      <c r="B49" s="6">
        <v>1000000</v>
      </c>
      <c r="C49" s="25">
        <f>$D$29</f>
        <v>938.96713615023475</v>
      </c>
      <c r="D49" s="61">
        <f>65*C49</f>
        <v>61032.863849765257</v>
      </c>
      <c r="E49" s="25">
        <f>$D$34</f>
        <v>894.25441538117593</v>
      </c>
      <c r="F49" s="61">
        <f>50*E49</f>
        <v>44712.720769058797</v>
      </c>
      <c r="G49" s="25">
        <f>$D$39</f>
        <v>894.25441538117593</v>
      </c>
      <c r="H49" s="61">
        <f>1000*G49</f>
        <v>894254.41538117593</v>
      </c>
      <c r="I49" s="38">
        <f>SUM(D49,F49,H49)</f>
        <v>1000000</v>
      </c>
    </row>
    <row r="50" spans="1:13" x14ac:dyDescent="0.25">
      <c r="A50" s="37" t="s">
        <v>37</v>
      </c>
      <c r="B50" s="6"/>
      <c r="C50" s="6"/>
      <c r="D50" s="6"/>
      <c r="E50" s="6"/>
      <c r="F50" s="6"/>
      <c r="G50" s="6"/>
      <c r="H50" s="6"/>
      <c r="I50" s="38">
        <f>SUM(I47:I49)</f>
        <v>3000000</v>
      </c>
    </row>
    <row r="53" spans="1:13" x14ac:dyDescent="0.25">
      <c r="A53" t="s">
        <v>5</v>
      </c>
      <c r="C53" s="4"/>
      <c r="D53" s="1"/>
      <c r="G53" s="3"/>
      <c r="H53" s="3"/>
      <c r="I53" s="3"/>
      <c r="J53" s="3"/>
      <c r="K53" s="3"/>
      <c r="L53" s="3"/>
    </row>
    <row r="54" spans="1:13" x14ac:dyDescent="0.25">
      <c r="A54" s="6">
        <v>0</v>
      </c>
      <c r="B54" s="6">
        <v>1</v>
      </c>
      <c r="C54" s="6">
        <v>2</v>
      </c>
      <c r="D54" s="6">
        <v>3</v>
      </c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>
        <v>1000000</v>
      </c>
      <c r="C55" s="7">
        <v>1000000</v>
      </c>
      <c r="D55" s="7">
        <v>1000000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5" t="s">
        <v>77</v>
      </c>
      <c r="B56" s="28">
        <f>65*$C$47</f>
        <v>61032.863849765257</v>
      </c>
      <c r="C56" s="28">
        <f t="shared" ref="C56" si="2">65*$C$47</f>
        <v>61032.863849765257</v>
      </c>
      <c r="D56" s="28">
        <f>1065*$C$47</f>
        <v>1000000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A57" s="5" t="s">
        <v>76</v>
      </c>
      <c r="B57" s="28">
        <f>50*$E$48</f>
        <v>44712.720769058797</v>
      </c>
      <c r="C57" s="28">
        <f>1050*$E$48</f>
        <v>938967.13615023473</v>
      </c>
      <c r="D57" s="28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s="6" t="s">
        <v>75</v>
      </c>
      <c r="B58" s="41">
        <f>1000*$G$49</f>
        <v>894254.41538117593</v>
      </c>
      <c r="C58" s="41"/>
      <c r="D58" s="41"/>
      <c r="E58" s="6"/>
      <c r="F58" s="6"/>
      <c r="G58" s="33"/>
      <c r="H58" s="33"/>
      <c r="I58" s="33"/>
      <c r="J58" s="33"/>
      <c r="K58" s="33"/>
      <c r="L58" s="8"/>
      <c r="M58" s="6"/>
    </row>
    <row r="59" spans="1:13" x14ac:dyDescent="0.25">
      <c r="A59" s="5" t="s">
        <v>37</v>
      </c>
      <c r="B59" s="2">
        <f>SUM(B56:B58)</f>
        <v>1000000</v>
      </c>
      <c r="C59" s="2">
        <f t="shared" ref="C59:D59" si="3">SUM(C56:C58)</f>
        <v>1000000</v>
      </c>
      <c r="D59" s="2">
        <f t="shared" si="3"/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Single-period Immunization</vt:lpstr>
      <vt:lpstr>Multip-period immunization</vt:lpstr>
      <vt:lpstr>Cash flow immunization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</dc:creator>
  <cp:lastModifiedBy>Shunji Mei</cp:lastModifiedBy>
  <dcterms:created xsi:type="dcterms:W3CDTF">2022-09-10T11:46:38Z</dcterms:created>
  <dcterms:modified xsi:type="dcterms:W3CDTF">2024-05-16T01:22:37Z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2024-05-16T00:12:16Z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229709d9-39a9-426d-9ba9-cb984a9b4093</vt:lpwstr>
  </property>
  <property fmtid="{D5CDD505-2E9C-101B-9397-08002B2CF9AE}" pid="8" name="MSIP_Label_0f488380-630a-4f55-a077-a19445e3f360_ContentBits">
    <vt:lpwstr>0</vt:lpwstr>
  </property>
</Properties>
</file>