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gus\Downloads\"/>
    </mc:Choice>
  </mc:AlternateContent>
  <xr:revisionPtr revIDLastSave="0" documentId="13_ncr:1_{2985ACD9-BC45-4AE4-9FAC-662940AA38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28" i="2"/>
  <c r="E27" i="2"/>
  <c r="E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6" i="2"/>
  <c r="E11" i="2"/>
  <c r="E12" i="2"/>
  <c r="E13" i="2"/>
  <c r="B12" i="2"/>
  <c r="B13" i="2"/>
  <c r="B11" i="2"/>
  <c r="E6" i="2"/>
  <c r="B6" i="2"/>
  <c r="A18" i="2"/>
  <c r="F38" i="2"/>
  <c r="E38" i="2"/>
  <c r="E20" i="2"/>
  <c r="E21" i="2"/>
  <c r="E19" i="2"/>
  <c r="B14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G38" i="2" s="1"/>
  <c r="I14" i="1"/>
  <c r="I15" i="1"/>
  <c r="I16" i="1"/>
  <c r="I17" i="1"/>
  <c r="I18" i="1"/>
  <c r="I19" i="1"/>
  <c r="I20" i="1"/>
  <c r="I21" i="1"/>
  <c r="I22" i="1"/>
  <c r="L2" i="1" l="1"/>
  <c r="H3" i="1" s="1"/>
  <c r="H5" i="1" l="1"/>
  <c r="H7" i="1"/>
  <c r="H9" i="1"/>
  <c r="H11" i="1"/>
  <c r="H13" i="1"/>
  <c r="H15" i="1"/>
  <c r="H17" i="1"/>
  <c r="H19" i="1"/>
  <c r="H21" i="1"/>
  <c r="H4" i="1"/>
  <c r="H6" i="1"/>
  <c r="H8" i="1"/>
  <c r="H10" i="1"/>
  <c r="H12" i="1"/>
  <c r="H14" i="1"/>
  <c r="H16" i="1"/>
  <c r="H18" i="1"/>
  <c r="H20" i="1"/>
  <c r="H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D3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Mike: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<sst xmlns="http://schemas.openxmlformats.org/spreadsheetml/2006/main" count="167" uniqueCount="73">
  <si>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</si>
  <si>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</si>
  <si>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</si>
  <si>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</si>
  <si>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</si>
  <si>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</si>
  <si>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</si>
  <si>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</si>
  <si>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</si>
  <si>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</si>
  <si>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</si>
  <si>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</si>
  <si>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</si>
  <si>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</si>
  <si>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</si>
  <si>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</si>
  <si>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</si>
  <si>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</si>
  <si>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</si>
  <si>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</si>
  <si>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</si>
  <si>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</si>
  <si>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</si>
  <si>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</si>
  <si>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</si>
  <si>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</si>
  <si>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</si>
  <si>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</si>
  <si>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</si>
  <si>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</si>
  <si>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</si>
  <si>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</si>
  <si>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</si>
  <si>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</si>
  <si>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</si>
  <si>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</si>
  <si>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</si>
  <si>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</si>
  <si>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</si>
  <si>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Ocupación</t>
  </si>
  <si>
    <t>Provincia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</si>
  <si>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</si>
  <si>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</si>
  <si>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</si>
  <si>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</si>
  <si>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</si>
  <si>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</si>
  <si>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</si>
  <si>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</si>
  <si>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</si>
  <si>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</si>
  <si>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</si>
  <si>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</si>
  <si>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</si>
  <si>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</si>
  <si>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Punto Nº 1</t>
  </si>
  <si>
    <t>Administrativos</t>
  </si>
  <si>
    <t>Punto Nº 2</t>
  </si>
  <si>
    <t>Invertido</t>
  </si>
  <si>
    <t>Punto Nº 3</t>
  </si>
  <si>
    <t>Recaudación</t>
  </si>
  <si>
    <t xml:space="preserve">Mejor Recaudación: </t>
  </si>
  <si>
    <t>Punto N°4</t>
  </si>
  <si>
    <t>Punto N°6</t>
  </si>
  <si>
    <t>Punto N°7</t>
  </si>
  <si>
    <t>Euro Hoy</t>
  </si>
  <si>
    <t>Nombre</t>
  </si>
  <si>
    <t>Sueldo en Euros</t>
  </si>
  <si>
    <t>Cantidad</t>
  </si>
  <si>
    <t>Inversion en Pesos
por provincia</t>
  </si>
  <si>
    <t>Punto N°9</t>
  </si>
  <si>
    <t>793,28</t>
  </si>
  <si>
    <t>Punto N°8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</si>
</sst>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dd/mm/yyyy;@"/>
    <numFmt numFmtId="165" formatCode="&quot;$&quot;\ #,##0.00"/>
    <numFmt numFmtId="166" formatCode="#,##0.00\ [$€-C0A]"/>
    <numFmt numFmtId="167" formatCode="[$USD]\ #,##0.00;\-[$USD]\ #,##0.00"/>
    <numFmt numFmtId="168" formatCode="[$ARS]\ #,##0.00;\-[$ARS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2"/>
      <color indexed="9"/>
      <name val="Arial"/>
      <family val="2"/>
    </font>
    <font>
      <b/>
      <sz val="12"/>
      <color indexed="18"/>
      <name val="Arial"/>
      <family val="2"/>
    </font>
    <font>
      <sz val="2"/>
      <color theme="0"/>
      <name val="Calibri"/>
      <family val="2"/>
      <scheme val="minor"/>
    </font>
    <font>
      <sz val="15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56"/>
      </right>
      <top style="medium">
        <color indexed="5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 applyAlignment="1">
      <alignment horizontal="center" wrapText="1"/>
    </xf>
    <xf numFmtId="1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0" fillId="3" borderId="9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2" fillId="2" borderId="12" xfId="0" applyFont="1" applyFill="1" applyBorder="1" applyAlignment="1">
      <alignment horizontal="center" vertical="center" wrapText="1"/>
    </xf>
    <xf numFmtId="0" fontId="11" fillId="0" borderId="0" xfId="0" applyFont="1"/>
    <xf numFmtId="0" fontId="9" fillId="4" borderId="0" xfId="0" applyFont="1" applyFill="1" applyAlignment="1">
      <alignment horizontal="center" vertical="center"/>
    </xf>
    <xf numFmtId="44" fontId="12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" fontId="0" fillId="3" borderId="9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165" fontId="14" fillId="3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5" fontId="14" fillId="3" borderId="21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166" fontId="14" fillId="3" borderId="9" xfId="0" applyNumberFormat="1" applyFont="1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168" fontId="0" fillId="3" borderId="9" xfId="1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49" fontId="13" fillId="4" borderId="9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14" fillId="3" borderId="14" xfId="0" applyNumberFormat="1" applyFont="1" applyFill="1" applyBorder="1" applyAlignment="1">
      <alignment horizontal="center" vertical="center"/>
    </xf>
    <xf numFmtId="165" fontId="14" fillId="3" borderId="15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0" fillId="4" borderId="1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6">
    <dxf>
      <numFmt numFmtId="167" formatCode="[$USD]\ #,##0.00;\-[$USD]\ #,##0.00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ARS]\ #,##0.00;\-[$ARS]\ #,##0.00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thin">
          <color indexed="64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4" formatCode="dd/mm/yyyy;@"/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Punto N°9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resumen!$D$26:$D$28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resumen!$E$26:$E$28</c:f>
              <c:numCache>
                <c:formatCode>"$"\ #,##0.00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48AD-A9FC-77170B516F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Punto N°4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B-44EF-8515-24153FC5BEE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B-44EF-8515-24153FC5BEE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AB-44EF-8515-24153FC5B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resumen!$D$11:$D$13</c:f>
              <c:strCache>
                <c:ptCount val="3"/>
                <c:pt idx="0">
                  <c:v>Abogado</c:v>
                </c:pt>
                <c:pt idx="1">
                  <c:v>Gerente</c:v>
                </c:pt>
                <c:pt idx="2">
                  <c:v>Administrativo</c:v>
                </c:pt>
              </c:strCache>
            </c:strRef>
          </c:cat>
          <c:val>
            <c:numRef>
              <c:f>resumen!$E$11:$E$13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B-44EF-8515-24153FC5BE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Punto N°6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D-4505-8861-2C247467F92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D-4505-8861-2C247467F92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D-4505-8861-2C247467F9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resumen!$D$19:$D$21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resumen!$E$19:$E$21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D-4505-8861-2C247467F9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</xdr:row>
      <xdr:rowOff>171450</xdr:rowOff>
    </xdr:from>
    <xdr:to>
      <xdr:col>17</xdr:col>
      <xdr:colOff>295274</xdr:colOff>
      <xdr:row>9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867899" y="361950"/>
          <a:ext cx="5534025" cy="20955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  <xdr:twoCellAnchor>
    <xdr:from>
      <xdr:col>6</xdr:col>
      <xdr:colOff>257175</xdr:colOff>
      <xdr:row>23</xdr:row>
      <xdr:rowOff>4762</xdr:rowOff>
    </xdr:from>
    <xdr:to>
      <xdr:col>12</xdr:col>
      <xdr:colOff>247650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AAB2D-5DA2-98F2-6C16-767A759D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</xdr:row>
      <xdr:rowOff>104775</xdr:rowOff>
    </xdr:from>
    <xdr:to>
      <xdr:col>7</xdr:col>
      <xdr:colOff>247650</xdr:colOff>
      <xdr:row>17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A31296-F58C-455C-9630-08E8FAB0E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</xdr:row>
      <xdr:rowOff>114300</xdr:rowOff>
    </xdr:from>
    <xdr:to>
      <xdr:col>15</xdr:col>
      <xdr:colOff>9525</xdr:colOff>
      <xdr:row>18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486C4A-4CB7-4E42-9CA4-B77AC881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5" headerRowBorderDxfId="14" tableBorderDxfId="13">
  <autoFilter ref="L4:M7" xr:uid="{00000000-0009-0000-0100-000001000000}"/>
  <tableColumns count="2">
    <tableColumn id="1" xr3:uid="{00000000-0010-0000-0000-000001000000}" name="CARGO" dataDxfId="12"/>
    <tableColumn id="2" xr3:uid="{00000000-0010-0000-0000-000002000000}" name="SUELDO" dataDxfId="1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10">
  <tableColumns count="10">
    <tableColumn id="1" xr3:uid="{00000000-0010-0000-0100-000001000000}" name="LEGAJO" dataDxfId="9"/>
    <tableColumn id="2" xr3:uid="{00000000-0010-0000-0100-000002000000}" name="NOMBRE" dataDxfId="8"/>
    <tableColumn id="3" xr3:uid="{00000000-0010-0000-0100-000003000000}" name="FECHA DE NAC." dataDxfId="7"/>
    <tableColumn id="4" xr3:uid="{00000000-0010-0000-0100-000004000000}" name="LOCALIDAD" dataDxfId="6"/>
    <tableColumn id="5" xr3:uid="{00000000-0010-0000-0100-000005000000}" name="PROVINCIA" dataDxfId="5"/>
    <tableColumn id="6" xr3:uid="{00000000-0010-0000-0100-000006000000}" name="CARGO" dataDxfId="4"/>
    <tableColumn id="7" xr3:uid="{00000000-0010-0000-0100-000007000000}" name="AÑOS DE TRABAJO" dataDxfId="3"/>
    <tableColumn id="8" xr3:uid="{00000000-0010-0000-0100-000008000000}" name="Edad del empleado" dataDxfId="2">
      <calculatedColumnFormula>($L$2-Tabla_empleados[[#This Row],[FECHA DE NAC.]] )/365</calculatedColumnFormula>
    </tableColumn>
    <tableColumn id="9" xr3:uid="{00000000-0010-0000-0100-000009000000}" name="Sueldo en Pesos" dataDxfId="1" dataCellStyle="Moneda">
      <calculatedColumnFormula>VLOOKUP(Tabla_empleados[[#This Row],[CARGO]],tabla_sueldos[],2,FALSE)</calculatedColumnFormula>
    </tableColumn>
    <tableColumn id="10" xr3:uid="{00000000-0010-0000-0100-00000A000000}" name="Sueldo En Dolares" dataDxfId="0">
      <calculatedColumnFormula>VLOOKUP(Tabla_empleados[[#This Row],[CARGO]],tabla_sueldos[],2,FALSE) / $N$3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zoomScale="80" zoomScaleNormal="80" workbookViewId="0">
      <selection activeCell="N18" sqref="N18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4.42578125" customWidth="1"/>
    <col min="6" max="6" width="16.42578125" customWidth="1"/>
    <col min="7" max="7" width="19.28515625" bestFit="1" customWidth="1"/>
    <col min="8" max="8" width="11" customWidth="1"/>
    <col min="9" max="9" width="17.85546875" customWidth="1"/>
    <col min="10" max="10" width="19.85546875" customWidth="1"/>
    <col min="12" max="12" width="15" bestFit="1" customWidth="1"/>
    <col min="13" max="13" width="15.140625" bestFit="1" customWidth="1"/>
    <col min="14" max="14" width="12.85546875" bestFit="1" customWidth="1"/>
  </cols>
  <sheetData>
    <row r="1" spans="1:14 16383:16383" ht="19.5" customHeight="1" thickBot="1" x14ac:dyDescent="0.3">
      <c r="A1" s="3"/>
      <c r="G1" s="2"/>
      <c r="XFC1">
        <v>9</v>
      </c>
    </row>
    <row r="2" spans="1:14 16383:16383" ht="30" customHeight="1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37</v>
      </c>
      <c r="G2" s="8" t="s">
        <v>25</v>
      </c>
      <c r="H2" s="21" t="s">
        <v>53</v>
      </c>
      <c r="I2" s="21" t="s">
        <v>54</v>
      </c>
      <c r="J2" s="21" t="s">
        <v>49</v>
      </c>
      <c r="L2" s="22">
        <f ca="1">TODAY()</f>
        <v>45193</v>
      </c>
      <c r="N2" s="19" t="s">
        <v>50</v>
      </c>
    </row>
    <row r="3" spans="1:14 16383:16383" ht="24.95" customHeight="1" thickBot="1" x14ac:dyDescent="0.3">
      <c r="A3" s="4">
        <v>1</v>
      </c>
      <c r="B3" s="4" t="s">
        <v>5</v>
      </c>
      <c r="C3" s="23">
        <v>35949</v>
      </c>
      <c r="D3" s="4" t="s">
        <v>26</v>
      </c>
      <c r="E3" s="4" t="s">
        <v>31</v>
      </c>
      <c r="F3" s="4" t="s">
        <v>36</v>
      </c>
      <c r="G3" s="13">
        <v>5</v>
      </c>
      <c r="H3" s="25">
        <f ca="1">($L$2-Tabla_empleados[[#This Row],[FECHA DE NAC.]] )/365</f>
        <v>25.326027397260273</v>
      </c>
      <c r="I3" s="37">
        <f>VLOOKUP(Tabla_empleados[[#This Row],[CARGO]],tabla_sueldos[],2,FALSE)</f>
        <v>3000000</v>
      </c>
      <c r="J3" s="36">
        <f>VLOOKUP(Tabla_empleados[[#This Row],[CARGO]],tabla_sueldos[],2,FALSE) / $N$3</f>
        <v>4054.0540540540542</v>
      </c>
      <c r="K3" s="15"/>
      <c r="N3" s="20">
        <v>740</v>
      </c>
    </row>
    <row r="4" spans="1:14 16383:16383" ht="24.95" customHeight="1" thickBot="1" x14ac:dyDescent="0.3">
      <c r="A4" s="1">
        <v>2</v>
      </c>
      <c r="B4" s="1" t="s">
        <v>6</v>
      </c>
      <c r="C4" s="24">
        <v>20068</v>
      </c>
      <c r="D4" s="1" t="s">
        <v>26</v>
      </c>
      <c r="E4" s="1" t="s">
        <v>31</v>
      </c>
      <c r="F4" s="1" t="s">
        <v>35</v>
      </c>
      <c r="G4" s="14">
        <v>23</v>
      </c>
      <c r="H4" s="25">
        <f ca="1">($L$2-Tabla_empleados[[#This Row],[FECHA DE NAC.]] )/365</f>
        <v>68.835616438356169</v>
      </c>
      <c r="I4" s="37">
        <f>VLOOKUP(Tabla_empleados[[#This Row],[CARGO]],tabla_sueldos[],2,FALSE)</f>
        <v>1200000</v>
      </c>
      <c r="J4" s="36">
        <f>VLOOKUP(Tabla_empleados[[#This Row],[CARGO]],tabla_sueldos[],2,FALSE) / $N$3</f>
        <v>1621.6216216216217</v>
      </c>
      <c r="K4" s="15"/>
      <c r="L4" s="17" t="s">
        <v>37</v>
      </c>
      <c r="M4" s="17" t="s">
        <v>38</v>
      </c>
    </row>
    <row r="5" spans="1:14 16383:16383" ht="24.95" customHeight="1" thickBot="1" x14ac:dyDescent="0.3">
      <c r="A5" s="1">
        <v>3</v>
      </c>
      <c r="B5" s="1" t="s">
        <v>7</v>
      </c>
      <c r="C5" s="24">
        <v>23352</v>
      </c>
      <c r="D5" s="1" t="s">
        <v>26</v>
      </c>
      <c r="E5" s="1" t="s">
        <v>31</v>
      </c>
      <c r="F5" s="1" t="s">
        <v>35</v>
      </c>
      <c r="G5" s="14">
        <v>1</v>
      </c>
      <c r="H5" s="25">
        <f ca="1">($L$2-Tabla_empleados[[#This Row],[FECHA DE NAC.]] )/365</f>
        <v>59.838356164383562</v>
      </c>
      <c r="I5" s="37">
        <f>VLOOKUP(Tabla_empleados[[#This Row],[CARGO]],tabla_sueldos[],2,FALSE)</f>
        <v>1200000</v>
      </c>
      <c r="J5" s="36">
        <f>VLOOKUP(Tabla_empleados[[#This Row],[CARGO]],tabla_sueldos[],2,FALSE) / $N$3</f>
        <v>1621.6216216216217</v>
      </c>
      <c r="K5" s="15"/>
      <c r="L5" s="16" t="s">
        <v>34</v>
      </c>
      <c r="M5" s="9">
        <v>650000</v>
      </c>
    </row>
    <row r="6" spans="1:14 16383:16383" ht="24.95" customHeight="1" thickBot="1" x14ac:dyDescent="0.3">
      <c r="A6" s="1">
        <v>4</v>
      </c>
      <c r="B6" s="1" t="s">
        <v>8</v>
      </c>
      <c r="C6" s="24">
        <v>33156</v>
      </c>
      <c r="D6" s="1" t="s">
        <v>26</v>
      </c>
      <c r="E6" s="1" t="s">
        <v>31</v>
      </c>
      <c r="F6" s="1" t="s">
        <v>35</v>
      </c>
      <c r="G6" s="14">
        <v>9</v>
      </c>
      <c r="H6" s="25">
        <f ca="1">($L$2-Tabla_empleados[[#This Row],[FECHA DE NAC.]] )/365</f>
        <v>32.978082191780821</v>
      </c>
      <c r="I6" s="37">
        <f>VLOOKUP(Tabla_empleados[[#This Row],[CARGO]],tabla_sueldos[],2,FALSE)</f>
        <v>1200000</v>
      </c>
      <c r="J6" s="36">
        <f>VLOOKUP(Tabla_empleados[[#This Row],[CARGO]],tabla_sueldos[],2,FALSE) / $N$3</f>
        <v>1621.6216216216217</v>
      </c>
      <c r="K6" s="15"/>
      <c r="L6" s="16" t="s">
        <v>35</v>
      </c>
      <c r="M6" s="9">
        <v>1200000</v>
      </c>
    </row>
    <row r="7" spans="1:14 16383:16383" ht="24.95" customHeight="1" thickBot="1" x14ac:dyDescent="0.3">
      <c r="A7" s="1">
        <v>5</v>
      </c>
      <c r="B7" s="1" t="s">
        <v>9</v>
      </c>
      <c r="C7" s="24">
        <v>31222</v>
      </c>
      <c r="D7" s="1" t="s">
        <v>27</v>
      </c>
      <c r="E7" s="1" t="s">
        <v>32</v>
      </c>
      <c r="F7" s="1" t="s">
        <v>35</v>
      </c>
      <c r="G7" s="14">
        <v>7</v>
      </c>
      <c r="H7" s="25">
        <f ca="1">($L$2-Tabla_empleados[[#This Row],[FECHA DE NAC.]] )/365</f>
        <v>38.276712328767125</v>
      </c>
      <c r="I7" s="37">
        <f>VLOOKUP(Tabla_empleados[[#This Row],[CARGO]],tabla_sueldos[],2,FALSE)</f>
        <v>1200000</v>
      </c>
      <c r="J7" s="36">
        <f>VLOOKUP(Tabla_empleados[[#This Row],[CARGO]],tabla_sueldos[],2,FALSE) / $N$3</f>
        <v>1621.6216216216217</v>
      </c>
      <c r="K7" s="15"/>
      <c r="L7" s="16" t="s">
        <v>36</v>
      </c>
      <c r="M7" s="9">
        <v>3000000</v>
      </c>
    </row>
    <row r="8" spans="1:14 16383:16383" ht="24.95" customHeight="1" thickBot="1" x14ac:dyDescent="0.3">
      <c r="A8" s="1">
        <v>6</v>
      </c>
      <c r="B8" s="1" t="s">
        <v>10</v>
      </c>
      <c r="C8" s="24">
        <v>26697</v>
      </c>
      <c r="D8" s="1" t="s">
        <v>27</v>
      </c>
      <c r="E8" s="1" t="s">
        <v>32</v>
      </c>
      <c r="F8" s="1" t="s">
        <v>35</v>
      </c>
      <c r="G8" s="14">
        <v>5</v>
      </c>
      <c r="H8" s="25">
        <f ca="1">($L$2-Tabla_empleados[[#This Row],[FECHA DE NAC.]] )/365</f>
        <v>50.673972602739724</v>
      </c>
      <c r="I8" s="37">
        <f>VLOOKUP(Tabla_empleados[[#This Row],[CARGO]],tabla_sueldos[],2,FALSE)</f>
        <v>1200000</v>
      </c>
      <c r="J8" s="36">
        <f>VLOOKUP(Tabla_empleados[[#This Row],[CARGO]],tabla_sueldos[],2,FALSE) / $N$3</f>
        <v>1621.6216216216217</v>
      </c>
      <c r="K8" s="15"/>
    </row>
    <row r="9" spans="1:14 16383:16383" ht="24.95" customHeight="1" thickBot="1" x14ac:dyDescent="0.3">
      <c r="A9" s="1">
        <v>7</v>
      </c>
      <c r="B9" s="1" t="s">
        <v>11</v>
      </c>
      <c r="C9" s="24">
        <v>34952</v>
      </c>
      <c r="D9" s="1" t="s">
        <v>27</v>
      </c>
      <c r="E9" s="1" t="s">
        <v>32</v>
      </c>
      <c r="F9" s="1" t="s">
        <v>35</v>
      </c>
      <c r="G9" s="14">
        <v>8</v>
      </c>
      <c r="H9" s="25">
        <f ca="1">($L$2-Tabla_empleados[[#This Row],[FECHA DE NAC.]] )/365</f>
        <v>28.057534246575344</v>
      </c>
      <c r="I9" s="37">
        <f>VLOOKUP(Tabla_empleados[[#This Row],[CARGO]],tabla_sueldos[],2,FALSE)</f>
        <v>1200000</v>
      </c>
      <c r="J9" s="36">
        <f>VLOOKUP(Tabla_empleados[[#This Row],[CARGO]],tabla_sueldos[],2,FALSE) / $N$3</f>
        <v>1621.6216216216217</v>
      </c>
      <c r="K9" s="15"/>
    </row>
    <row r="10" spans="1:14 16383:16383" ht="24.95" customHeight="1" thickBot="1" x14ac:dyDescent="0.3">
      <c r="A10" s="1">
        <v>8</v>
      </c>
      <c r="B10" s="1" t="s">
        <v>12</v>
      </c>
      <c r="C10" s="24">
        <v>35139</v>
      </c>
      <c r="D10" s="1" t="s">
        <v>27</v>
      </c>
      <c r="E10" s="1" t="s">
        <v>32</v>
      </c>
      <c r="F10" s="1" t="s">
        <v>35</v>
      </c>
      <c r="G10" s="14">
        <v>12</v>
      </c>
      <c r="H10" s="25">
        <f ca="1">($L$2-Tabla_empleados[[#This Row],[FECHA DE NAC.]] )/365</f>
        <v>27.545205479452054</v>
      </c>
      <c r="I10" s="37">
        <f>VLOOKUP(Tabla_empleados[[#This Row],[CARGO]],tabla_sueldos[],2,FALSE)</f>
        <v>1200000</v>
      </c>
      <c r="J10" s="36">
        <f>VLOOKUP(Tabla_empleados[[#This Row],[CARGO]],tabla_sueldos[],2,FALSE) / $N$3</f>
        <v>1621.6216216216217</v>
      </c>
      <c r="K10" s="15"/>
    </row>
    <row r="11" spans="1:14 16383:16383" ht="24.95" customHeight="1" thickBot="1" x14ac:dyDescent="0.3">
      <c r="A11" s="1">
        <v>9</v>
      </c>
      <c r="B11" s="1" t="s">
        <v>13</v>
      </c>
      <c r="C11" s="24">
        <v>30241</v>
      </c>
      <c r="D11" s="1" t="s">
        <v>28</v>
      </c>
      <c r="E11" s="1" t="s">
        <v>33</v>
      </c>
      <c r="F11" s="1" t="s">
        <v>34</v>
      </c>
      <c r="G11" s="14">
        <v>10</v>
      </c>
      <c r="H11" s="25">
        <f ca="1">($L$2-Tabla_empleados[[#This Row],[FECHA DE NAC.]] )/365</f>
        <v>40.964383561643835</v>
      </c>
      <c r="I11" s="37">
        <f>VLOOKUP(Tabla_empleados[[#This Row],[CARGO]],tabla_sueldos[],2,FALSE)</f>
        <v>650000</v>
      </c>
      <c r="J11" s="36">
        <f>VLOOKUP(Tabla_empleados[[#This Row],[CARGO]],tabla_sueldos[],2,FALSE) / $N$3</f>
        <v>878.37837837837833</v>
      </c>
      <c r="K11" s="15"/>
    </row>
    <row r="12" spans="1:14 16383:16383" ht="24.95" customHeight="1" thickBot="1" x14ac:dyDescent="0.3">
      <c r="A12" s="1">
        <v>10</v>
      </c>
      <c r="B12" s="1" t="s">
        <v>14</v>
      </c>
      <c r="C12" s="24">
        <v>31607</v>
      </c>
      <c r="D12" s="1" t="s">
        <v>28</v>
      </c>
      <c r="E12" s="1" t="s">
        <v>33</v>
      </c>
      <c r="F12" s="1" t="s">
        <v>34</v>
      </c>
      <c r="G12" s="14">
        <v>2</v>
      </c>
      <c r="H12" s="25">
        <f ca="1">($L$2-Tabla_empleados[[#This Row],[FECHA DE NAC.]] )/365</f>
        <v>37.221917808219175</v>
      </c>
      <c r="I12" s="37">
        <f>VLOOKUP(Tabla_empleados[[#This Row],[CARGO]],tabla_sueldos[],2,FALSE)</f>
        <v>650000</v>
      </c>
      <c r="J12" s="36">
        <f>VLOOKUP(Tabla_empleados[[#This Row],[CARGO]],tabla_sueldos[],2,FALSE) / $N$3</f>
        <v>878.37837837837833</v>
      </c>
      <c r="K12" s="15"/>
    </row>
    <row r="13" spans="1:14 16383:16383" ht="24.95" customHeight="1" thickBot="1" x14ac:dyDescent="0.3">
      <c r="A13" s="1">
        <v>11</v>
      </c>
      <c r="B13" s="1" t="s">
        <v>15</v>
      </c>
      <c r="C13" s="24">
        <v>34226</v>
      </c>
      <c r="D13" s="1" t="s">
        <v>28</v>
      </c>
      <c r="E13" s="1" t="s">
        <v>33</v>
      </c>
      <c r="F13" s="1" t="s">
        <v>34</v>
      </c>
      <c r="G13" s="14">
        <v>1</v>
      </c>
      <c r="H13" s="25">
        <f ca="1">($L$2-Tabla_empleados[[#This Row],[FECHA DE NAC.]] )/365</f>
        <v>30.046575342465754</v>
      </c>
      <c r="I13" s="37">
        <f>VLOOKUP(Tabla_empleados[[#This Row],[CARGO]],tabla_sueldos[],2,FALSE)</f>
        <v>650000</v>
      </c>
      <c r="J13" s="36">
        <f>VLOOKUP(Tabla_empleados[[#This Row],[CARGO]],tabla_sueldos[],2,FALSE) / $N$3</f>
        <v>878.37837837837833</v>
      </c>
      <c r="K13" s="15"/>
    </row>
    <row r="14" spans="1:14 16383:16383" ht="24.95" customHeight="1" thickBot="1" x14ac:dyDescent="0.3">
      <c r="A14" s="1">
        <v>12</v>
      </c>
      <c r="B14" s="1" t="s">
        <v>16</v>
      </c>
      <c r="C14" s="24">
        <v>25600</v>
      </c>
      <c r="D14" s="1" t="s">
        <v>28</v>
      </c>
      <c r="E14" s="1" t="s">
        <v>33</v>
      </c>
      <c r="F14" s="1" t="s">
        <v>35</v>
      </c>
      <c r="G14" s="14">
        <v>11</v>
      </c>
      <c r="H14" s="25">
        <f ca="1">($L$2-Tabla_empleados[[#This Row],[FECHA DE NAC.]] )/365</f>
        <v>53.679452054794524</v>
      </c>
      <c r="I14" s="37">
        <f>VLOOKUP(Tabla_empleados[[#This Row],[CARGO]],tabla_sueldos[],2,FALSE)</f>
        <v>1200000</v>
      </c>
      <c r="J14" s="36">
        <f>VLOOKUP(Tabla_empleados[[#This Row],[CARGO]],tabla_sueldos[],2,FALSE) / $N$3</f>
        <v>1621.6216216216217</v>
      </c>
      <c r="K14" s="15"/>
    </row>
    <row r="15" spans="1:14 16383:16383" ht="24.95" customHeight="1" thickBot="1" x14ac:dyDescent="0.3">
      <c r="A15" s="1">
        <v>13</v>
      </c>
      <c r="B15" s="1" t="s">
        <v>17</v>
      </c>
      <c r="C15" s="24">
        <v>32651</v>
      </c>
      <c r="D15" s="1" t="s">
        <v>28</v>
      </c>
      <c r="E15" s="1" t="s">
        <v>33</v>
      </c>
      <c r="F15" s="1" t="s">
        <v>35</v>
      </c>
      <c r="G15" s="14">
        <v>2</v>
      </c>
      <c r="H15" s="25">
        <f ca="1">($L$2-Tabla_empleados[[#This Row],[FECHA DE NAC.]] )/365</f>
        <v>34.361643835616441</v>
      </c>
      <c r="I15" s="37">
        <f>VLOOKUP(Tabla_empleados[[#This Row],[CARGO]],tabla_sueldos[],2,FALSE)</f>
        <v>1200000</v>
      </c>
      <c r="J15" s="36">
        <f>VLOOKUP(Tabla_empleados[[#This Row],[CARGO]],tabla_sueldos[],2,FALSE) / $N$3</f>
        <v>1621.6216216216217</v>
      </c>
      <c r="K15" s="15"/>
    </row>
    <row r="16" spans="1:14 16383:16383" ht="24.95" customHeight="1" thickBot="1" x14ac:dyDescent="0.3">
      <c r="A16" s="1">
        <v>14</v>
      </c>
      <c r="B16" s="1" t="s">
        <v>18</v>
      </c>
      <c r="C16" s="24">
        <v>33101</v>
      </c>
      <c r="D16" s="1" t="s">
        <v>28</v>
      </c>
      <c r="E16" s="1" t="s">
        <v>33</v>
      </c>
      <c r="F16" s="1" t="s">
        <v>34</v>
      </c>
      <c r="G16" s="14">
        <v>3</v>
      </c>
      <c r="H16" s="25">
        <f ca="1">($L$2-Tabla_empleados[[#This Row],[FECHA DE NAC.]] )/365</f>
        <v>33.128767123287673</v>
      </c>
      <c r="I16" s="37">
        <f>VLOOKUP(Tabla_empleados[[#This Row],[CARGO]],tabla_sueldos[],2,FALSE)</f>
        <v>650000</v>
      </c>
      <c r="J16" s="36">
        <f>VLOOKUP(Tabla_empleados[[#This Row],[CARGO]],tabla_sueldos[],2,FALSE) / $N$3</f>
        <v>878.37837837837833</v>
      </c>
      <c r="K16" s="15"/>
    </row>
    <row r="17" spans="1:11" ht="24.95" customHeight="1" thickBot="1" x14ac:dyDescent="0.3">
      <c r="A17" s="1">
        <v>15</v>
      </c>
      <c r="B17" s="1" t="s">
        <v>19</v>
      </c>
      <c r="C17" s="24">
        <v>36558</v>
      </c>
      <c r="D17" s="1" t="s">
        <v>28</v>
      </c>
      <c r="E17" s="1" t="s">
        <v>33</v>
      </c>
      <c r="F17" s="1" t="s">
        <v>34</v>
      </c>
      <c r="G17" s="14">
        <v>5</v>
      </c>
      <c r="H17" s="25">
        <f ca="1">($L$2-Tabla_empleados[[#This Row],[FECHA DE NAC.]] )/365</f>
        <v>23.657534246575342</v>
      </c>
      <c r="I17" s="37">
        <f>VLOOKUP(Tabla_empleados[[#This Row],[CARGO]],tabla_sueldos[],2,FALSE)</f>
        <v>650000</v>
      </c>
      <c r="J17" s="36">
        <f>VLOOKUP(Tabla_empleados[[#This Row],[CARGO]],tabla_sueldos[],2,FALSE) / $N$3</f>
        <v>878.37837837837833</v>
      </c>
      <c r="K17" s="15"/>
    </row>
    <row r="18" spans="1:11" ht="24.95" customHeight="1" thickBot="1" x14ac:dyDescent="0.3">
      <c r="A18" s="1">
        <v>16</v>
      </c>
      <c r="B18" s="1" t="s">
        <v>20</v>
      </c>
      <c r="C18" s="24">
        <v>35046</v>
      </c>
      <c r="D18" s="1" t="s">
        <v>29</v>
      </c>
      <c r="E18" s="1" t="s">
        <v>33</v>
      </c>
      <c r="F18" s="1" t="s">
        <v>36</v>
      </c>
      <c r="G18" s="14">
        <v>5</v>
      </c>
      <c r="H18" s="25">
        <f ca="1">($L$2-Tabla_empleados[[#This Row],[FECHA DE NAC.]] )/365</f>
        <v>27.8</v>
      </c>
      <c r="I18" s="37">
        <f>VLOOKUP(Tabla_empleados[[#This Row],[CARGO]],tabla_sueldos[],2,FALSE)</f>
        <v>3000000</v>
      </c>
      <c r="J18" s="36">
        <f>VLOOKUP(Tabla_empleados[[#This Row],[CARGO]],tabla_sueldos[],2,FALSE) / $N$3</f>
        <v>4054.0540540540542</v>
      </c>
      <c r="K18" s="15"/>
    </row>
    <row r="19" spans="1:11" ht="24.95" customHeight="1" thickBot="1" x14ac:dyDescent="0.3">
      <c r="A19" s="1">
        <v>17</v>
      </c>
      <c r="B19" s="1" t="s">
        <v>21</v>
      </c>
      <c r="C19" s="24">
        <v>29177</v>
      </c>
      <c r="D19" s="1" t="s">
        <v>30</v>
      </c>
      <c r="E19" s="1" t="s">
        <v>31</v>
      </c>
      <c r="F19" s="1" t="s">
        <v>35</v>
      </c>
      <c r="G19" s="14">
        <v>25</v>
      </c>
      <c r="H19" s="25">
        <f ca="1">($L$2-Tabla_empleados[[#This Row],[FECHA DE NAC.]] )/365</f>
        <v>43.87945205479452</v>
      </c>
      <c r="I19" s="37">
        <f>VLOOKUP(Tabla_empleados[[#This Row],[CARGO]],tabla_sueldos[],2,FALSE)</f>
        <v>1200000</v>
      </c>
      <c r="J19" s="36">
        <f>VLOOKUP(Tabla_empleados[[#This Row],[CARGO]],tabla_sueldos[],2,FALSE) / $N$3</f>
        <v>1621.6216216216217</v>
      </c>
      <c r="K19" s="15"/>
    </row>
    <row r="20" spans="1:11" ht="24.95" customHeight="1" thickBot="1" x14ac:dyDescent="0.3">
      <c r="A20" s="1">
        <v>18</v>
      </c>
      <c r="B20" s="1" t="s">
        <v>22</v>
      </c>
      <c r="C20" s="24">
        <v>30136</v>
      </c>
      <c r="D20" s="1" t="s">
        <v>30</v>
      </c>
      <c r="E20" s="1" t="s">
        <v>31</v>
      </c>
      <c r="F20" s="1" t="s">
        <v>34</v>
      </c>
      <c r="G20" s="14">
        <v>6</v>
      </c>
      <c r="H20" s="25">
        <f ca="1">($L$2-Tabla_empleados[[#This Row],[FECHA DE NAC.]] )/365</f>
        <v>41.252054794520546</v>
      </c>
      <c r="I20" s="37">
        <f>VLOOKUP(Tabla_empleados[[#This Row],[CARGO]],tabla_sueldos[],2,FALSE)</f>
        <v>650000</v>
      </c>
      <c r="J20" s="36">
        <f>VLOOKUP(Tabla_empleados[[#This Row],[CARGO]],tabla_sueldos[],2,FALSE) / $N$3</f>
        <v>878.37837837837833</v>
      </c>
      <c r="K20" s="15"/>
    </row>
    <row r="21" spans="1:11" ht="24.95" customHeight="1" thickBot="1" x14ac:dyDescent="0.3">
      <c r="A21" s="1">
        <v>19</v>
      </c>
      <c r="B21" s="1" t="s">
        <v>23</v>
      </c>
      <c r="C21" s="24">
        <v>36161</v>
      </c>
      <c r="D21" s="1" t="s">
        <v>30</v>
      </c>
      <c r="E21" s="1" t="s">
        <v>31</v>
      </c>
      <c r="F21" s="1" t="s">
        <v>34</v>
      </c>
      <c r="G21" s="14">
        <v>9</v>
      </c>
      <c r="H21" s="25">
        <f ca="1">($L$2-Tabla_empleados[[#This Row],[FECHA DE NAC.]] )/365</f>
        <v>24.745205479452054</v>
      </c>
      <c r="I21" s="37">
        <f>VLOOKUP(Tabla_empleados[[#This Row],[CARGO]],tabla_sueldos[],2,FALSE)</f>
        <v>650000</v>
      </c>
      <c r="J21" s="36">
        <f>VLOOKUP(Tabla_empleados[[#This Row],[CARGO]],tabla_sueldos[],2,FALSE) / $N$3</f>
        <v>878.37837837837833</v>
      </c>
      <c r="K21" s="15"/>
    </row>
    <row r="22" spans="1:11" ht="24.95" customHeight="1" thickBot="1" x14ac:dyDescent="0.3">
      <c r="A22" s="1">
        <v>20</v>
      </c>
      <c r="B22" s="1" t="s">
        <v>24</v>
      </c>
      <c r="C22" s="24">
        <v>27123</v>
      </c>
      <c r="D22" s="1" t="s">
        <v>30</v>
      </c>
      <c r="E22" s="1" t="s">
        <v>31</v>
      </c>
      <c r="F22" s="1" t="s">
        <v>35</v>
      </c>
      <c r="G22" s="14">
        <v>2</v>
      </c>
      <c r="H22" s="25">
        <f ca="1">($L$2-Tabla_empleados[[#This Row],[FECHA DE NAC.]] )/365</f>
        <v>49.506849315068493</v>
      </c>
      <c r="I22" s="37">
        <f>VLOOKUP(Tabla_empleados[[#This Row],[CARGO]],tabla_sueldos[],2,FALSE)</f>
        <v>1200000</v>
      </c>
      <c r="J22" s="36">
        <f>VLOOKUP(Tabla_empleados[[#This Row],[CARGO]],tabla_sueldos[],2,FALSE) / $N$3</f>
        <v>1621.6216216216217</v>
      </c>
      <c r="K22" s="15"/>
    </row>
    <row r="23" spans="1:11" ht="24.95" customHeight="1" x14ac:dyDescent="0.25"/>
    <row r="24" spans="1:11" ht="24.95" customHeight="1" x14ac:dyDescent="0.25"/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46"/>
  <sheetViews>
    <sheetView tabSelected="1" topLeftCell="A16" workbookViewId="0">
      <selection activeCell="I32" sqref="I32"/>
    </sheetView>
  </sheetViews>
  <sheetFormatPr baseColWidth="10" defaultRowHeight="15" x14ac:dyDescent="0.25"/>
  <cols>
    <col min="1" max="1" width="18.5703125" bestFit="1" customWidth="1"/>
    <col min="2" max="2" width="22.28515625" bestFit="1" customWidth="1"/>
    <col min="3" max="3" width="18.42578125" customWidth="1"/>
    <col min="4" max="4" width="24" bestFit="1" customWidth="1"/>
    <col min="5" max="5" width="22.28515625" bestFit="1" customWidth="1"/>
    <col min="6" max="6" width="13.85546875" customWidth="1"/>
    <col min="7" max="7" width="11.5703125" bestFit="1" customWidth="1"/>
  </cols>
  <sheetData>
    <row r="4" spans="1:5" ht="27" customHeight="1" x14ac:dyDescent="0.25">
      <c r="A4" s="38" t="s">
        <v>55</v>
      </c>
      <c r="B4" s="39"/>
      <c r="D4" s="38" t="s">
        <v>57</v>
      </c>
      <c r="E4" s="39"/>
    </row>
    <row r="5" spans="1:5" ht="30" customHeight="1" thickBot="1" x14ac:dyDescent="0.3">
      <c r="A5" s="11" t="s">
        <v>40</v>
      </c>
      <c r="B5" s="10" t="s">
        <v>56</v>
      </c>
      <c r="D5" s="11" t="s">
        <v>40</v>
      </c>
      <c r="E5" s="10" t="s">
        <v>58</v>
      </c>
    </row>
    <row r="6" spans="1:5" ht="30" customHeight="1" x14ac:dyDescent="0.25">
      <c r="A6" s="27" t="s">
        <v>32</v>
      </c>
      <c r="B6" s="28">
        <f>COUNTIF(Tabla_empleados[PROVINCIA], A6)</f>
        <v>4</v>
      </c>
      <c r="D6" s="27" t="s">
        <v>33</v>
      </c>
      <c r="E6" s="29">
        <f>SUMIF(Tabla_empleados[CARGO],'HOJA DE DATOS'!L7,Tabla_empleados[Sueldo en Pesos])</f>
        <v>6000000</v>
      </c>
    </row>
    <row r="9" spans="1:5" ht="27" customHeight="1" x14ac:dyDescent="0.25">
      <c r="A9" s="38" t="s">
        <v>59</v>
      </c>
      <c r="B9" s="39"/>
      <c r="D9" s="38" t="s">
        <v>62</v>
      </c>
      <c r="E9" s="39"/>
    </row>
    <row r="10" spans="1:5" ht="30" customHeight="1" thickBot="1" x14ac:dyDescent="0.3">
      <c r="A10" s="11" t="s">
        <v>40</v>
      </c>
      <c r="B10" s="10" t="s">
        <v>60</v>
      </c>
      <c r="D10" s="11" t="s">
        <v>39</v>
      </c>
      <c r="E10" s="10" t="s">
        <v>68</v>
      </c>
    </row>
    <row r="11" spans="1:5" ht="30" customHeight="1" thickBot="1" x14ac:dyDescent="0.3">
      <c r="A11" s="26" t="s">
        <v>31</v>
      </c>
      <c r="B11" s="29">
        <f>SUMIF(Tabla_empleados[PROVINCIA],A11,Tabla_empleados[Sueldo en Pesos])</f>
        <v>10300000</v>
      </c>
      <c r="D11" s="26" t="s">
        <v>36</v>
      </c>
      <c r="E11" s="28">
        <f>COUNTIF(Tabla_empleados[CARGO],D11)</f>
        <v>2</v>
      </c>
    </row>
    <row r="12" spans="1:5" ht="30" customHeight="1" thickBot="1" x14ac:dyDescent="0.3">
      <c r="A12" s="26" t="s">
        <v>32</v>
      </c>
      <c r="B12" s="29">
        <f>SUMIF(Tabla_empleados[PROVINCIA],A12,Tabla_empleados[Sueldo en Pesos])</f>
        <v>4800000</v>
      </c>
      <c r="D12" s="26" t="s">
        <v>35</v>
      </c>
      <c r="E12" s="28">
        <f>COUNTIF(Tabla_empleados[CARGO],D12)</f>
        <v>11</v>
      </c>
    </row>
    <row r="13" spans="1:5" ht="30" customHeight="1" thickBot="1" x14ac:dyDescent="0.3">
      <c r="A13" s="30" t="s">
        <v>33</v>
      </c>
      <c r="B13" s="31">
        <f>SUMIF(Tabla_empleados[PROVINCIA],A13,Tabla_empleados[Sueldo en Pesos])</f>
        <v>8650000</v>
      </c>
      <c r="D13" s="26" t="s">
        <v>34</v>
      </c>
      <c r="E13" s="28">
        <f>COUNTIF(Tabla_empleados[CARGO],D13)</f>
        <v>7</v>
      </c>
    </row>
    <row r="14" spans="1:5" ht="25.5" x14ac:dyDescent="0.25">
      <c r="A14" s="32" t="s">
        <v>61</v>
      </c>
      <c r="B14" s="33" t="str">
        <f>IF(MAX(B11,B12,B13) = B11, "Cordoba", IF(MAX(B11,B12,B13) = B12, "Santa Fe", "Buenos Aires"))</f>
        <v>Cordoba</v>
      </c>
    </row>
    <row r="17" spans="1:6" ht="27" customHeight="1" x14ac:dyDescent="0.25">
      <c r="A17" s="38" t="s">
        <v>48</v>
      </c>
      <c r="B17" s="39"/>
      <c r="D17" s="38" t="s">
        <v>63</v>
      </c>
      <c r="E17" s="39"/>
    </row>
    <row r="18" spans="1:6" ht="30" customHeight="1" thickBot="1" x14ac:dyDescent="0.3">
      <c r="A18" s="55">
        <f>COUNTIF(Tabla_empleados[AÑOS DE TRABAJO],"&gt;5")</f>
        <v>10</v>
      </c>
      <c r="B18" s="56"/>
      <c r="D18" s="11" t="s">
        <v>40</v>
      </c>
      <c r="E18" s="10" t="s">
        <v>47</v>
      </c>
    </row>
    <row r="19" spans="1:6" ht="30" customHeight="1" thickBot="1" x14ac:dyDescent="0.3">
      <c r="D19" s="26" t="s">
        <v>31</v>
      </c>
      <c r="E19" s="28">
        <f>COUNTIF(Tabla_empleados[PROVINCIA],D19)</f>
        <v>8</v>
      </c>
    </row>
    <row r="20" spans="1:6" ht="30" customHeight="1" thickBot="1" x14ac:dyDescent="0.3">
      <c r="D20" s="26" t="s">
        <v>32</v>
      </c>
      <c r="E20" s="28">
        <f>COUNTIF(Tabla_empleados[PROVINCIA],D20)</f>
        <v>4</v>
      </c>
    </row>
    <row r="21" spans="1:6" ht="30" customHeight="1" thickBot="1" x14ac:dyDescent="0.3">
      <c r="D21" s="26" t="s">
        <v>33</v>
      </c>
      <c r="E21" s="28">
        <f>COUNTIF(Tabla_empleados[PROVINCIA],D21)</f>
        <v>8</v>
      </c>
    </row>
    <row r="24" spans="1:6" ht="27" customHeight="1" x14ac:dyDescent="0.25">
      <c r="A24" s="38" t="s">
        <v>64</v>
      </c>
      <c r="B24" s="39"/>
      <c r="D24" s="42" t="s">
        <v>70</v>
      </c>
      <c r="E24" s="43"/>
    </row>
    <row r="25" spans="1:6" ht="30.75" thickBot="1" x14ac:dyDescent="0.3">
      <c r="A25" s="11" t="s">
        <v>66</v>
      </c>
      <c r="B25" s="10" t="s">
        <v>67</v>
      </c>
      <c r="D25" s="11" t="s">
        <v>40</v>
      </c>
      <c r="E25" s="44" t="s">
        <v>69</v>
      </c>
    </row>
    <row r="26" spans="1:6" ht="30" customHeight="1" thickBot="1" x14ac:dyDescent="0.3">
      <c r="A26" s="26" t="s">
        <v>5</v>
      </c>
      <c r="B26" s="35">
        <f>'HOJA DE DATOS'!I3 / $B$46</f>
        <v>3781.766841468334</v>
      </c>
      <c r="D26" s="26" t="s">
        <v>31</v>
      </c>
      <c r="E26" s="29">
        <f>SUMIF(Tabla_empleados[PROVINCIA],D26,Tabla_empleados[Sueldo en Pesos])</f>
        <v>10300000</v>
      </c>
      <c r="F26" s="52" t="s">
        <v>31</v>
      </c>
    </row>
    <row r="27" spans="1:6" ht="30" customHeight="1" thickBot="1" x14ac:dyDescent="0.3">
      <c r="A27" s="26" t="s">
        <v>6</v>
      </c>
      <c r="B27" s="35">
        <f>'HOJA DE DATOS'!I4 / $B$46</f>
        <v>1512.7067365873336</v>
      </c>
      <c r="D27" s="26" t="s">
        <v>32</v>
      </c>
      <c r="E27" s="29">
        <f>SUMIF(Tabla_empleados[PROVINCIA],D27,Tabla_empleados[Sueldo en Pesos])</f>
        <v>4800000</v>
      </c>
      <c r="F27" s="52" t="s">
        <v>32</v>
      </c>
    </row>
    <row r="28" spans="1:6" ht="30" customHeight="1" thickBot="1" x14ac:dyDescent="0.3">
      <c r="A28" s="26" t="s">
        <v>7</v>
      </c>
      <c r="B28" s="35">
        <f>'HOJA DE DATOS'!I5 / $B$46</f>
        <v>1512.7067365873336</v>
      </c>
      <c r="D28" s="26" t="s">
        <v>33</v>
      </c>
      <c r="E28" s="31">
        <f>SUMIF(Tabla_empleados[PROVINCIA],D28,Tabla_empleados[Sueldo en Pesos])</f>
        <v>8650000</v>
      </c>
      <c r="F28" s="52" t="s">
        <v>33</v>
      </c>
    </row>
    <row r="29" spans="1:6" ht="30" customHeight="1" thickBot="1" x14ac:dyDescent="0.3">
      <c r="A29" s="26" t="s">
        <v>8</v>
      </c>
      <c r="B29" s="35">
        <f>'HOJA DE DATOS'!I6 / $B$46</f>
        <v>1512.7067365873336</v>
      </c>
    </row>
    <row r="30" spans="1:6" ht="30" customHeight="1" thickBot="1" x14ac:dyDescent="0.3">
      <c r="A30" s="26" t="s">
        <v>9</v>
      </c>
      <c r="B30" s="35">
        <f>'HOJA DE DATOS'!I7 / $B$46</f>
        <v>1512.7067365873336</v>
      </c>
    </row>
    <row r="31" spans="1:6" ht="30" customHeight="1" thickBot="1" x14ac:dyDescent="0.3">
      <c r="A31" s="26" t="s">
        <v>10</v>
      </c>
      <c r="B31" s="35">
        <f>'HOJA DE DATOS'!I8 / $B$46</f>
        <v>1512.7067365873336</v>
      </c>
      <c r="D31" s="40" t="s">
        <v>52</v>
      </c>
      <c r="E31" s="51"/>
      <c r="F31" s="41"/>
    </row>
    <row r="32" spans="1:6" ht="30" customHeight="1" thickBot="1" x14ac:dyDescent="0.35">
      <c r="A32" s="26" t="s">
        <v>11</v>
      </c>
      <c r="B32" s="35">
        <f>'HOJA DE DATOS'!I9 / $B$46</f>
        <v>1512.7067365873336</v>
      </c>
      <c r="D32" s="18" t="s">
        <v>41</v>
      </c>
      <c r="E32" s="49">
        <f>MAX(E26:E28)</f>
        <v>10300000</v>
      </c>
      <c r="F32" s="50"/>
    </row>
    <row r="33" spans="1:7" ht="30" customHeight="1" thickBot="1" x14ac:dyDescent="0.35">
      <c r="A33" s="26" t="s">
        <v>12</v>
      </c>
      <c r="B33" s="35">
        <f>'HOJA DE DATOS'!I10 / $B$46</f>
        <v>1512.7067365873336</v>
      </c>
      <c r="D33" s="18" t="s">
        <v>51</v>
      </c>
      <c r="E33" s="53" t="str">
        <f>VLOOKUP(E32,E26:F28,2,FALSE)</f>
        <v>Cordoba</v>
      </c>
      <c r="F33" s="54"/>
    </row>
    <row r="34" spans="1:7" ht="30" customHeight="1" thickBot="1" x14ac:dyDescent="0.3">
      <c r="A34" s="26" t="s">
        <v>13</v>
      </c>
      <c r="B34" s="35">
        <f>'HOJA DE DATOS'!I11 / $B$46</f>
        <v>819.38281565147236</v>
      </c>
    </row>
    <row r="35" spans="1:7" ht="30" customHeight="1" thickBot="1" x14ac:dyDescent="0.3">
      <c r="A35" s="26" t="s">
        <v>14</v>
      </c>
      <c r="B35" s="35">
        <f>'HOJA DE DATOS'!I12 / $B$46</f>
        <v>819.38281565147236</v>
      </c>
    </row>
    <row r="36" spans="1:7" ht="30" customHeight="1" thickBot="1" x14ac:dyDescent="0.3">
      <c r="A36" s="26" t="s">
        <v>15</v>
      </c>
      <c r="B36" s="35">
        <f>'HOJA DE DATOS'!I13 / $B$46</f>
        <v>819.38281565147236</v>
      </c>
      <c r="D36" s="46" t="s">
        <v>42</v>
      </c>
    </row>
    <row r="37" spans="1:7" ht="30" customHeight="1" thickBot="1" x14ac:dyDescent="0.3">
      <c r="A37" s="26" t="s">
        <v>16</v>
      </c>
      <c r="B37" s="35">
        <f>'HOJA DE DATOS'!I14 / $B$46</f>
        <v>1512.7067365873336</v>
      </c>
      <c r="D37" s="12" t="s">
        <v>43</v>
      </c>
      <c r="E37" s="12" t="s">
        <v>44</v>
      </c>
      <c r="F37" s="12" t="s">
        <v>45</v>
      </c>
      <c r="G37" s="12" t="s">
        <v>46</v>
      </c>
    </row>
    <row r="38" spans="1:7" ht="30" customHeight="1" thickBot="1" x14ac:dyDescent="0.3">
      <c r="A38" s="26" t="s">
        <v>17</v>
      </c>
      <c r="B38" s="35">
        <f>'HOJA DE DATOS'!I15 / $B$46</f>
        <v>1512.7067365873336</v>
      </c>
      <c r="D38" s="47">
        <v>11</v>
      </c>
      <c r="E38" s="47" t="str">
        <f>VLOOKUP(D38,Tabla_empleados[],2,FALSE)</f>
        <v>Agustín</v>
      </c>
      <c r="F38" s="47" t="str">
        <f>VLOOKUP(D38,Tabla_empleados[],6,FALSE)</f>
        <v>Administrativo</v>
      </c>
      <c r="G38" s="48">
        <f>VLOOKUP(D38,Tabla_empleados[],9,FALSE)</f>
        <v>650000</v>
      </c>
    </row>
    <row r="39" spans="1:7" ht="30" customHeight="1" thickBot="1" x14ac:dyDescent="0.3">
      <c r="A39" s="26" t="s">
        <v>18</v>
      </c>
      <c r="B39" s="35">
        <f>'HOJA DE DATOS'!I16 / $B$46</f>
        <v>819.38281565147236</v>
      </c>
    </row>
    <row r="40" spans="1:7" ht="30" customHeight="1" thickBot="1" x14ac:dyDescent="0.3">
      <c r="A40" s="26" t="s">
        <v>19</v>
      </c>
      <c r="B40" s="35">
        <f>'HOJA DE DATOS'!I17 / $B$46</f>
        <v>819.38281565147236</v>
      </c>
    </row>
    <row r="41" spans="1:7" ht="30" customHeight="1" thickBot="1" x14ac:dyDescent="0.3">
      <c r="A41" s="26" t="s">
        <v>20</v>
      </c>
      <c r="B41" s="35">
        <f>'HOJA DE DATOS'!I18 / $B$46</f>
        <v>3781.766841468334</v>
      </c>
    </row>
    <row r="42" spans="1:7" ht="30" customHeight="1" thickBot="1" x14ac:dyDescent="0.3">
      <c r="A42" s="26" t="s">
        <v>21</v>
      </c>
      <c r="B42" s="35">
        <f>'HOJA DE DATOS'!I19 / $B$46</f>
        <v>1512.7067365873336</v>
      </c>
    </row>
    <row r="43" spans="1:7" ht="30" customHeight="1" thickBot="1" x14ac:dyDescent="0.3">
      <c r="A43" s="26" t="s">
        <v>22</v>
      </c>
      <c r="B43" s="35">
        <f>'HOJA DE DATOS'!I20 / $B$46</f>
        <v>819.38281565147236</v>
      </c>
    </row>
    <row r="44" spans="1:7" ht="30" customHeight="1" thickBot="1" x14ac:dyDescent="0.3">
      <c r="A44" s="26" t="s">
        <v>23</v>
      </c>
      <c r="B44" s="35">
        <f>'HOJA DE DATOS'!I21 / $B$46</f>
        <v>819.38281565147236</v>
      </c>
    </row>
    <row r="45" spans="1:7" ht="30" customHeight="1" x14ac:dyDescent="0.25">
      <c r="A45" s="30" t="s">
        <v>24</v>
      </c>
      <c r="B45" s="35">
        <f>'HOJA DE DATOS'!I22 / $B$46</f>
        <v>1512.7067365873336</v>
      </c>
    </row>
    <row r="46" spans="1:7" ht="22.5" customHeight="1" x14ac:dyDescent="0.25">
      <c r="A46" s="34" t="s">
        <v>65</v>
      </c>
      <c r="B46" s="45" t="s">
        <v>71</v>
      </c>
    </row>
  </sheetData>
  <mergeCells count="12">
    <mergeCell ref="E32:F32"/>
    <mergeCell ref="E33:F33"/>
    <mergeCell ref="A4:B4"/>
    <mergeCell ref="D4:E4"/>
    <mergeCell ref="A9:B9"/>
    <mergeCell ref="D9:E9"/>
    <mergeCell ref="D31:F31"/>
    <mergeCell ref="A17:B17"/>
    <mergeCell ref="D17:E17"/>
    <mergeCell ref="A18:B18"/>
    <mergeCell ref="A24:B24"/>
    <mergeCell ref="D24:E24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'HOJA DE DATOS'!$A$3:$A$22</xm:f>
          </x14:formula1>
          <xm:sqref>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"/>
  <sheetViews>
    <sheetView workbookViewId="0">
      <selection activeCell="A6" sqref="A6"/>
    </sheetView>
  </sheetViews>
  <sheetFormatPr baseColWidth="10" defaultRowHeight="15" x14ac:dyDescent="0.25"/>
  <sheetData>
    <row r="2" spans="1:2" ht="24.75" customHeight="1" x14ac:dyDescent="0.25">
      <c r="A2" s="38" t="s">
        <v>72</v>
      </c>
      <c r="B2" s="39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agus428 agus428</cp:lastModifiedBy>
  <dcterms:created xsi:type="dcterms:W3CDTF">2018-06-07T23:17:58Z</dcterms:created>
  <dcterms:modified xsi:type="dcterms:W3CDTF">2023-09-24T22:51:58Z</dcterms:modified>
</cp:coreProperties>
</file>